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3ED392FB-DB47-4614-949E-807ECD0C52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une" sheetId="1" r:id="rId1"/>
    <sheet name="Sheet3" sheetId="8" r:id="rId2"/>
    <sheet name="Sheet1" sheetId="7" r:id="rId3"/>
    <sheet name="As per site" sheetId="3" r:id="rId4"/>
    <sheet name="Diif - Pune &amp; Site" sheetId="4" r:id="rId5"/>
    <sheet name="Pune (2)" sheetId="5" r:id="rId6"/>
    <sheet name="Sheet2" sheetId="6" r:id="rId7"/>
  </sheets>
  <definedNames>
    <definedName name="_xlnm._FilterDatabase" localSheetId="0" hidden="1">Pune!$C$1:$C$329</definedName>
    <definedName name="_xlnm._FilterDatabase" localSheetId="5" hidden="1">'Pune (2)'!$W$1:$W$285</definedName>
    <definedName name="_xlnm.Print_Area" localSheetId="0">Pune!$A$1:$V$328</definedName>
    <definedName name="_xlnm.Print_Area" localSheetId="5">'Pune (2)'!$A$1:$W$285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1" l="1"/>
  <c r="S243" i="1" l="1"/>
  <c r="S242" i="1"/>
  <c r="G165" i="1" l="1"/>
  <c r="K165" i="1" s="1"/>
  <c r="G144" i="1"/>
  <c r="K144" i="1" s="1"/>
  <c r="G246" i="1"/>
  <c r="H246" i="1" s="1"/>
  <c r="N246" i="1" s="1"/>
  <c r="E247" i="1" s="1"/>
  <c r="P247" i="1" s="1"/>
  <c r="G108" i="1"/>
  <c r="J108" i="1" s="1"/>
  <c r="G235" i="1"/>
  <c r="H165" i="1" l="1"/>
  <c r="N165" i="1" s="1"/>
  <c r="J165" i="1"/>
  <c r="H144" i="1"/>
  <c r="N144" i="1" s="1"/>
  <c r="E145" i="1" s="1"/>
  <c r="P145" i="1" s="1"/>
  <c r="J144" i="1"/>
  <c r="J246" i="1"/>
  <c r="K246" i="1"/>
  <c r="I246" i="1"/>
  <c r="K108" i="1"/>
  <c r="H108" i="1"/>
  <c r="N108" i="1" s="1"/>
  <c r="E109" i="1" s="1"/>
  <c r="P109" i="1" s="1"/>
  <c r="J235" i="1"/>
  <c r="K235" i="1"/>
  <c r="H235" i="1"/>
  <c r="N235" i="1" s="1"/>
  <c r="E236" i="1" s="1"/>
  <c r="P236" i="1" s="1"/>
  <c r="G291" i="1"/>
  <c r="M291" i="1" s="1"/>
  <c r="E166" i="1" l="1"/>
  <c r="P166" i="1" s="1"/>
  <c r="I165" i="1"/>
  <c r="P165" i="1" s="1"/>
  <c r="I144" i="1"/>
  <c r="P144" i="1" s="1"/>
  <c r="P246" i="1"/>
  <c r="I108" i="1"/>
  <c r="P108" i="1" s="1"/>
  <c r="I235" i="1"/>
  <c r="P235" i="1" s="1"/>
  <c r="L291" i="1"/>
  <c r="H291" i="1"/>
  <c r="N291" i="1" s="1"/>
  <c r="L328" i="1" s="1"/>
  <c r="J291" i="1"/>
  <c r="K291" i="1"/>
  <c r="G244" i="1"/>
  <c r="G142" i="1"/>
  <c r="K142" i="1" s="1"/>
  <c r="G163" i="1"/>
  <c r="G313" i="1"/>
  <c r="H313" i="1" s="1"/>
  <c r="F316" i="1"/>
  <c r="I291" i="1" l="1"/>
  <c r="P291" i="1" s="1"/>
  <c r="J142" i="1"/>
  <c r="J244" i="1"/>
  <c r="K244" i="1"/>
  <c r="H244" i="1"/>
  <c r="N244" i="1" s="1"/>
  <c r="E245" i="1" s="1"/>
  <c r="P245" i="1" s="1"/>
  <c r="H142" i="1"/>
  <c r="I142" i="1" s="1"/>
  <c r="J163" i="1"/>
  <c r="H163" i="1"/>
  <c r="N163" i="1" s="1"/>
  <c r="E164" i="1" s="1"/>
  <c r="P164" i="1" s="1"/>
  <c r="K163" i="1"/>
  <c r="N313" i="1"/>
  <c r="I313" i="1"/>
  <c r="J313" i="1"/>
  <c r="K313" i="1"/>
  <c r="G18" i="7"/>
  <c r="F121" i="3"/>
  <c r="I244" i="1" l="1"/>
  <c r="P244" i="1" s="1"/>
  <c r="N142" i="1"/>
  <c r="I163" i="1"/>
  <c r="P163" i="1" s="1"/>
  <c r="P313" i="1"/>
  <c r="T162" i="1"/>
  <c r="G242" i="1"/>
  <c r="J242" i="1" s="1"/>
  <c r="G161" i="1"/>
  <c r="J161" i="1" s="1"/>
  <c r="G139" i="1"/>
  <c r="K139" i="1" s="1"/>
  <c r="G124" i="1"/>
  <c r="K124" i="1" s="1"/>
  <c r="G76" i="1"/>
  <c r="K76" i="1" s="1"/>
  <c r="G60" i="1"/>
  <c r="K60" i="1" s="1"/>
  <c r="P142" i="1" l="1"/>
  <c r="E143" i="1"/>
  <c r="P143" i="1" s="1"/>
  <c r="K242" i="1"/>
  <c r="H242" i="1"/>
  <c r="N242" i="1" s="1"/>
  <c r="E243" i="1" s="1"/>
  <c r="P243" i="1" s="1"/>
  <c r="K161" i="1"/>
  <c r="H161" i="1"/>
  <c r="N161" i="1" s="1"/>
  <c r="E162" i="1" s="1"/>
  <c r="P162" i="1" s="1"/>
  <c r="H139" i="1"/>
  <c r="N139" i="1" s="1"/>
  <c r="E140" i="1" s="1"/>
  <c r="P140" i="1" s="1"/>
  <c r="J139" i="1"/>
  <c r="H124" i="1"/>
  <c r="N124" i="1" s="1"/>
  <c r="E125" i="1" s="1"/>
  <c r="P125" i="1" s="1"/>
  <c r="J124" i="1"/>
  <c r="H76" i="1"/>
  <c r="I76" i="1" s="1"/>
  <c r="J76" i="1"/>
  <c r="J60" i="1"/>
  <c r="H60" i="1"/>
  <c r="N60" i="1" s="1"/>
  <c r="E61" i="1" s="1"/>
  <c r="P61" i="1" s="1"/>
  <c r="G33" i="1"/>
  <c r="G40" i="1"/>
  <c r="J40" i="1" s="1"/>
  <c r="G299" i="1"/>
  <c r="K299" i="1" s="1"/>
  <c r="I242" i="1" l="1"/>
  <c r="P242" i="1" s="1"/>
  <c r="I161" i="1"/>
  <c r="P161" i="1" s="1"/>
  <c r="I139" i="1"/>
  <c r="P139" i="1" s="1"/>
  <c r="N76" i="1"/>
  <c r="E77" i="1" s="1"/>
  <c r="P77" i="1" s="1"/>
  <c r="I124" i="1"/>
  <c r="P124" i="1" s="1"/>
  <c r="I60" i="1"/>
  <c r="P60" i="1" s="1"/>
  <c r="J33" i="1"/>
  <c r="K33" i="1"/>
  <c r="H33" i="1"/>
  <c r="K40" i="1"/>
  <c r="H40" i="1"/>
  <c r="N40" i="1" s="1"/>
  <c r="E41" i="1" s="1"/>
  <c r="P41" i="1" s="1"/>
  <c r="H299" i="1"/>
  <c r="N299" i="1" s="1"/>
  <c r="E300" i="1" s="1"/>
  <c r="P300" i="1" s="1"/>
  <c r="J299" i="1"/>
  <c r="P76" i="1" l="1"/>
  <c r="N33" i="1"/>
  <c r="E34" i="1" s="1"/>
  <c r="P34" i="1" s="1"/>
  <c r="I33" i="1"/>
  <c r="P33" i="1" s="1"/>
  <c r="I40" i="1"/>
  <c r="P40" i="1" s="1"/>
  <c r="I299" i="1"/>
  <c r="P299" i="1" s="1"/>
  <c r="G259" i="1"/>
  <c r="G258" i="1"/>
  <c r="K258" i="1" s="1"/>
  <c r="K259" i="1" l="1"/>
  <c r="H259" i="1"/>
  <c r="N259" i="1" s="1"/>
  <c r="J259" i="1"/>
  <c r="J258" i="1"/>
  <c r="H258" i="1"/>
  <c r="N258" i="1" s="1"/>
  <c r="I259" i="1" l="1"/>
  <c r="I258" i="1"/>
  <c r="P258" i="1" s="1"/>
  <c r="G138" i="1" l="1"/>
  <c r="H138" i="1" l="1"/>
  <c r="N138" i="1" s="1"/>
  <c r="E141" i="1" s="1"/>
  <c r="P141" i="1" s="1"/>
  <c r="J138" i="1"/>
  <c r="K138" i="1"/>
  <c r="S231" i="1"/>
  <c r="G233" i="1"/>
  <c r="K233" i="1" s="1"/>
  <c r="G267" i="1"/>
  <c r="K267" i="1" s="1"/>
  <c r="U281" i="5"/>
  <c r="S273" i="5"/>
  <c r="O273" i="5"/>
  <c r="W271" i="5"/>
  <c r="E271" i="5"/>
  <c r="G271" i="5" s="1"/>
  <c r="K271" i="5" s="1"/>
  <c r="Q270" i="5"/>
  <c r="T267" i="5"/>
  <c r="G267" i="5"/>
  <c r="Q266" i="5"/>
  <c r="W264" i="5"/>
  <c r="Q263" i="5"/>
  <c r="T261" i="5"/>
  <c r="G261" i="5"/>
  <c r="G258" i="5"/>
  <c r="H258" i="5" s="1"/>
  <c r="N258" i="5" s="1"/>
  <c r="E259" i="5" s="1"/>
  <c r="P259" i="5" s="1"/>
  <c r="P256" i="5"/>
  <c r="G255" i="5"/>
  <c r="J255" i="5" s="1"/>
  <c r="G252" i="5"/>
  <c r="J252" i="5" s="1"/>
  <c r="W248" i="5"/>
  <c r="T248" i="5"/>
  <c r="G245" i="5"/>
  <c r="G244" i="5"/>
  <c r="H244" i="5" s="1"/>
  <c r="N244" i="5" s="1"/>
  <c r="G243" i="5"/>
  <c r="J243" i="5" s="1"/>
  <c r="W239" i="5"/>
  <c r="T239" i="5"/>
  <c r="G237" i="5"/>
  <c r="J237" i="5" s="1"/>
  <c r="T235" i="5"/>
  <c r="G235" i="5"/>
  <c r="L235" i="5" s="1"/>
  <c r="T233" i="5"/>
  <c r="T232" i="5"/>
  <c r="G232" i="5"/>
  <c r="T229" i="5"/>
  <c r="G229" i="5"/>
  <c r="K229" i="5" s="1"/>
  <c r="T226" i="5"/>
  <c r="T225" i="5"/>
  <c r="G225" i="5"/>
  <c r="M225" i="5" s="1"/>
  <c r="T224" i="5"/>
  <c r="G224" i="5"/>
  <c r="K224" i="5" s="1"/>
  <c r="Q223" i="5"/>
  <c r="T219" i="5"/>
  <c r="A219" i="5"/>
  <c r="T218" i="5"/>
  <c r="G218" i="5"/>
  <c r="Q217" i="5"/>
  <c r="G216" i="5"/>
  <c r="H216" i="5" s="1"/>
  <c r="N216" i="5" s="1"/>
  <c r="T215" i="5"/>
  <c r="T214" i="5"/>
  <c r="G214" i="5"/>
  <c r="K214" i="5" s="1"/>
  <c r="T213" i="5"/>
  <c r="T212" i="5"/>
  <c r="G212" i="5"/>
  <c r="K212" i="5" s="1"/>
  <c r="G209" i="5"/>
  <c r="H209" i="5" s="1"/>
  <c r="N209" i="5" s="1"/>
  <c r="E210" i="5" s="1"/>
  <c r="P210" i="5" s="1"/>
  <c r="T208" i="5"/>
  <c r="T207" i="5"/>
  <c r="T206" i="5"/>
  <c r="G205" i="5"/>
  <c r="T204" i="5"/>
  <c r="G204" i="5"/>
  <c r="H204" i="5" s="1"/>
  <c r="N204" i="5" s="1"/>
  <c r="E207" i="5" s="1"/>
  <c r="P207" i="5" s="1"/>
  <c r="T203" i="5"/>
  <c r="G203" i="5"/>
  <c r="J203" i="5" s="1"/>
  <c r="Q202" i="5"/>
  <c r="G199" i="5"/>
  <c r="K199" i="5" s="1"/>
  <c r="G197" i="5"/>
  <c r="T196" i="5"/>
  <c r="T195" i="5"/>
  <c r="G195" i="5"/>
  <c r="K195" i="5" s="1"/>
  <c r="A195" i="5"/>
  <c r="T194" i="5"/>
  <c r="G194" i="5"/>
  <c r="J194" i="5" s="1"/>
  <c r="Q193" i="5"/>
  <c r="U191" i="5"/>
  <c r="G188" i="5"/>
  <c r="H188" i="5" s="1"/>
  <c r="N188" i="5" s="1"/>
  <c r="A188" i="5"/>
  <c r="T187" i="5"/>
  <c r="U187" i="5" s="1"/>
  <c r="G187" i="5"/>
  <c r="K187" i="5" s="1"/>
  <c r="Q186" i="5"/>
  <c r="T185" i="5"/>
  <c r="T184" i="5"/>
  <c r="E184" i="5"/>
  <c r="G184" i="5" s="1"/>
  <c r="K184" i="5" s="1"/>
  <c r="T183" i="5"/>
  <c r="T182" i="5"/>
  <c r="G182" i="5"/>
  <c r="K182" i="5" s="1"/>
  <c r="U181" i="5"/>
  <c r="U180" i="5"/>
  <c r="G180" i="5"/>
  <c r="T179" i="5"/>
  <c r="U179" i="5" s="1"/>
  <c r="T178" i="5"/>
  <c r="U178" i="5" s="1"/>
  <c r="G178" i="5"/>
  <c r="H178" i="5" s="1"/>
  <c r="N178" i="5" s="1"/>
  <c r="E179" i="5" s="1"/>
  <c r="P179" i="5" s="1"/>
  <c r="Q177" i="5"/>
  <c r="G175" i="5"/>
  <c r="J175" i="5" s="1"/>
  <c r="T173" i="5"/>
  <c r="G173" i="5"/>
  <c r="H173" i="5" s="1"/>
  <c r="N173" i="5" s="1"/>
  <c r="E174" i="5" s="1"/>
  <c r="P174" i="5" s="1"/>
  <c r="U171" i="5"/>
  <c r="U170" i="5"/>
  <c r="G170" i="5"/>
  <c r="K170" i="5" s="1"/>
  <c r="Q169" i="5"/>
  <c r="U166" i="5"/>
  <c r="G166" i="5"/>
  <c r="J166" i="5" s="1"/>
  <c r="U165" i="5"/>
  <c r="G165" i="5"/>
  <c r="K165" i="5" s="1"/>
  <c r="Q164" i="5"/>
  <c r="U160" i="5"/>
  <c r="G160" i="5"/>
  <c r="H160" i="5" s="1"/>
  <c r="U159" i="5"/>
  <c r="G159" i="5"/>
  <c r="Q158" i="5"/>
  <c r="G155" i="5"/>
  <c r="G154" i="5"/>
  <c r="H154" i="5" s="1"/>
  <c r="G152" i="5"/>
  <c r="G149" i="5"/>
  <c r="H149" i="5" s="1"/>
  <c r="G148" i="5"/>
  <c r="K148" i="5" s="1"/>
  <c r="U147" i="5"/>
  <c r="U146" i="5"/>
  <c r="G146" i="5"/>
  <c r="K146" i="5" s="1"/>
  <c r="Q145" i="5"/>
  <c r="G143" i="5"/>
  <c r="H143" i="5" s="1"/>
  <c r="E141" i="5"/>
  <c r="G141" i="5" s="1"/>
  <c r="U140" i="5"/>
  <c r="U139" i="5"/>
  <c r="U138" i="5"/>
  <c r="G138" i="5"/>
  <c r="H138" i="5" s="1"/>
  <c r="N138" i="5" s="1"/>
  <c r="U137" i="5"/>
  <c r="G137" i="5"/>
  <c r="J137" i="5" s="1"/>
  <c r="T136" i="5"/>
  <c r="U136" i="5" s="1"/>
  <c r="M136" i="5"/>
  <c r="E139" i="5" s="1"/>
  <c r="P139" i="5" s="1"/>
  <c r="K136" i="5"/>
  <c r="J136" i="5"/>
  <c r="H136" i="5"/>
  <c r="N136" i="5" s="1"/>
  <c r="Q135" i="5"/>
  <c r="G133" i="5"/>
  <c r="K133" i="5" s="1"/>
  <c r="T131" i="5"/>
  <c r="U131" i="5" s="1"/>
  <c r="G131" i="5"/>
  <c r="K131" i="5" s="1"/>
  <c r="T130" i="5"/>
  <c r="U130" i="5" s="1"/>
  <c r="T129" i="5"/>
  <c r="U129" i="5" s="1"/>
  <c r="G129" i="5"/>
  <c r="K129" i="5" s="1"/>
  <c r="Q128" i="5"/>
  <c r="G125" i="5"/>
  <c r="H125" i="5" s="1"/>
  <c r="N125" i="5" s="1"/>
  <c r="E126" i="5" s="1"/>
  <c r="P126" i="5" s="1"/>
  <c r="T123" i="5"/>
  <c r="G123" i="5"/>
  <c r="T122" i="5"/>
  <c r="U121" i="5"/>
  <c r="G121" i="5"/>
  <c r="J121" i="5" s="1"/>
  <c r="U120" i="5"/>
  <c r="G120" i="5"/>
  <c r="Q119" i="5"/>
  <c r="W116" i="5"/>
  <c r="Q115" i="5"/>
  <c r="T112" i="5"/>
  <c r="U112" i="5" s="1"/>
  <c r="T111" i="5"/>
  <c r="U111" i="5" s="1"/>
  <c r="M111" i="5"/>
  <c r="K111" i="5"/>
  <c r="J111" i="5"/>
  <c r="H111" i="5"/>
  <c r="N111" i="5" s="1"/>
  <c r="T110" i="5"/>
  <c r="U110" i="5" s="1"/>
  <c r="G110" i="5"/>
  <c r="T109" i="5"/>
  <c r="U109" i="5" s="1"/>
  <c r="G109" i="5"/>
  <c r="M109" i="5" s="1"/>
  <c r="T108" i="5"/>
  <c r="U108" i="5" s="1"/>
  <c r="G108" i="5"/>
  <c r="K108" i="5" s="1"/>
  <c r="Q107" i="5"/>
  <c r="G104" i="5"/>
  <c r="J104" i="5" s="1"/>
  <c r="G102" i="5"/>
  <c r="K102" i="5" s="1"/>
  <c r="A102" i="5"/>
  <c r="T101" i="5"/>
  <c r="U101" i="5" s="1"/>
  <c r="G101" i="5"/>
  <c r="J101" i="5" s="1"/>
  <c r="Q100" i="5"/>
  <c r="G98" i="5"/>
  <c r="K98" i="5" s="1"/>
  <c r="G96" i="5"/>
  <c r="H96" i="5" s="1"/>
  <c r="N96" i="5" s="1"/>
  <c r="T95" i="5"/>
  <c r="U95" i="5" s="1"/>
  <c r="G95" i="5"/>
  <c r="Q94" i="5"/>
  <c r="G91" i="5"/>
  <c r="H91" i="5" s="1"/>
  <c r="N91" i="5" s="1"/>
  <c r="E92" i="5" s="1"/>
  <c r="P92" i="5" s="1"/>
  <c r="G89" i="5"/>
  <c r="J89" i="5" s="1"/>
  <c r="G86" i="5"/>
  <c r="H86" i="5" s="1"/>
  <c r="N86" i="5" s="1"/>
  <c r="T85" i="5"/>
  <c r="U85" i="5" s="1"/>
  <c r="G85" i="5"/>
  <c r="J85" i="5" s="1"/>
  <c r="T84" i="5"/>
  <c r="U84" i="5" s="1"/>
  <c r="T83" i="5"/>
  <c r="U83" i="5" s="1"/>
  <c r="G83" i="5"/>
  <c r="K83" i="5" s="1"/>
  <c r="T82" i="5"/>
  <c r="U82" i="5" s="1"/>
  <c r="G82" i="5"/>
  <c r="H82" i="5" s="1"/>
  <c r="N82" i="5" s="1"/>
  <c r="T81" i="5"/>
  <c r="U81" i="5" s="1"/>
  <c r="G81" i="5"/>
  <c r="K81" i="5" s="1"/>
  <c r="Q80" i="5"/>
  <c r="T78" i="5"/>
  <c r="T77" i="5"/>
  <c r="T76" i="5"/>
  <c r="U76" i="5" s="1"/>
  <c r="T75" i="5"/>
  <c r="U75" i="5" s="1"/>
  <c r="T74" i="5"/>
  <c r="U74" i="5" s="1"/>
  <c r="G74" i="5"/>
  <c r="M74" i="5" s="1"/>
  <c r="T73" i="5"/>
  <c r="U73" i="5" s="1"/>
  <c r="G73" i="5"/>
  <c r="K73" i="5" s="1"/>
  <c r="T72" i="5"/>
  <c r="U72" i="5" s="1"/>
  <c r="G72" i="5"/>
  <c r="H72" i="5" s="1"/>
  <c r="N72" i="5" s="1"/>
  <c r="Q71" i="5"/>
  <c r="G68" i="5"/>
  <c r="K68" i="5" s="1"/>
  <c r="T65" i="5"/>
  <c r="U65" i="5" s="1"/>
  <c r="T64" i="5"/>
  <c r="U64" i="5" s="1"/>
  <c r="T63" i="5"/>
  <c r="U63" i="5" s="1"/>
  <c r="G63" i="5"/>
  <c r="K63" i="5" s="1"/>
  <c r="T62" i="5"/>
  <c r="U62" i="5" s="1"/>
  <c r="G62" i="5"/>
  <c r="H62" i="5" s="1"/>
  <c r="N62" i="5" s="1"/>
  <c r="E65" i="5" s="1"/>
  <c r="P65" i="5" s="1"/>
  <c r="T61" i="5"/>
  <c r="U61" i="5" s="1"/>
  <c r="P61" i="5"/>
  <c r="T60" i="5"/>
  <c r="U60" i="5" s="1"/>
  <c r="P60" i="5"/>
  <c r="T59" i="5"/>
  <c r="U59" i="5" s="1"/>
  <c r="G59" i="5"/>
  <c r="M59" i="5" s="1"/>
  <c r="E64" i="5" s="1"/>
  <c r="P64" i="5" s="1"/>
  <c r="T58" i="5"/>
  <c r="U58" i="5" s="1"/>
  <c r="G58" i="5"/>
  <c r="K58" i="5" s="1"/>
  <c r="T57" i="5"/>
  <c r="U57" i="5" s="1"/>
  <c r="G57" i="5"/>
  <c r="K57" i="5" s="1"/>
  <c r="Q56" i="5"/>
  <c r="G54" i="5"/>
  <c r="J54" i="5" s="1"/>
  <c r="G51" i="5"/>
  <c r="H51" i="5" s="1"/>
  <c r="N51" i="5" s="1"/>
  <c r="E53" i="5" s="1"/>
  <c r="P53" i="5" s="1"/>
  <c r="E50" i="5"/>
  <c r="G50" i="5" s="1"/>
  <c r="T49" i="5"/>
  <c r="E49" i="5"/>
  <c r="G49" i="5" s="1"/>
  <c r="T48" i="5"/>
  <c r="U48" i="5" s="1"/>
  <c r="T47" i="5"/>
  <c r="P47" i="5"/>
  <c r="T46" i="5"/>
  <c r="U46" i="5" s="1"/>
  <c r="P46" i="5"/>
  <c r="T45" i="5"/>
  <c r="U45" i="5" s="1"/>
  <c r="P45" i="5"/>
  <c r="T44" i="5"/>
  <c r="U44" i="5" s="1"/>
  <c r="G44" i="5"/>
  <c r="K44" i="5" s="1"/>
  <c r="T43" i="5"/>
  <c r="U43" i="5" s="1"/>
  <c r="G43" i="5"/>
  <c r="K43" i="5" s="1"/>
  <c r="T42" i="5"/>
  <c r="U42" i="5" s="1"/>
  <c r="G42" i="5"/>
  <c r="J42" i="5" s="1"/>
  <c r="U38" i="5"/>
  <c r="T34" i="5"/>
  <c r="U34" i="5" s="1"/>
  <c r="G34" i="5"/>
  <c r="M34" i="5" s="1"/>
  <c r="T33" i="5"/>
  <c r="U33" i="5" s="1"/>
  <c r="G33" i="5"/>
  <c r="K33" i="5" s="1"/>
  <c r="Q32" i="5"/>
  <c r="T29" i="5"/>
  <c r="U29" i="5" s="1"/>
  <c r="E28" i="5"/>
  <c r="P28" i="5" s="1"/>
  <c r="T27" i="5"/>
  <c r="U27" i="5" s="1"/>
  <c r="T26" i="5"/>
  <c r="U26" i="5" s="1"/>
  <c r="G26" i="5"/>
  <c r="H26" i="5" s="1"/>
  <c r="N26" i="5" s="1"/>
  <c r="E29" i="5" s="1"/>
  <c r="P29" i="5" s="1"/>
  <c r="T25" i="5"/>
  <c r="U25" i="5" s="1"/>
  <c r="G25" i="5"/>
  <c r="K25" i="5" s="1"/>
  <c r="T24" i="5"/>
  <c r="U24" i="5" s="1"/>
  <c r="G24" i="5"/>
  <c r="T23" i="5"/>
  <c r="U23" i="5" s="1"/>
  <c r="G23" i="5"/>
  <c r="J23" i="5" s="1"/>
  <c r="Q22" i="5"/>
  <c r="G19" i="5"/>
  <c r="H19" i="5" s="1"/>
  <c r="N19" i="5" s="1"/>
  <c r="E20" i="5" s="1"/>
  <c r="P20" i="5" s="1"/>
  <c r="T18" i="5"/>
  <c r="T17" i="5"/>
  <c r="U17" i="5" s="1"/>
  <c r="E17" i="5"/>
  <c r="G17" i="5" s="1"/>
  <c r="T16" i="5"/>
  <c r="U16" i="5" s="1"/>
  <c r="U15" i="5"/>
  <c r="T14" i="5"/>
  <c r="U14" i="5" s="1"/>
  <c r="T13" i="5"/>
  <c r="U13" i="5" s="1"/>
  <c r="G13" i="5"/>
  <c r="H13" i="5" s="1"/>
  <c r="T12" i="5"/>
  <c r="U12" i="5" s="1"/>
  <c r="G12" i="5"/>
  <c r="J12" i="5" s="1"/>
  <c r="T11" i="5"/>
  <c r="U11" i="5" s="1"/>
  <c r="T10" i="5"/>
  <c r="U10" i="5" s="1"/>
  <c r="T9" i="5"/>
  <c r="U9" i="5" s="1"/>
  <c r="G9" i="5"/>
  <c r="K9" i="5" s="1"/>
  <c r="T8" i="5"/>
  <c r="U8" i="5" s="1"/>
  <c r="G8" i="5"/>
  <c r="J8" i="5" s="1"/>
  <c r="T7" i="5"/>
  <c r="G7" i="5"/>
  <c r="K7" i="5" s="1"/>
  <c r="Q6" i="5"/>
  <c r="G312" i="1"/>
  <c r="G294" i="1"/>
  <c r="M294" i="1" s="1"/>
  <c r="G262" i="1"/>
  <c r="J262" i="1" s="1"/>
  <c r="K173" i="5" l="1"/>
  <c r="J98" i="5"/>
  <c r="I138" i="1"/>
  <c r="P138" i="1" s="1"/>
  <c r="H233" i="1"/>
  <c r="N233" i="1" s="1"/>
  <c r="E234" i="1" s="1"/>
  <c r="J233" i="1"/>
  <c r="L267" i="1"/>
  <c r="H267" i="1"/>
  <c r="N267" i="1" s="1"/>
  <c r="E268" i="1" s="1"/>
  <c r="P268" i="1" s="1"/>
  <c r="M267" i="1"/>
  <c r="J267" i="1"/>
  <c r="M9" i="5"/>
  <c r="K204" i="5"/>
  <c r="K209" i="5"/>
  <c r="K216" i="5"/>
  <c r="L224" i="5"/>
  <c r="H9" i="5"/>
  <c r="E14" i="5" s="1"/>
  <c r="P14" i="5" s="1"/>
  <c r="J25" i="5"/>
  <c r="J83" i="5"/>
  <c r="J229" i="5"/>
  <c r="J9" i="5"/>
  <c r="M25" i="5"/>
  <c r="M83" i="5"/>
  <c r="M165" i="5"/>
  <c r="J182" i="5"/>
  <c r="L229" i="5"/>
  <c r="K252" i="5"/>
  <c r="J81" i="5"/>
  <c r="H146" i="5"/>
  <c r="H23" i="5"/>
  <c r="N23" i="5" s="1"/>
  <c r="E27" i="5" s="1"/>
  <c r="P27" i="5" s="1"/>
  <c r="M44" i="5"/>
  <c r="J57" i="5"/>
  <c r="M81" i="5"/>
  <c r="J143" i="5"/>
  <c r="J146" i="5"/>
  <c r="H165" i="5"/>
  <c r="N165" i="5" s="1"/>
  <c r="J170" i="5"/>
  <c r="I173" i="5"/>
  <c r="J187" i="5"/>
  <c r="J195" i="5"/>
  <c r="J214" i="5"/>
  <c r="I216" i="5"/>
  <c r="K237" i="5"/>
  <c r="K255" i="5"/>
  <c r="K258" i="5"/>
  <c r="K34" i="5"/>
  <c r="H187" i="5"/>
  <c r="I187" i="5" s="1"/>
  <c r="K194" i="5"/>
  <c r="H195" i="5"/>
  <c r="N195" i="5" s="1"/>
  <c r="K203" i="5"/>
  <c r="H214" i="5"/>
  <c r="N214" i="5" s="1"/>
  <c r="E215" i="5" s="1"/>
  <c r="P215" i="5" s="1"/>
  <c r="J258" i="5"/>
  <c r="K19" i="5"/>
  <c r="K23" i="5"/>
  <c r="J59" i="5"/>
  <c r="H83" i="5"/>
  <c r="N83" i="5" s="1"/>
  <c r="J165" i="5"/>
  <c r="J173" i="5"/>
  <c r="H182" i="5"/>
  <c r="J216" i="5"/>
  <c r="H229" i="5"/>
  <c r="N229" i="5" s="1"/>
  <c r="K42" i="5"/>
  <c r="J43" i="5"/>
  <c r="H108" i="5"/>
  <c r="N108" i="5" s="1"/>
  <c r="M224" i="5"/>
  <c r="H243" i="5"/>
  <c r="N243" i="5" s="1"/>
  <c r="E246" i="5" s="1"/>
  <c r="P246" i="5" s="1"/>
  <c r="I244" i="5"/>
  <c r="J7" i="5"/>
  <c r="I19" i="5"/>
  <c r="H44" i="5"/>
  <c r="I44" i="5" s="1"/>
  <c r="H63" i="5"/>
  <c r="J72" i="5"/>
  <c r="J108" i="5"/>
  <c r="J125" i="5"/>
  <c r="H133" i="5"/>
  <c r="N133" i="5" s="1"/>
  <c r="H137" i="5"/>
  <c r="N137" i="5" s="1"/>
  <c r="E140" i="5" s="1"/>
  <c r="P140" i="5" s="1"/>
  <c r="I143" i="5"/>
  <c r="J148" i="5"/>
  <c r="J152" i="5"/>
  <c r="J155" i="5"/>
  <c r="J159" i="5"/>
  <c r="H184" i="5"/>
  <c r="N184" i="5" s="1"/>
  <c r="E185" i="5" s="1"/>
  <c r="P185" i="5" s="1"/>
  <c r="K188" i="5"/>
  <c r="H194" i="5"/>
  <c r="N194" i="5" s="1"/>
  <c r="H199" i="5"/>
  <c r="N199" i="5" s="1"/>
  <c r="E200" i="5" s="1"/>
  <c r="P200" i="5" s="1"/>
  <c r="H203" i="5"/>
  <c r="N203" i="5" s="1"/>
  <c r="E206" i="5" s="1"/>
  <c r="P206" i="5" s="1"/>
  <c r="H212" i="5"/>
  <c r="H224" i="5"/>
  <c r="N224" i="5" s="1"/>
  <c r="K243" i="5"/>
  <c r="J244" i="5"/>
  <c r="H7" i="5"/>
  <c r="I7" i="5" s="1"/>
  <c r="J13" i="5"/>
  <c r="I72" i="5"/>
  <c r="J82" i="5"/>
  <c r="J96" i="5"/>
  <c r="I138" i="5"/>
  <c r="H148" i="5"/>
  <c r="I148" i="5" s="1"/>
  <c r="H152" i="5"/>
  <c r="N152" i="5" s="1"/>
  <c r="E153" i="5" s="1"/>
  <c r="P153" i="5" s="1"/>
  <c r="H155" i="5"/>
  <c r="N155" i="5" s="1"/>
  <c r="E157" i="5" s="1"/>
  <c r="P157" i="5" s="1"/>
  <c r="H159" i="5"/>
  <c r="N159" i="5" s="1"/>
  <c r="E161" i="5" s="1"/>
  <c r="P161" i="5" s="1"/>
  <c r="H166" i="5"/>
  <c r="N166" i="5" s="1"/>
  <c r="J188" i="5"/>
  <c r="J19" i="5"/>
  <c r="H25" i="5"/>
  <c r="N25" i="5" s="1"/>
  <c r="E30" i="5" s="1"/>
  <c r="P30" i="5" s="1"/>
  <c r="J44" i="5"/>
  <c r="J51" i="5"/>
  <c r="H57" i="5"/>
  <c r="J62" i="5"/>
  <c r="J63" i="5"/>
  <c r="J74" i="5"/>
  <c r="H81" i="5"/>
  <c r="I81" i="5" s="1"/>
  <c r="J86" i="5"/>
  <c r="J91" i="5"/>
  <c r="H98" i="5"/>
  <c r="M108" i="5"/>
  <c r="E112" i="5" s="1"/>
  <c r="P112" i="5" s="1"/>
  <c r="J109" i="5"/>
  <c r="J133" i="5"/>
  <c r="I136" i="5"/>
  <c r="P136" i="5" s="1"/>
  <c r="J138" i="5"/>
  <c r="M166" i="5"/>
  <c r="H170" i="5"/>
  <c r="N170" i="5" s="1"/>
  <c r="E172" i="5" s="1"/>
  <c r="P172" i="5" s="1"/>
  <c r="J178" i="5"/>
  <c r="J184" i="5"/>
  <c r="J199" i="5"/>
  <c r="J204" i="5"/>
  <c r="J212" i="5"/>
  <c r="J224" i="5"/>
  <c r="M229" i="5"/>
  <c r="M243" i="5"/>
  <c r="K244" i="5"/>
  <c r="J271" i="5"/>
  <c r="N13" i="5"/>
  <c r="I13" i="5"/>
  <c r="K17" i="5"/>
  <c r="J17" i="5"/>
  <c r="H17" i="5"/>
  <c r="N17" i="5" s="1"/>
  <c r="M26" i="5"/>
  <c r="K8" i="5"/>
  <c r="M33" i="5"/>
  <c r="E36" i="5" s="1"/>
  <c r="P36" i="5" s="1"/>
  <c r="H33" i="5"/>
  <c r="N33" i="5" s="1"/>
  <c r="E35" i="5" s="1"/>
  <c r="P35" i="5" s="1"/>
  <c r="K50" i="5"/>
  <c r="J50" i="5"/>
  <c r="I62" i="5"/>
  <c r="J110" i="5"/>
  <c r="H110" i="5"/>
  <c r="N110" i="5" s="1"/>
  <c r="E113" i="5" s="1"/>
  <c r="P113" i="5" s="1"/>
  <c r="J120" i="5"/>
  <c r="H120" i="5"/>
  <c r="N120" i="5" s="1"/>
  <c r="J123" i="5"/>
  <c r="H123" i="5"/>
  <c r="N123" i="5" s="1"/>
  <c r="E124" i="5" s="1"/>
  <c r="P124" i="5" s="1"/>
  <c r="N160" i="5"/>
  <c r="E162" i="5" s="1"/>
  <c r="P162" i="5" s="1"/>
  <c r="I160" i="5"/>
  <c r="I26" i="5"/>
  <c r="H49" i="5"/>
  <c r="N49" i="5" s="1"/>
  <c r="K49" i="5"/>
  <c r="H54" i="5"/>
  <c r="N54" i="5" s="1"/>
  <c r="E55" i="5" s="1"/>
  <c r="P55" i="5" s="1"/>
  <c r="N149" i="5"/>
  <c r="E150" i="5" s="1"/>
  <c r="P150" i="5" s="1"/>
  <c r="I149" i="5"/>
  <c r="K12" i="5"/>
  <c r="H8" i="5"/>
  <c r="N8" i="5" s="1"/>
  <c r="E11" i="5" s="1"/>
  <c r="P11" i="5" s="1"/>
  <c r="K13" i="5"/>
  <c r="H42" i="5"/>
  <c r="N42" i="5" s="1"/>
  <c r="M43" i="5"/>
  <c r="H43" i="5"/>
  <c r="I43" i="5" s="1"/>
  <c r="J49" i="5"/>
  <c r="H50" i="5"/>
  <c r="N50" i="5" s="1"/>
  <c r="K54" i="5"/>
  <c r="H58" i="5"/>
  <c r="N58" i="5" s="1"/>
  <c r="I82" i="5"/>
  <c r="I86" i="5"/>
  <c r="I91" i="5"/>
  <c r="J95" i="5"/>
  <c r="H95" i="5"/>
  <c r="N95" i="5" s="1"/>
  <c r="E97" i="5" s="1"/>
  <c r="P97" i="5" s="1"/>
  <c r="K110" i="5"/>
  <c r="K120" i="5"/>
  <c r="K123" i="5"/>
  <c r="I125" i="5"/>
  <c r="M24" i="5"/>
  <c r="H24" i="5"/>
  <c r="I24" i="5" s="1"/>
  <c r="J73" i="5"/>
  <c r="M73" i="5"/>
  <c r="E76" i="5" s="1"/>
  <c r="P76" i="5" s="1"/>
  <c r="H73" i="5"/>
  <c r="I73" i="5" s="1"/>
  <c r="N154" i="5"/>
  <c r="E156" i="5" s="1"/>
  <c r="P156" i="5" s="1"/>
  <c r="I154" i="5"/>
  <c r="K261" i="5"/>
  <c r="J261" i="5"/>
  <c r="H261" i="5"/>
  <c r="N261" i="5" s="1"/>
  <c r="E262" i="5" s="1"/>
  <c r="P262" i="5" s="1"/>
  <c r="W261" i="5" s="1"/>
  <c r="T273" i="5"/>
  <c r="M8" i="5"/>
  <c r="H12" i="5"/>
  <c r="N12" i="5" s="1"/>
  <c r="E15" i="5" s="1"/>
  <c r="P15" i="5" s="1"/>
  <c r="J24" i="5"/>
  <c r="J26" i="5"/>
  <c r="H34" i="5"/>
  <c r="N34" i="5" s="1"/>
  <c r="U7" i="5"/>
  <c r="U273" i="5" s="1"/>
  <c r="K24" i="5"/>
  <c r="K26" i="5"/>
  <c r="J33" i="5"/>
  <c r="J34" i="5"/>
  <c r="I51" i="5"/>
  <c r="J58" i="5"/>
  <c r="J68" i="5"/>
  <c r="H68" i="5"/>
  <c r="N68" i="5" s="1"/>
  <c r="E69" i="5" s="1"/>
  <c r="P69" i="5" s="1"/>
  <c r="K95" i="5"/>
  <c r="I96" i="5"/>
  <c r="J102" i="5"/>
  <c r="H102" i="5"/>
  <c r="N102" i="5" s="1"/>
  <c r="K85" i="5"/>
  <c r="K89" i="5"/>
  <c r="K101" i="5"/>
  <c r="K104" i="5"/>
  <c r="K121" i="5"/>
  <c r="I229" i="5"/>
  <c r="M245" i="5"/>
  <c r="K245" i="5"/>
  <c r="J245" i="5"/>
  <c r="H245" i="5"/>
  <c r="N245" i="5" s="1"/>
  <c r="K51" i="5"/>
  <c r="K59" i="5"/>
  <c r="K62" i="5"/>
  <c r="K72" i="5"/>
  <c r="K74" i="5"/>
  <c r="K82" i="5"/>
  <c r="H85" i="5"/>
  <c r="N85" i="5" s="1"/>
  <c r="E87" i="5" s="1"/>
  <c r="P87" i="5" s="1"/>
  <c r="K86" i="5"/>
  <c r="H89" i="5"/>
  <c r="N89" i="5" s="1"/>
  <c r="E90" i="5" s="1"/>
  <c r="P90" i="5" s="1"/>
  <c r="K91" i="5"/>
  <c r="K96" i="5"/>
  <c r="H101" i="5"/>
  <c r="N101" i="5" s="1"/>
  <c r="H104" i="5"/>
  <c r="N104" i="5" s="1"/>
  <c r="E105" i="5" s="1"/>
  <c r="P105" i="5" s="1"/>
  <c r="K109" i="5"/>
  <c r="H121" i="5"/>
  <c r="N121" i="5" s="1"/>
  <c r="K125" i="5"/>
  <c r="J141" i="5"/>
  <c r="H141" i="5"/>
  <c r="N141" i="5" s="1"/>
  <c r="E142" i="5" s="1"/>
  <c r="P142" i="5" s="1"/>
  <c r="H197" i="5"/>
  <c r="N197" i="5" s="1"/>
  <c r="E198" i="5" s="1"/>
  <c r="P198" i="5" s="1"/>
  <c r="K197" i="5"/>
  <c r="J197" i="5"/>
  <c r="H205" i="5"/>
  <c r="N205" i="5" s="1"/>
  <c r="E208" i="5" s="1"/>
  <c r="P208" i="5" s="1"/>
  <c r="K205" i="5"/>
  <c r="J205" i="5"/>
  <c r="K218" i="5"/>
  <c r="J218" i="5"/>
  <c r="H218" i="5"/>
  <c r="N218" i="5" s="1"/>
  <c r="E219" i="5" s="1"/>
  <c r="P219" i="5" s="1"/>
  <c r="L232" i="5"/>
  <c r="H232" i="5"/>
  <c r="N232" i="5" s="1"/>
  <c r="E233" i="5" s="1"/>
  <c r="P233" i="5" s="1"/>
  <c r="K232" i="5"/>
  <c r="J232" i="5"/>
  <c r="L245" i="5"/>
  <c r="H59" i="5"/>
  <c r="H74" i="5"/>
  <c r="H109" i="5"/>
  <c r="I111" i="5"/>
  <c r="H129" i="5"/>
  <c r="J129" i="5"/>
  <c r="J131" i="5"/>
  <c r="H131" i="5"/>
  <c r="K141" i="5"/>
  <c r="J180" i="5"/>
  <c r="K180" i="5"/>
  <c r="H180" i="5"/>
  <c r="N180" i="5" s="1"/>
  <c r="E181" i="5" s="1"/>
  <c r="P181" i="5" s="1"/>
  <c r="L225" i="5"/>
  <c r="H225" i="5"/>
  <c r="N225" i="5" s="1"/>
  <c r="K225" i="5"/>
  <c r="J225" i="5"/>
  <c r="M232" i="5"/>
  <c r="J235" i="5"/>
  <c r="K235" i="5"/>
  <c r="M235" i="5"/>
  <c r="H235" i="5"/>
  <c r="N235" i="5" s="1"/>
  <c r="E236" i="5" s="1"/>
  <c r="P236" i="5" s="1"/>
  <c r="H267" i="5"/>
  <c r="N267" i="5" s="1"/>
  <c r="E268" i="5" s="1"/>
  <c r="K267" i="5"/>
  <c r="J267" i="5"/>
  <c r="K137" i="5"/>
  <c r="K138" i="5"/>
  <c r="K143" i="5"/>
  <c r="J149" i="5"/>
  <c r="K152" i="5"/>
  <c r="J154" i="5"/>
  <c r="K155" i="5"/>
  <c r="K159" i="5"/>
  <c r="J160" i="5"/>
  <c r="K166" i="5"/>
  <c r="K175" i="5"/>
  <c r="K178" i="5"/>
  <c r="K149" i="5"/>
  <c r="K154" i="5"/>
  <c r="K160" i="5"/>
  <c r="I209" i="5"/>
  <c r="M237" i="5"/>
  <c r="L237" i="5"/>
  <c r="L252" i="5"/>
  <c r="H252" i="5"/>
  <c r="N252" i="5" s="1"/>
  <c r="E253" i="5" s="1"/>
  <c r="P253" i="5" s="1"/>
  <c r="M252" i="5"/>
  <c r="H271" i="5"/>
  <c r="N271" i="5" s="1"/>
  <c r="H175" i="5"/>
  <c r="I178" i="5"/>
  <c r="I188" i="5"/>
  <c r="I204" i="5"/>
  <c r="J209" i="5"/>
  <c r="H237" i="5"/>
  <c r="N237" i="5" s="1"/>
  <c r="L243" i="5"/>
  <c r="L255" i="5"/>
  <c r="H255" i="5"/>
  <c r="M255" i="5"/>
  <c r="M258" i="5"/>
  <c r="I258" i="5"/>
  <c r="L258" i="5"/>
  <c r="H312" i="1"/>
  <c r="N312" i="1" s="1"/>
  <c r="E314" i="1" s="1"/>
  <c r="P314" i="1" s="1"/>
  <c r="J312" i="1"/>
  <c r="K312" i="1"/>
  <c r="K294" i="1"/>
  <c r="H294" i="1"/>
  <c r="N294" i="1" s="1"/>
  <c r="L294" i="1"/>
  <c r="J294" i="1"/>
  <c r="K262" i="1"/>
  <c r="H262" i="1"/>
  <c r="N262" i="1" s="1"/>
  <c r="E263" i="1" s="1"/>
  <c r="P263" i="1" s="1"/>
  <c r="L262" i="1"/>
  <c r="M262" i="1"/>
  <c r="I170" i="5" l="1"/>
  <c r="P170" i="5" s="1"/>
  <c r="I9" i="5"/>
  <c r="I261" i="5"/>
  <c r="E88" i="5"/>
  <c r="P88" i="5" s="1"/>
  <c r="I184" i="5"/>
  <c r="N148" i="5"/>
  <c r="E151" i="5" s="1"/>
  <c r="P151" i="5" s="1"/>
  <c r="I195" i="5"/>
  <c r="N9" i="5"/>
  <c r="P234" i="1"/>
  <c r="I83" i="5"/>
  <c r="P83" i="5" s="1"/>
  <c r="I267" i="1"/>
  <c r="P267" i="1" s="1"/>
  <c r="I233" i="1"/>
  <c r="P233" i="1" s="1"/>
  <c r="E295" i="1"/>
  <c r="P295" i="1" s="1"/>
  <c r="P188" i="5"/>
  <c r="N81" i="5"/>
  <c r="P81" i="5" s="1"/>
  <c r="I23" i="5"/>
  <c r="P23" i="5" s="1"/>
  <c r="P72" i="5"/>
  <c r="I165" i="5"/>
  <c r="P165" i="5" s="1"/>
  <c r="P229" i="5"/>
  <c r="W229" i="5" s="1"/>
  <c r="I252" i="5"/>
  <c r="P252" i="5" s="1"/>
  <c r="W252" i="5" s="1"/>
  <c r="I224" i="5"/>
  <c r="P224" i="5" s="1"/>
  <c r="I203" i="5"/>
  <c r="I133" i="5"/>
  <c r="P133" i="5" s="1"/>
  <c r="I218" i="5"/>
  <c r="P218" i="5" s="1"/>
  <c r="W218" i="5" s="1"/>
  <c r="I245" i="5"/>
  <c r="P245" i="5" s="1"/>
  <c r="I108" i="5"/>
  <c r="P108" i="5" s="1"/>
  <c r="I25" i="5"/>
  <c r="P25" i="5" s="1"/>
  <c r="E196" i="5"/>
  <c r="P196" i="5" s="1"/>
  <c r="N182" i="5"/>
  <c r="E183" i="5" s="1"/>
  <c r="P183" i="5" s="1"/>
  <c r="I182" i="5"/>
  <c r="N187" i="5"/>
  <c r="E189" i="5" s="1"/>
  <c r="P189" i="5" s="1"/>
  <c r="E84" i="5"/>
  <c r="P84" i="5" s="1"/>
  <c r="I159" i="5"/>
  <c r="P159" i="5" s="1"/>
  <c r="P13" i="5"/>
  <c r="I214" i="5"/>
  <c r="P214" i="5" s="1"/>
  <c r="P19" i="5"/>
  <c r="P173" i="5"/>
  <c r="P203" i="5"/>
  <c r="P138" i="5"/>
  <c r="P195" i="5"/>
  <c r="I17" i="5"/>
  <c r="P17" i="5" s="1"/>
  <c r="E18" i="5"/>
  <c r="P18" i="5" s="1"/>
  <c r="I146" i="5"/>
  <c r="N146" i="5"/>
  <c r="E147" i="5" s="1"/>
  <c r="P147" i="5" s="1"/>
  <c r="L285" i="5"/>
  <c r="I194" i="5"/>
  <c r="P194" i="5" s="1"/>
  <c r="I34" i="5"/>
  <c r="P34" i="5" s="1"/>
  <c r="E31" i="5"/>
  <c r="P31" i="5" s="1"/>
  <c r="P86" i="5"/>
  <c r="E48" i="5"/>
  <c r="P48" i="5" s="1"/>
  <c r="J273" i="5"/>
  <c r="K273" i="5"/>
  <c r="I98" i="5"/>
  <c r="N98" i="5"/>
  <c r="E99" i="5" s="1"/>
  <c r="P99" i="5" s="1"/>
  <c r="I243" i="5"/>
  <c r="P243" i="5" s="1"/>
  <c r="I102" i="5"/>
  <c r="P102" i="5" s="1"/>
  <c r="N44" i="5"/>
  <c r="P44" i="5" s="1"/>
  <c r="P204" i="5"/>
  <c r="L273" i="5"/>
  <c r="I199" i="5"/>
  <c r="P199" i="5" s="1"/>
  <c r="I95" i="5"/>
  <c r="P95" i="5" s="1"/>
  <c r="P26" i="5"/>
  <c r="I110" i="5"/>
  <c r="P110" i="5" s="1"/>
  <c r="N7" i="5"/>
  <c r="E10" i="5" s="1"/>
  <c r="I166" i="5"/>
  <c r="P166" i="5" s="1"/>
  <c r="I212" i="5"/>
  <c r="N212" i="5"/>
  <c r="E213" i="5" s="1"/>
  <c r="P213" i="5" s="1"/>
  <c r="I155" i="5"/>
  <c r="P155" i="5" s="1"/>
  <c r="I235" i="5"/>
  <c r="P235" i="5" s="1"/>
  <c r="I137" i="5"/>
  <c r="P137" i="5" s="1"/>
  <c r="I232" i="5"/>
  <c r="P232" i="5" s="1"/>
  <c r="W232" i="5" s="1"/>
  <c r="E103" i="5"/>
  <c r="P103" i="5" s="1"/>
  <c r="P184" i="5"/>
  <c r="P51" i="5"/>
  <c r="I57" i="5"/>
  <c r="N57" i="5"/>
  <c r="I63" i="5"/>
  <c r="N63" i="5"/>
  <c r="E66" i="5" s="1"/>
  <c r="P66" i="5" s="1"/>
  <c r="P244" i="5"/>
  <c r="I152" i="5"/>
  <c r="P152" i="5" s="1"/>
  <c r="I255" i="5"/>
  <c r="N255" i="5"/>
  <c r="N59" i="5"/>
  <c r="E67" i="5" s="1"/>
  <c r="P67" i="5" s="1"/>
  <c r="I59" i="5"/>
  <c r="P96" i="5"/>
  <c r="I237" i="5"/>
  <c r="P237" i="5" s="1"/>
  <c r="N131" i="5"/>
  <c r="E132" i="5" s="1"/>
  <c r="P132" i="5" s="1"/>
  <c r="I131" i="5"/>
  <c r="I141" i="5"/>
  <c r="P141" i="5" s="1"/>
  <c r="I68" i="5"/>
  <c r="P68" i="5" s="1"/>
  <c r="I50" i="5"/>
  <c r="P50" i="5" s="1"/>
  <c r="P24" i="5"/>
  <c r="I85" i="5"/>
  <c r="P85" i="5" s="1"/>
  <c r="I123" i="5"/>
  <c r="P123" i="5" s="1"/>
  <c r="I120" i="5"/>
  <c r="P120" i="5" s="1"/>
  <c r="I49" i="5"/>
  <c r="P49" i="5" s="1"/>
  <c r="I225" i="5"/>
  <c r="P225" i="5" s="1"/>
  <c r="P268" i="5"/>
  <c r="I180" i="5"/>
  <c r="P180" i="5" s="1"/>
  <c r="N109" i="5"/>
  <c r="I109" i="5"/>
  <c r="E226" i="5"/>
  <c r="P226" i="5" s="1"/>
  <c r="E111" i="5"/>
  <c r="P111" i="5" s="1"/>
  <c r="I101" i="5"/>
  <c r="P101" i="5" s="1"/>
  <c r="P43" i="5"/>
  <c r="I33" i="5"/>
  <c r="P33" i="5" s="1"/>
  <c r="M273" i="5"/>
  <c r="E16" i="5"/>
  <c r="P16" i="5" s="1"/>
  <c r="P154" i="5"/>
  <c r="P125" i="5"/>
  <c r="I104" i="5"/>
  <c r="P104" i="5" s="1"/>
  <c r="P91" i="5"/>
  <c r="P82" i="5"/>
  <c r="I58" i="5"/>
  <c r="P58" i="5" s="1"/>
  <c r="I54" i="5"/>
  <c r="P54" i="5" s="1"/>
  <c r="P62" i="5"/>
  <c r="I8" i="5"/>
  <c r="P8" i="5" s="1"/>
  <c r="N129" i="5"/>
  <c r="E130" i="5" s="1"/>
  <c r="P130" i="5" s="1"/>
  <c r="I129" i="5"/>
  <c r="E52" i="5"/>
  <c r="P52" i="5" s="1"/>
  <c r="E122" i="5"/>
  <c r="P122" i="5" s="1"/>
  <c r="P258" i="5"/>
  <c r="W258" i="5" s="1"/>
  <c r="P178" i="5"/>
  <c r="I271" i="5"/>
  <c r="N175" i="5"/>
  <c r="E176" i="5" s="1"/>
  <c r="P176" i="5" s="1"/>
  <c r="I175" i="5"/>
  <c r="P209" i="5"/>
  <c r="I267" i="5"/>
  <c r="P267" i="5" s="1"/>
  <c r="N74" i="5"/>
  <c r="I74" i="5"/>
  <c r="I205" i="5"/>
  <c r="P205" i="5" s="1"/>
  <c r="I197" i="5"/>
  <c r="P197" i="5" s="1"/>
  <c r="I42" i="5"/>
  <c r="P42" i="5" s="1"/>
  <c r="N73" i="5"/>
  <c r="P73" i="5" s="1"/>
  <c r="E75" i="5"/>
  <c r="P75" i="5" s="1"/>
  <c r="I89" i="5"/>
  <c r="P89" i="5" s="1"/>
  <c r="P149" i="5"/>
  <c r="P160" i="5"/>
  <c r="I121" i="5"/>
  <c r="P121" i="5" s="1"/>
  <c r="I12" i="5"/>
  <c r="P12" i="5" s="1"/>
  <c r="I312" i="1"/>
  <c r="P312" i="1" s="1"/>
  <c r="V312" i="1" s="1"/>
  <c r="I294" i="1"/>
  <c r="P294" i="1" s="1"/>
  <c r="I262" i="1"/>
  <c r="P262" i="1" s="1"/>
  <c r="G151" i="1"/>
  <c r="J151" i="1" s="1"/>
  <c r="S241" i="1"/>
  <c r="P9" i="5" l="1"/>
  <c r="P129" i="5"/>
  <c r="P74" i="5"/>
  <c r="P175" i="5"/>
  <c r="W170" i="5" s="1"/>
  <c r="P148" i="5"/>
  <c r="P7" i="5"/>
  <c r="P182" i="5"/>
  <c r="W178" i="5" s="1"/>
  <c r="W23" i="5"/>
  <c r="P131" i="5"/>
  <c r="L282" i="5"/>
  <c r="W165" i="5"/>
  <c r="W136" i="5"/>
  <c r="W159" i="5"/>
  <c r="P146" i="5"/>
  <c r="W194" i="5"/>
  <c r="W81" i="5"/>
  <c r="P109" i="5"/>
  <c r="P255" i="5"/>
  <c r="W255" i="5" s="1"/>
  <c r="P63" i="5"/>
  <c r="P98" i="5"/>
  <c r="W95" i="5" s="1"/>
  <c r="W33" i="5"/>
  <c r="W203" i="5"/>
  <c r="P59" i="5"/>
  <c r="W235" i="5"/>
  <c r="P187" i="5"/>
  <c r="W187" i="5" s="1"/>
  <c r="P212" i="5"/>
  <c r="W212" i="5" s="1"/>
  <c r="W72" i="5"/>
  <c r="W108" i="5"/>
  <c r="W224" i="5"/>
  <c r="P57" i="5"/>
  <c r="W101" i="5"/>
  <c r="W120" i="5"/>
  <c r="E273" i="5"/>
  <c r="P10" i="5"/>
  <c r="W42" i="5"/>
  <c r="W267" i="5"/>
  <c r="W243" i="5"/>
  <c r="E274" i="5"/>
  <c r="N273" i="5"/>
  <c r="K151" i="1"/>
  <c r="H151" i="1"/>
  <c r="N151" i="1" s="1"/>
  <c r="E152" i="1" s="1"/>
  <c r="P152" i="1" s="1"/>
  <c r="W129" i="5" l="1"/>
  <c r="W7" i="5"/>
  <c r="W146" i="5"/>
  <c r="W57" i="5"/>
  <c r="W273" i="5" s="1"/>
  <c r="E275" i="5"/>
  <c r="P273" i="5"/>
  <c r="O278" i="5" s="1"/>
  <c r="U280" i="5" s="1"/>
  <c r="U282" i="5" s="1"/>
  <c r="I151" i="1"/>
  <c r="P151" i="1" s="1"/>
  <c r="U275" i="5" l="1"/>
  <c r="L283" i="5" s="1"/>
  <c r="G281" i="1"/>
  <c r="J281" i="1" s="1"/>
  <c r="G272" i="1"/>
  <c r="J272" i="1" s="1"/>
  <c r="L281" i="1" l="1"/>
  <c r="M281" i="1"/>
  <c r="K281" i="1"/>
  <c r="H281" i="1"/>
  <c r="N281" i="1" s="1"/>
  <c r="E283" i="1" s="1"/>
  <c r="P283" i="1" s="1"/>
  <c r="L272" i="1"/>
  <c r="K272" i="1"/>
  <c r="H272" i="1"/>
  <c r="N272" i="1" s="1"/>
  <c r="E273" i="1" s="1"/>
  <c r="P273" i="1" s="1"/>
  <c r="M272" i="1"/>
  <c r="I281" i="1" l="1"/>
  <c r="P281" i="1" s="1"/>
  <c r="I272" i="1"/>
  <c r="P272" i="1" s="1"/>
  <c r="S308" i="1" l="1"/>
  <c r="S256" i="1"/>
  <c r="S257" i="1"/>
  <c r="V305" i="1" l="1"/>
  <c r="G308" i="1"/>
  <c r="J308" i="1" s="1"/>
  <c r="E206" i="1"/>
  <c r="G206" i="1" s="1"/>
  <c r="J206" i="1" s="1"/>
  <c r="G177" i="1"/>
  <c r="J177" i="1" s="1"/>
  <c r="S302" i="1"/>
  <c r="S240" i="1"/>
  <c r="O316" i="1"/>
  <c r="L329" i="1" s="1"/>
  <c r="T324" i="1"/>
  <c r="G302" i="1"/>
  <c r="K302" i="1" s="1"/>
  <c r="K308" i="1" l="1"/>
  <c r="H308" i="1"/>
  <c r="N308" i="1" s="1"/>
  <c r="E309" i="1" s="1"/>
  <c r="K206" i="1"/>
  <c r="H206" i="1"/>
  <c r="N206" i="1" s="1"/>
  <c r="E207" i="1" s="1"/>
  <c r="P207" i="1" s="1"/>
  <c r="K177" i="1"/>
  <c r="H177" i="1"/>
  <c r="N177" i="1" s="1"/>
  <c r="H302" i="1"/>
  <c r="N302" i="1" s="1"/>
  <c r="E303" i="1" s="1"/>
  <c r="P303" i="1" s="1"/>
  <c r="J302" i="1"/>
  <c r="P309" i="1" l="1"/>
  <c r="E179" i="1"/>
  <c r="P179" i="1" s="1"/>
  <c r="I308" i="1"/>
  <c r="P308" i="1" s="1"/>
  <c r="I206" i="1"/>
  <c r="P206" i="1" s="1"/>
  <c r="I177" i="1"/>
  <c r="P177" i="1" s="1"/>
  <c r="I302" i="1"/>
  <c r="S204" i="1"/>
  <c r="V308" i="1" l="1"/>
  <c r="V302" i="1"/>
  <c r="G280" i="1"/>
  <c r="K280" i="1" s="1"/>
  <c r="G256" i="1"/>
  <c r="K256" i="1" s="1"/>
  <c r="G255" i="1"/>
  <c r="J255" i="1" s="1"/>
  <c r="G270" i="1"/>
  <c r="K270" i="1" s="1"/>
  <c r="G297" i="1"/>
  <c r="M297" i="1" s="1"/>
  <c r="G99" i="1"/>
  <c r="H99" i="1" s="1"/>
  <c r="S230" i="1"/>
  <c r="S239" i="1"/>
  <c r="S149" i="1"/>
  <c r="T149" i="1" s="1"/>
  <c r="G279" i="1"/>
  <c r="K279" i="1" s="1"/>
  <c r="G265" i="1"/>
  <c r="M265" i="1" s="1"/>
  <c r="G289" i="1"/>
  <c r="H289" i="1" s="1"/>
  <c r="N289" i="1" s="1"/>
  <c r="E290" i="1" s="1"/>
  <c r="P290" i="1" s="1"/>
  <c r="G176" i="1"/>
  <c r="J176" i="1" s="1"/>
  <c r="G231" i="1"/>
  <c r="J231" i="1" s="1"/>
  <c r="G149" i="1"/>
  <c r="J149" i="1" s="1"/>
  <c r="G240" i="1"/>
  <c r="S229" i="1"/>
  <c r="H280" i="1" l="1"/>
  <c r="I280" i="1" s="1"/>
  <c r="J280" i="1"/>
  <c r="L256" i="1"/>
  <c r="M256" i="1"/>
  <c r="H256" i="1"/>
  <c r="N256" i="1" s="1"/>
  <c r="J256" i="1"/>
  <c r="H255" i="1"/>
  <c r="N255" i="1" s="1"/>
  <c r="L255" i="1"/>
  <c r="M255" i="1"/>
  <c r="K255" i="1"/>
  <c r="H270" i="1"/>
  <c r="N270" i="1" s="1"/>
  <c r="E271" i="1" s="1"/>
  <c r="P271" i="1" s="1"/>
  <c r="L270" i="1"/>
  <c r="M270" i="1"/>
  <c r="J270" i="1"/>
  <c r="J297" i="1"/>
  <c r="L297" i="1"/>
  <c r="K297" i="1"/>
  <c r="H297" i="1"/>
  <c r="N297" i="1" s="1"/>
  <c r="I99" i="1"/>
  <c r="N99" i="1"/>
  <c r="E100" i="1" s="1"/>
  <c r="P100" i="1" s="1"/>
  <c r="J99" i="1"/>
  <c r="K99" i="1"/>
  <c r="J279" i="1"/>
  <c r="H279" i="1"/>
  <c r="N279" i="1" s="1"/>
  <c r="L279" i="1"/>
  <c r="M279" i="1"/>
  <c r="J265" i="1"/>
  <c r="K265" i="1"/>
  <c r="H265" i="1"/>
  <c r="L265" i="1"/>
  <c r="L289" i="1"/>
  <c r="M289" i="1"/>
  <c r="I289" i="1"/>
  <c r="J289" i="1"/>
  <c r="K289" i="1"/>
  <c r="K176" i="1"/>
  <c r="H176" i="1"/>
  <c r="N176" i="1" s="1"/>
  <c r="E178" i="1" s="1"/>
  <c r="P178" i="1" s="1"/>
  <c r="K231" i="1"/>
  <c r="H231" i="1"/>
  <c r="N231" i="1" s="1"/>
  <c r="E232" i="1" s="1"/>
  <c r="P232" i="1" s="1"/>
  <c r="K149" i="1"/>
  <c r="H149" i="1"/>
  <c r="N149" i="1" s="1"/>
  <c r="E150" i="1" s="1"/>
  <c r="P150" i="1" s="1"/>
  <c r="J240" i="1"/>
  <c r="K240" i="1"/>
  <c r="H240" i="1"/>
  <c r="N240" i="1" s="1"/>
  <c r="E241" i="1" s="1"/>
  <c r="P241" i="1" s="1"/>
  <c r="S238" i="1"/>
  <c r="E257" i="1" l="1"/>
  <c r="P257" i="1" s="1"/>
  <c r="N280" i="1"/>
  <c r="E282" i="1" s="1"/>
  <c r="P282" i="1" s="1"/>
  <c r="E298" i="1"/>
  <c r="L316" i="1"/>
  <c r="I270" i="1"/>
  <c r="P270" i="1" s="1"/>
  <c r="V270" i="1" s="1"/>
  <c r="P99" i="1"/>
  <c r="I256" i="1"/>
  <c r="P256" i="1" s="1"/>
  <c r="I255" i="1"/>
  <c r="P255" i="1" s="1"/>
  <c r="I297" i="1"/>
  <c r="P297" i="1" s="1"/>
  <c r="I279" i="1"/>
  <c r="P279" i="1" s="1"/>
  <c r="N265" i="1"/>
  <c r="E266" i="1" s="1"/>
  <c r="P266" i="1" s="1"/>
  <c r="I265" i="1"/>
  <c r="P289" i="1"/>
  <c r="V289" i="1" s="1"/>
  <c r="I176" i="1"/>
  <c r="P176" i="1" s="1"/>
  <c r="I149" i="1"/>
  <c r="P149" i="1" s="1"/>
  <c r="I231" i="1"/>
  <c r="P231" i="1" s="1"/>
  <c r="I240" i="1"/>
  <c r="P240" i="1" s="1"/>
  <c r="G174" i="1"/>
  <c r="H174" i="1" s="1"/>
  <c r="V275" i="1"/>
  <c r="V294" i="1"/>
  <c r="V285" i="1"/>
  <c r="G74" i="1"/>
  <c r="K74" i="1" s="1"/>
  <c r="V255" i="1" l="1"/>
  <c r="P265" i="1"/>
  <c r="V265" i="1" s="1"/>
  <c r="P280" i="1"/>
  <c r="V279" i="1" s="1"/>
  <c r="P298" i="1"/>
  <c r="V297" i="1" s="1"/>
  <c r="J174" i="1"/>
  <c r="K174" i="1"/>
  <c r="N174" i="1"/>
  <c r="E175" i="1" s="1"/>
  <c r="P175" i="1" s="1"/>
  <c r="I174" i="1"/>
  <c r="H74" i="1"/>
  <c r="N74" i="1" s="1"/>
  <c r="E75" i="1" s="1"/>
  <c r="P75" i="1" s="1"/>
  <c r="J74" i="1"/>
  <c r="G147" i="1"/>
  <c r="K147" i="1" s="1"/>
  <c r="P174" i="1" l="1"/>
  <c r="I74" i="1"/>
  <c r="P74" i="1" s="1"/>
  <c r="H147" i="1"/>
  <c r="N147" i="1" s="1"/>
  <c r="E148" i="1" s="1"/>
  <c r="P148" i="1" s="1"/>
  <c r="J147" i="1"/>
  <c r="G204" i="1"/>
  <c r="K204" i="1" s="1"/>
  <c r="G238" i="1"/>
  <c r="K238" i="1" s="1"/>
  <c r="G106" i="1"/>
  <c r="K106" i="1" s="1"/>
  <c r="G58" i="1"/>
  <c r="J58" i="1" s="1"/>
  <c r="I147" i="1" l="1"/>
  <c r="P147" i="1" s="1"/>
  <c r="H204" i="1"/>
  <c r="N204" i="1" s="1"/>
  <c r="E205" i="1" s="1"/>
  <c r="P205" i="1" s="1"/>
  <c r="J204" i="1"/>
  <c r="J238" i="1"/>
  <c r="H238" i="1"/>
  <c r="N238" i="1" s="1"/>
  <c r="E239" i="1" s="1"/>
  <c r="P239" i="1" s="1"/>
  <c r="H106" i="1"/>
  <c r="N106" i="1" s="1"/>
  <c r="E107" i="1" s="1"/>
  <c r="P107" i="1" s="1"/>
  <c r="J106" i="1"/>
  <c r="K58" i="1"/>
  <c r="H58" i="1"/>
  <c r="N58" i="1" s="1"/>
  <c r="E59" i="1" s="1"/>
  <c r="P59" i="1" s="1"/>
  <c r="G221" i="1"/>
  <c r="K221" i="1" s="1"/>
  <c r="I58" i="1" l="1"/>
  <c r="P58" i="1" s="1"/>
  <c r="I204" i="1"/>
  <c r="P204" i="1" s="1"/>
  <c r="I238" i="1"/>
  <c r="P238" i="1" s="1"/>
  <c r="V238" i="1" s="1"/>
  <c r="I106" i="1"/>
  <c r="P106" i="1" s="1"/>
  <c r="H221" i="1"/>
  <c r="N221" i="1" s="1"/>
  <c r="E222" i="1" s="1"/>
  <c r="P222" i="1" s="1"/>
  <c r="J221" i="1"/>
  <c r="S207" i="1"/>
  <c r="I221" i="1" l="1"/>
  <c r="P221" i="1" s="1"/>
  <c r="S266" i="1"/>
  <c r="G202" i="1" l="1"/>
  <c r="K202" i="1" s="1"/>
  <c r="H202" i="1" l="1"/>
  <c r="N202" i="1" s="1"/>
  <c r="E203" i="1" s="1"/>
  <c r="P203" i="1" s="1"/>
  <c r="J202" i="1"/>
  <c r="I202" i="1" l="1"/>
  <c r="P202" i="1" s="1"/>
  <c r="R316" i="1" l="1"/>
  <c r="S275" i="1" l="1"/>
  <c r="S285" i="1"/>
  <c r="S262" i="1"/>
  <c r="S265" i="1"/>
  <c r="S270" i="1"/>
  <c r="V262" i="1"/>
  <c r="S255" i="1" l="1"/>
  <c r="S134" i="1" l="1"/>
  <c r="S30" i="1" l="1"/>
  <c r="T30" i="1" s="1"/>
  <c r="S86" i="1"/>
  <c r="S228" i="1" l="1"/>
  <c r="S250" i="1"/>
  <c r="S249" i="1"/>
  <c r="S19" i="1" l="1"/>
  <c r="S206" i="1" l="1"/>
  <c r="G114" i="1"/>
  <c r="J114" i="1" s="1"/>
  <c r="G227" i="1"/>
  <c r="H227" i="1" s="1"/>
  <c r="N227" i="1" s="1"/>
  <c r="E230" i="1" s="1"/>
  <c r="P230" i="1" s="1"/>
  <c r="S226" i="1"/>
  <c r="G226" i="1"/>
  <c r="H226" i="1" s="1"/>
  <c r="S225" i="1"/>
  <c r="G225" i="1"/>
  <c r="J225" i="1" s="1"/>
  <c r="G171" i="1"/>
  <c r="K171" i="1" s="1"/>
  <c r="G249" i="1"/>
  <c r="J249" i="1" s="1"/>
  <c r="G219" i="1"/>
  <c r="K227" i="1" l="1"/>
  <c r="J227" i="1"/>
  <c r="K114" i="1"/>
  <c r="H114" i="1"/>
  <c r="N114" i="1" s="1"/>
  <c r="I227" i="1"/>
  <c r="N226" i="1"/>
  <c r="E229" i="1" s="1"/>
  <c r="P229" i="1" s="1"/>
  <c r="I226" i="1"/>
  <c r="K225" i="1"/>
  <c r="J226" i="1"/>
  <c r="H225" i="1"/>
  <c r="N225" i="1" s="1"/>
  <c r="E228" i="1" s="1"/>
  <c r="P228" i="1" s="1"/>
  <c r="K226" i="1"/>
  <c r="H171" i="1"/>
  <c r="N171" i="1" s="1"/>
  <c r="E172" i="1" s="1"/>
  <c r="P172" i="1" s="1"/>
  <c r="J171" i="1"/>
  <c r="K249" i="1"/>
  <c r="H249" i="1"/>
  <c r="N249" i="1" s="1"/>
  <c r="E250" i="1" s="1"/>
  <c r="K219" i="1"/>
  <c r="J219" i="1"/>
  <c r="H219" i="1"/>
  <c r="N219" i="1" s="1"/>
  <c r="E220" i="1" s="1"/>
  <c r="P220" i="1" s="1"/>
  <c r="V127" i="1"/>
  <c r="T213" i="1"/>
  <c r="G195" i="1"/>
  <c r="S85" i="1"/>
  <c r="S133" i="1"/>
  <c r="T188" i="1"/>
  <c r="S195" i="1"/>
  <c r="S205" i="1"/>
  <c r="P250" i="1" l="1"/>
  <c r="E115" i="1"/>
  <c r="P115" i="1" s="1"/>
  <c r="P227" i="1"/>
  <c r="P226" i="1"/>
  <c r="I171" i="1"/>
  <c r="P171" i="1" s="1"/>
  <c r="I114" i="1"/>
  <c r="P114" i="1" s="1"/>
  <c r="I225" i="1"/>
  <c r="P225" i="1" s="1"/>
  <c r="I249" i="1"/>
  <c r="P249" i="1" s="1"/>
  <c r="I219" i="1"/>
  <c r="P219" i="1" s="1"/>
  <c r="H195" i="1"/>
  <c r="N195" i="1" s="1"/>
  <c r="K195" i="1"/>
  <c r="J195" i="1"/>
  <c r="G136" i="1"/>
  <c r="J136" i="1" s="1"/>
  <c r="G104" i="1"/>
  <c r="J104" i="1" s="1"/>
  <c r="V225" i="1" l="1"/>
  <c r="V249" i="1"/>
  <c r="I195" i="1"/>
  <c r="P195" i="1" s="1"/>
  <c r="K136" i="1"/>
  <c r="H136" i="1"/>
  <c r="N136" i="1" s="1"/>
  <c r="E137" i="1" s="1"/>
  <c r="P137" i="1" s="1"/>
  <c r="K104" i="1"/>
  <c r="H104" i="1"/>
  <c r="N104" i="1" s="1"/>
  <c r="G112" i="1"/>
  <c r="K112" i="1" s="1"/>
  <c r="I136" i="1" l="1"/>
  <c r="P136" i="1" s="1"/>
  <c r="I104" i="1"/>
  <c r="P104" i="1" s="1"/>
  <c r="H112" i="1"/>
  <c r="I112" i="1" s="1"/>
  <c r="J112" i="1"/>
  <c r="G210" i="1"/>
  <c r="H210" i="1" s="1"/>
  <c r="N210" i="1" s="1"/>
  <c r="G111" i="1"/>
  <c r="K111" i="1" s="1"/>
  <c r="S51" i="1"/>
  <c r="N112" i="1" l="1"/>
  <c r="P112" i="1" s="1"/>
  <c r="J210" i="1"/>
  <c r="I210" i="1"/>
  <c r="K210" i="1"/>
  <c r="H111" i="1"/>
  <c r="I111" i="1" s="1"/>
  <c r="J111" i="1"/>
  <c r="G209" i="1"/>
  <c r="J209" i="1" s="1"/>
  <c r="G103" i="1"/>
  <c r="J103" i="1" s="1"/>
  <c r="G55" i="1"/>
  <c r="H55" i="1" s="1"/>
  <c r="G20" i="1"/>
  <c r="G97" i="1"/>
  <c r="S218" i="1"/>
  <c r="N111" i="1" l="1"/>
  <c r="E113" i="1" s="1"/>
  <c r="P113" i="1" s="1"/>
  <c r="P210" i="1"/>
  <c r="J55" i="1"/>
  <c r="K209" i="1"/>
  <c r="H209" i="1"/>
  <c r="N209" i="1" s="1"/>
  <c r="E211" i="1" s="1"/>
  <c r="P211" i="1" s="1"/>
  <c r="K103" i="1"/>
  <c r="H103" i="1"/>
  <c r="N103" i="1" s="1"/>
  <c r="E105" i="1" s="1"/>
  <c r="P105" i="1" s="1"/>
  <c r="N55" i="1"/>
  <c r="E57" i="1" s="1"/>
  <c r="P57" i="1" s="1"/>
  <c r="I55" i="1"/>
  <c r="K55" i="1"/>
  <c r="H20" i="1"/>
  <c r="N20" i="1" s="1"/>
  <c r="E21" i="1" s="1"/>
  <c r="P21" i="1" s="1"/>
  <c r="K20" i="1"/>
  <c r="J20" i="1"/>
  <c r="J97" i="1"/>
  <c r="K97" i="1"/>
  <c r="H97" i="1"/>
  <c r="N97" i="1" s="1"/>
  <c r="E98" i="1" s="1"/>
  <c r="P98" i="1" s="1"/>
  <c r="G134" i="1"/>
  <c r="G217" i="1"/>
  <c r="K217" i="1" s="1"/>
  <c r="S217" i="1"/>
  <c r="G197" i="1"/>
  <c r="K197" i="1" s="1"/>
  <c r="G170" i="1"/>
  <c r="S93" i="1"/>
  <c r="T93" i="1" s="1"/>
  <c r="E54" i="1"/>
  <c r="G54" i="1" s="1"/>
  <c r="E53" i="1"/>
  <c r="G53" i="1" s="1"/>
  <c r="S53" i="1"/>
  <c r="K170" i="1" l="1"/>
  <c r="J170" i="1"/>
  <c r="H134" i="1"/>
  <c r="I134" i="1" s="1"/>
  <c r="J134" i="1"/>
  <c r="P111" i="1"/>
  <c r="I103" i="1"/>
  <c r="P103" i="1" s="1"/>
  <c r="P55" i="1"/>
  <c r="H54" i="1"/>
  <c r="N54" i="1" s="1"/>
  <c r="J54" i="1"/>
  <c r="K53" i="1"/>
  <c r="J53" i="1"/>
  <c r="I20" i="1"/>
  <c r="P20" i="1" s="1"/>
  <c r="I209" i="1"/>
  <c r="P209" i="1" s="1"/>
  <c r="I97" i="1"/>
  <c r="P97" i="1" s="1"/>
  <c r="K134" i="1"/>
  <c r="N134" i="1"/>
  <c r="E135" i="1" s="1"/>
  <c r="P135" i="1" s="1"/>
  <c r="J217" i="1"/>
  <c r="H217" i="1"/>
  <c r="N217" i="1" s="1"/>
  <c r="H197" i="1"/>
  <c r="N197" i="1" s="1"/>
  <c r="E198" i="1" s="1"/>
  <c r="P198" i="1" s="1"/>
  <c r="J197" i="1"/>
  <c r="H170" i="1"/>
  <c r="N170" i="1" s="1"/>
  <c r="E173" i="1" s="1"/>
  <c r="K54" i="1"/>
  <c r="H53" i="1"/>
  <c r="N53" i="1" s="1"/>
  <c r="S148" i="1"/>
  <c r="T148" i="1" s="1"/>
  <c r="T132" i="1"/>
  <c r="E56" i="1" l="1"/>
  <c r="P56" i="1" s="1"/>
  <c r="I54" i="1"/>
  <c r="P54" i="1" s="1"/>
  <c r="I170" i="1"/>
  <c r="P170" i="1" s="1"/>
  <c r="P134" i="1"/>
  <c r="I217" i="1"/>
  <c r="P217" i="1" s="1"/>
  <c r="I197" i="1"/>
  <c r="P197" i="1" s="1"/>
  <c r="I53" i="1"/>
  <c r="P53" i="1" s="1"/>
  <c r="E196" i="1"/>
  <c r="P196" i="1" s="1"/>
  <c r="T169" i="1"/>
  <c r="T193" i="1"/>
  <c r="G216" i="1"/>
  <c r="J216" i="1" s="1"/>
  <c r="S92" i="1"/>
  <c r="T92" i="1" s="1"/>
  <c r="J154" i="1"/>
  <c r="G94" i="1"/>
  <c r="J94" i="1" s="1"/>
  <c r="G93" i="1"/>
  <c r="J93" i="1" s="1"/>
  <c r="G132" i="1"/>
  <c r="H132" i="1" s="1"/>
  <c r="P67" i="1"/>
  <c r="P66" i="1"/>
  <c r="P51" i="1"/>
  <c r="P50" i="1"/>
  <c r="P49" i="1"/>
  <c r="S216" i="1"/>
  <c r="P173" i="1" l="1"/>
  <c r="J132" i="1"/>
  <c r="K216" i="1"/>
  <c r="H216" i="1"/>
  <c r="N216" i="1" s="1"/>
  <c r="E218" i="1" s="1"/>
  <c r="K94" i="1"/>
  <c r="H94" i="1"/>
  <c r="N94" i="1" s="1"/>
  <c r="K93" i="1"/>
  <c r="H93" i="1"/>
  <c r="N93" i="1" s="1"/>
  <c r="N132" i="1"/>
  <c r="I132" i="1"/>
  <c r="K132" i="1"/>
  <c r="E159" i="1"/>
  <c r="G159" i="1" s="1"/>
  <c r="J159" i="1" s="1"/>
  <c r="P218" i="1" l="1"/>
  <c r="E95" i="1"/>
  <c r="P95" i="1" s="1"/>
  <c r="P132" i="1"/>
  <c r="I216" i="1"/>
  <c r="P216" i="1" s="1"/>
  <c r="I94" i="1"/>
  <c r="P94" i="1" s="1"/>
  <c r="I93" i="1"/>
  <c r="P93" i="1" s="1"/>
  <c r="K159" i="1"/>
  <c r="H159" i="1"/>
  <c r="N159" i="1" s="1"/>
  <c r="E18" i="1"/>
  <c r="V216" i="1" l="1"/>
  <c r="I159" i="1"/>
  <c r="P159" i="1" s="1"/>
  <c r="G18" i="1"/>
  <c r="K18" i="1" s="1"/>
  <c r="H18" i="1" l="1"/>
  <c r="N18" i="1" s="1"/>
  <c r="J18" i="1"/>
  <c r="I18" i="1" l="1"/>
  <c r="P18" i="1" s="1"/>
  <c r="T158" i="1"/>
  <c r="G156" i="1"/>
  <c r="K156" i="1" l="1"/>
  <c r="J156" i="1"/>
  <c r="H156" i="1"/>
  <c r="N156" i="1" s="1"/>
  <c r="E160" i="1" s="1"/>
  <c r="P160" i="1" s="1"/>
  <c r="T203" i="1"/>
  <c r="S122" i="1"/>
  <c r="T122" i="1" s="1"/>
  <c r="S70" i="1"/>
  <c r="T70" i="1" s="1"/>
  <c r="S71" i="1"/>
  <c r="T71" i="1" s="1"/>
  <c r="S52" i="1"/>
  <c r="T52" i="1" s="1"/>
  <c r="T42" i="1"/>
  <c r="S28" i="1"/>
  <c r="T28" i="1" s="1"/>
  <c r="T157" i="1"/>
  <c r="I156" i="1" l="1"/>
  <c r="P156" i="1" s="1"/>
  <c r="T102" i="3"/>
  <c r="J90" i="3"/>
  <c r="R121" i="3"/>
  <c r="S113" i="3"/>
  <c r="T113" i="3" s="1"/>
  <c r="V115" i="3" s="1"/>
  <c r="P112" i="3"/>
  <c r="T111" i="3"/>
  <c r="S110" i="3"/>
  <c r="T110" i="3" s="1"/>
  <c r="G110" i="3"/>
  <c r="J110" i="3" s="1"/>
  <c r="S109" i="3"/>
  <c r="T109" i="3" s="1"/>
  <c r="G109" i="3"/>
  <c r="J109" i="3" s="1"/>
  <c r="P108" i="3"/>
  <c r="G106" i="3"/>
  <c r="J106" i="3" s="1"/>
  <c r="T105" i="3"/>
  <c r="G105" i="3"/>
  <c r="K105" i="3" s="1"/>
  <c r="P104" i="3"/>
  <c r="G103" i="3"/>
  <c r="M103" i="3" s="1"/>
  <c r="G102" i="3"/>
  <c r="J102" i="3" s="1"/>
  <c r="P101" i="3"/>
  <c r="G99" i="3"/>
  <c r="H99" i="3" s="1"/>
  <c r="T98" i="3"/>
  <c r="G98" i="3"/>
  <c r="J98" i="3" s="1"/>
  <c r="P97" i="3"/>
  <c r="T95" i="3"/>
  <c r="G95" i="3"/>
  <c r="J95" i="3" s="1"/>
  <c r="P94" i="3"/>
  <c r="G93" i="3"/>
  <c r="H93" i="3" s="1"/>
  <c r="I93" i="3" s="1"/>
  <c r="K92" i="3"/>
  <c r="J92" i="3"/>
  <c r="H92" i="3"/>
  <c r="T91" i="3"/>
  <c r="G91" i="3"/>
  <c r="H91" i="3" s="1"/>
  <c r="N91" i="3" s="1"/>
  <c r="S90" i="3"/>
  <c r="T90" i="3" s="1"/>
  <c r="M90" i="3"/>
  <c r="K90" i="3"/>
  <c r="H90" i="3"/>
  <c r="P89" i="3"/>
  <c r="S87" i="3"/>
  <c r="P86" i="3"/>
  <c r="T83" i="3"/>
  <c r="G83" i="3"/>
  <c r="K83" i="3" s="1"/>
  <c r="V82" i="3"/>
  <c r="P82" i="3"/>
  <c r="P78" i="3"/>
  <c r="G77" i="3"/>
  <c r="S76" i="3"/>
  <c r="T76" i="3" s="1"/>
  <c r="M76" i="3"/>
  <c r="K76" i="3"/>
  <c r="J76" i="3"/>
  <c r="H76" i="3"/>
  <c r="N76" i="3" s="1"/>
  <c r="S75" i="3"/>
  <c r="T75" i="3" s="1"/>
  <c r="G75" i="3"/>
  <c r="J75" i="3" s="1"/>
  <c r="S74" i="3"/>
  <c r="T74" i="3" s="1"/>
  <c r="G74" i="3"/>
  <c r="S73" i="3"/>
  <c r="T73" i="3" s="1"/>
  <c r="G73" i="3"/>
  <c r="M73" i="3" s="1"/>
  <c r="P72" i="3"/>
  <c r="S70" i="3"/>
  <c r="T70" i="3" s="1"/>
  <c r="V72" i="3" s="1"/>
  <c r="P69" i="3"/>
  <c r="S66" i="3"/>
  <c r="T66" i="3" s="1"/>
  <c r="V69" i="3" s="1"/>
  <c r="P65" i="3"/>
  <c r="S62" i="3"/>
  <c r="T62" i="3" s="1"/>
  <c r="G62" i="3"/>
  <c r="J62" i="3" s="1"/>
  <c r="S61" i="3"/>
  <c r="T61" i="3" s="1"/>
  <c r="G61" i="3"/>
  <c r="K61" i="3" s="1"/>
  <c r="S60" i="3"/>
  <c r="T60" i="3" s="1"/>
  <c r="G60" i="3"/>
  <c r="H60" i="3" s="1"/>
  <c r="P59" i="3"/>
  <c r="S58" i="3"/>
  <c r="T58" i="3" s="1"/>
  <c r="S57" i="3"/>
  <c r="T57" i="3" s="1"/>
  <c r="S56" i="3"/>
  <c r="T56" i="3" s="1"/>
  <c r="G56" i="3"/>
  <c r="K56" i="3" s="1"/>
  <c r="S55" i="3"/>
  <c r="T55" i="3" s="1"/>
  <c r="G55" i="3"/>
  <c r="J55" i="3" s="1"/>
  <c r="S54" i="3"/>
  <c r="T54" i="3" s="1"/>
  <c r="G54" i="3"/>
  <c r="K54" i="3" s="1"/>
  <c r="P53" i="3"/>
  <c r="S51" i="3"/>
  <c r="T51" i="3" s="1"/>
  <c r="S50" i="3"/>
  <c r="T50" i="3" s="1"/>
  <c r="G50" i="3"/>
  <c r="J50" i="3" s="1"/>
  <c r="S49" i="3"/>
  <c r="T49" i="3" s="1"/>
  <c r="G49" i="3"/>
  <c r="J49" i="3" s="1"/>
  <c r="S48" i="3"/>
  <c r="T48" i="3" s="1"/>
  <c r="S47" i="3"/>
  <c r="T47" i="3" s="1"/>
  <c r="S46" i="3"/>
  <c r="T46" i="3" s="1"/>
  <c r="G46" i="3"/>
  <c r="M46" i="3" s="1"/>
  <c r="S45" i="3"/>
  <c r="T45" i="3" s="1"/>
  <c r="G45" i="3"/>
  <c r="H45" i="3" s="1"/>
  <c r="N45" i="3" s="1"/>
  <c r="S44" i="3"/>
  <c r="T44" i="3" s="1"/>
  <c r="G44" i="3"/>
  <c r="K44" i="3" s="1"/>
  <c r="P43" i="3"/>
  <c r="S40" i="3"/>
  <c r="T40" i="3" s="1"/>
  <c r="S39" i="3"/>
  <c r="T39" i="3" s="1"/>
  <c r="S38" i="3"/>
  <c r="T38" i="3" s="1"/>
  <c r="G38" i="3"/>
  <c r="K38" i="3" s="1"/>
  <c r="S37" i="3"/>
  <c r="T37" i="3" s="1"/>
  <c r="G37" i="3"/>
  <c r="K37" i="3" s="1"/>
  <c r="S36" i="3"/>
  <c r="T36" i="3" s="1"/>
  <c r="G36" i="3"/>
  <c r="K36" i="3" s="1"/>
  <c r="S31" i="3"/>
  <c r="T31" i="3" s="1"/>
  <c r="G31" i="3"/>
  <c r="J31" i="3" s="1"/>
  <c r="S30" i="3"/>
  <c r="T30" i="3" s="1"/>
  <c r="G30" i="3"/>
  <c r="J30" i="3" s="1"/>
  <c r="P29" i="3"/>
  <c r="E26" i="3"/>
  <c r="S24" i="3"/>
  <c r="T24" i="3" s="1"/>
  <c r="G24" i="3"/>
  <c r="J24" i="3" s="1"/>
  <c r="S23" i="3"/>
  <c r="T23" i="3" s="1"/>
  <c r="G23" i="3"/>
  <c r="J23" i="3" s="1"/>
  <c r="S22" i="3"/>
  <c r="T22" i="3" s="1"/>
  <c r="G22" i="3"/>
  <c r="H22" i="3" s="1"/>
  <c r="S21" i="3"/>
  <c r="T21" i="3" s="1"/>
  <c r="G21" i="3"/>
  <c r="J21" i="3" s="1"/>
  <c r="P20" i="3"/>
  <c r="S17" i="3"/>
  <c r="T17" i="3" s="1"/>
  <c r="S16" i="3"/>
  <c r="T16" i="3" s="1"/>
  <c r="G16" i="3"/>
  <c r="T15" i="3"/>
  <c r="G15" i="3"/>
  <c r="S14" i="3"/>
  <c r="T14" i="3" s="1"/>
  <c r="S13" i="3"/>
  <c r="T13" i="3" s="1"/>
  <c r="G13" i="3"/>
  <c r="J13" i="3" s="1"/>
  <c r="S12" i="3"/>
  <c r="T12" i="3" s="1"/>
  <c r="G12" i="3"/>
  <c r="K12" i="3" s="1"/>
  <c r="S11" i="3"/>
  <c r="T11" i="3" s="1"/>
  <c r="S10" i="3"/>
  <c r="T10" i="3" s="1"/>
  <c r="S9" i="3"/>
  <c r="T9" i="3" s="1"/>
  <c r="G9" i="3"/>
  <c r="M9" i="3" s="1"/>
  <c r="S8" i="3"/>
  <c r="T8" i="3" s="1"/>
  <c r="G8" i="3"/>
  <c r="H8" i="3" s="1"/>
  <c r="N8" i="3" s="1"/>
  <c r="E11" i="3" s="1"/>
  <c r="S7" i="3"/>
  <c r="G7" i="3"/>
  <c r="P6" i="3"/>
  <c r="G121" i="3" l="1"/>
  <c r="K93" i="3"/>
  <c r="M110" i="3"/>
  <c r="M60" i="3"/>
  <c r="K110" i="3"/>
  <c r="M56" i="3"/>
  <c r="H75" i="3"/>
  <c r="N75" i="3" s="1"/>
  <c r="K75" i="3"/>
  <c r="J7" i="3"/>
  <c r="K60" i="3"/>
  <c r="J12" i="3"/>
  <c r="J99" i="3"/>
  <c r="J54" i="3"/>
  <c r="J83" i="3"/>
  <c r="J105" i="3"/>
  <c r="J60" i="3"/>
  <c r="N93" i="3"/>
  <c r="T87" i="3"/>
  <c r="V89" i="3" s="1"/>
  <c r="J9" i="3"/>
  <c r="J38" i="3"/>
  <c r="J73" i="3"/>
  <c r="K109" i="3"/>
  <c r="H109" i="3"/>
  <c r="N109" i="3" s="1"/>
  <c r="I60" i="3"/>
  <c r="N60" i="3"/>
  <c r="K55" i="3"/>
  <c r="K106" i="3"/>
  <c r="M55" i="3"/>
  <c r="K74" i="3"/>
  <c r="J37" i="3"/>
  <c r="M74" i="3"/>
  <c r="H95" i="3"/>
  <c r="N95" i="3" s="1"/>
  <c r="H21" i="3"/>
  <c r="N21" i="3" s="1"/>
  <c r="E25" i="3" s="1"/>
  <c r="K73" i="3"/>
  <c r="J44" i="3"/>
  <c r="K21" i="3"/>
  <c r="M38" i="3"/>
  <c r="H61" i="3"/>
  <c r="I61" i="3" s="1"/>
  <c r="K95" i="3"/>
  <c r="K99" i="3"/>
  <c r="J45" i="3"/>
  <c r="J61" i="3"/>
  <c r="J93" i="3"/>
  <c r="J8" i="3"/>
  <c r="H74" i="3"/>
  <c r="N74" i="3" s="1"/>
  <c r="J74" i="3"/>
  <c r="K13" i="3"/>
  <c r="J36" i="3"/>
  <c r="M37" i="3"/>
  <c r="I76" i="3"/>
  <c r="J56" i="3"/>
  <c r="H56" i="3"/>
  <c r="N56" i="3" s="1"/>
  <c r="J22" i="3"/>
  <c r="J91" i="3"/>
  <c r="S121" i="3"/>
  <c r="J46" i="3"/>
  <c r="T7" i="3"/>
  <c r="K24" i="3"/>
  <c r="H24" i="3"/>
  <c r="N24" i="3" s="1"/>
  <c r="E27" i="3" s="1"/>
  <c r="M24" i="3"/>
  <c r="K31" i="3"/>
  <c r="H31" i="3"/>
  <c r="N31" i="3" s="1"/>
  <c r="M31" i="3"/>
  <c r="K49" i="3"/>
  <c r="K15" i="3"/>
  <c r="J15" i="3"/>
  <c r="L15" i="3"/>
  <c r="H49" i="3"/>
  <c r="N49" i="3" s="1"/>
  <c r="N92" i="3"/>
  <c r="I92" i="3"/>
  <c r="J16" i="3"/>
  <c r="L16" i="3"/>
  <c r="K16" i="3"/>
  <c r="M23" i="3"/>
  <c r="K23" i="3"/>
  <c r="H23" i="3"/>
  <c r="N23" i="3" s="1"/>
  <c r="E28" i="3" s="1"/>
  <c r="M30" i="3"/>
  <c r="K30" i="3"/>
  <c r="K50" i="3"/>
  <c r="K62" i="3"/>
  <c r="H62" i="3"/>
  <c r="N62" i="3" s="1"/>
  <c r="M62" i="3"/>
  <c r="J77" i="3"/>
  <c r="K77" i="3"/>
  <c r="M77" i="3"/>
  <c r="I99" i="3"/>
  <c r="K22" i="3"/>
  <c r="M22" i="3"/>
  <c r="I22" i="3"/>
  <c r="I90" i="3"/>
  <c r="N90" i="3"/>
  <c r="K98" i="3"/>
  <c r="H98" i="3"/>
  <c r="N98" i="3" s="1"/>
  <c r="H30" i="3"/>
  <c r="H50" i="3"/>
  <c r="N50" i="3" s="1"/>
  <c r="H77" i="3"/>
  <c r="N77" i="3" s="1"/>
  <c r="H102" i="3"/>
  <c r="N102" i="3" s="1"/>
  <c r="H7" i="3"/>
  <c r="I91" i="3"/>
  <c r="H9" i="3"/>
  <c r="I9" i="3" s="1"/>
  <c r="H44" i="3"/>
  <c r="N44" i="3" s="1"/>
  <c r="K91" i="3"/>
  <c r="K7" i="3"/>
  <c r="K8" i="3"/>
  <c r="H12" i="3"/>
  <c r="N12" i="3" s="1"/>
  <c r="H13" i="3"/>
  <c r="N13" i="3" s="1"/>
  <c r="H36" i="3"/>
  <c r="N36" i="3" s="1"/>
  <c r="H37" i="3"/>
  <c r="I37" i="3" s="1"/>
  <c r="H38" i="3"/>
  <c r="N38" i="3" s="1"/>
  <c r="I45" i="3"/>
  <c r="H83" i="3"/>
  <c r="N83" i="3" s="1"/>
  <c r="K102" i="3"/>
  <c r="J103" i="3"/>
  <c r="H105" i="3"/>
  <c r="N105" i="3" s="1"/>
  <c r="H106" i="3"/>
  <c r="N106" i="3" s="1"/>
  <c r="I8" i="3"/>
  <c r="H46" i="3"/>
  <c r="N46" i="3" s="1"/>
  <c r="M8" i="3"/>
  <c r="K9" i="3"/>
  <c r="K45" i="3"/>
  <c r="K46" i="3"/>
  <c r="H54" i="3"/>
  <c r="N54" i="3" s="1"/>
  <c r="H55" i="3"/>
  <c r="H73" i="3"/>
  <c r="I73" i="3" s="1"/>
  <c r="M102" i="3"/>
  <c r="K103" i="3"/>
  <c r="H110" i="3"/>
  <c r="N110" i="3" s="1"/>
  <c r="H103" i="3"/>
  <c r="N103" i="3" s="1"/>
  <c r="T192" i="1"/>
  <c r="T187" i="1"/>
  <c r="T182" i="1"/>
  <c r="T181" i="1"/>
  <c r="T168" i="1"/>
  <c r="T155" i="1"/>
  <c r="T156" i="1"/>
  <c r="T131" i="1"/>
  <c r="S120" i="1"/>
  <c r="T120" i="1" s="1"/>
  <c r="S121" i="1"/>
  <c r="T121" i="1" s="1"/>
  <c r="S84" i="1"/>
  <c r="T84" i="1" s="1"/>
  <c r="S69" i="1"/>
  <c r="T69" i="1" s="1"/>
  <c r="S68" i="1"/>
  <c r="T68" i="1" s="1"/>
  <c r="N7" i="3" l="1"/>
  <c r="I44" i="3"/>
  <c r="O99" i="3"/>
  <c r="O44" i="3"/>
  <c r="O93" i="3"/>
  <c r="I106" i="3"/>
  <c r="O106" i="3" s="1"/>
  <c r="I74" i="3"/>
  <c r="O74" i="3" s="1"/>
  <c r="I105" i="3"/>
  <c r="O105" i="3" s="1"/>
  <c r="I36" i="3"/>
  <c r="O36" i="3" s="1"/>
  <c r="I98" i="3"/>
  <c r="O98" i="3" s="1"/>
  <c r="I75" i="3"/>
  <c r="O75" i="3" s="1"/>
  <c r="O37" i="3"/>
  <c r="O91" i="3"/>
  <c r="I50" i="3"/>
  <c r="O50" i="3" s="1"/>
  <c r="T121" i="3"/>
  <c r="K130" i="3" s="1"/>
  <c r="I110" i="3"/>
  <c r="O110" i="3" s="1"/>
  <c r="I56" i="3"/>
  <c r="O56" i="3" s="1"/>
  <c r="I95" i="3"/>
  <c r="O95" i="3" s="1"/>
  <c r="V97" i="3" s="1"/>
  <c r="I109" i="3"/>
  <c r="O109" i="3" s="1"/>
  <c r="H16" i="3"/>
  <c r="N16" i="3" s="1"/>
  <c r="I13" i="3"/>
  <c r="O13" i="3" s="1"/>
  <c r="I21" i="3"/>
  <c r="O21" i="3" s="1"/>
  <c r="I49" i="3"/>
  <c r="O49" i="3" s="1"/>
  <c r="M121" i="3"/>
  <c r="I103" i="3"/>
  <c r="O103" i="3" s="1"/>
  <c r="J121" i="3"/>
  <c r="I54" i="3"/>
  <c r="O54" i="3" s="1"/>
  <c r="O60" i="3"/>
  <c r="I38" i="3"/>
  <c r="O38" i="3" s="1"/>
  <c r="N61" i="3"/>
  <c r="O61" i="3" s="1"/>
  <c r="I46" i="3"/>
  <c r="O46" i="3" s="1"/>
  <c r="O8" i="3"/>
  <c r="I7" i="3"/>
  <c r="I83" i="3"/>
  <c r="O83" i="3" s="1"/>
  <c r="V86" i="3" s="1"/>
  <c r="L121" i="3"/>
  <c r="E76" i="3"/>
  <c r="N73" i="3"/>
  <c r="O73" i="3" s="1"/>
  <c r="E63" i="3"/>
  <c r="O90" i="3"/>
  <c r="I31" i="3"/>
  <c r="O31" i="3" s="1"/>
  <c r="E57" i="3"/>
  <c r="N55" i="3"/>
  <c r="I55" i="3"/>
  <c r="N30" i="3"/>
  <c r="E32" i="3"/>
  <c r="E10" i="3"/>
  <c r="I30" i="3"/>
  <c r="I24" i="3"/>
  <c r="O24" i="3" s="1"/>
  <c r="O45" i="3"/>
  <c r="I102" i="3"/>
  <c r="O102" i="3" s="1"/>
  <c r="K121" i="3"/>
  <c r="I62" i="3"/>
  <c r="O62" i="3" s="1"/>
  <c r="I12" i="3"/>
  <c r="O12" i="3" s="1"/>
  <c r="I23" i="3"/>
  <c r="O23" i="3" s="1"/>
  <c r="E14" i="3"/>
  <c r="N9" i="3"/>
  <c r="O9" i="3" s="1"/>
  <c r="O22" i="3"/>
  <c r="I77" i="3"/>
  <c r="O77" i="3" s="1"/>
  <c r="H15" i="3"/>
  <c r="S18" i="1"/>
  <c r="T18" i="1" s="1"/>
  <c r="S17" i="1"/>
  <c r="T17" i="1" s="1"/>
  <c r="T16" i="1"/>
  <c r="S15" i="1"/>
  <c r="T15" i="1" s="1"/>
  <c r="S14" i="1"/>
  <c r="T14" i="1" s="1"/>
  <c r="S13" i="1"/>
  <c r="T13" i="1" s="1"/>
  <c r="S12" i="1"/>
  <c r="T12" i="1" s="1"/>
  <c r="S11" i="1"/>
  <c r="T11" i="1" s="1"/>
  <c r="G131" i="1"/>
  <c r="J131" i="1" s="1"/>
  <c r="H121" i="3" l="1"/>
  <c r="E121" i="3"/>
  <c r="O7" i="3"/>
  <c r="V101" i="3"/>
  <c r="V112" i="3"/>
  <c r="V108" i="3"/>
  <c r="K129" i="3"/>
  <c r="K131" i="3" s="1"/>
  <c r="V43" i="3"/>
  <c r="I16" i="3"/>
  <c r="O16" i="3" s="1"/>
  <c r="V94" i="3"/>
  <c r="V53" i="3"/>
  <c r="O30" i="3"/>
  <c r="V35" i="3" s="1"/>
  <c r="V29" i="3"/>
  <c r="V65" i="3"/>
  <c r="N15" i="3"/>
  <c r="N121" i="3" s="1"/>
  <c r="I15" i="3"/>
  <c r="V104" i="3"/>
  <c r="V78" i="3"/>
  <c r="O55" i="3"/>
  <c r="V59" i="3" s="1"/>
  <c r="H131" i="1"/>
  <c r="N131" i="1" s="1"/>
  <c r="E133" i="1" s="1"/>
  <c r="P133" i="1" s="1"/>
  <c r="K131" i="1"/>
  <c r="E29" i="1"/>
  <c r="P29" i="1" s="1"/>
  <c r="G14" i="1"/>
  <c r="G13" i="1"/>
  <c r="J13" i="1" s="1"/>
  <c r="I121" i="3" l="1"/>
  <c r="O15" i="3"/>
  <c r="V20" i="3" s="1"/>
  <c r="V121" i="3" s="1"/>
  <c r="K14" i="1"/>
  <c r="J14" i="1"/>
  <c r="I131" i="1"/>
  <c r="P131" i="1" s="1"/>
  <c r="V131" i="1" s="1"/>
  <c r="H14" i="1"/>
  <c r="N14" i="1" s="1"/>
  <c r="E19" i="1" s="1"/>
  <c r="P19" i="1" s="1"/>
  <c r="H13" i="1"/>
  <c r="N13" i="1" s="1"/>
  <c r="E16" i="1" s="1"/>
  <c r="P16" i="1" s="1"/>
  <c r="K13" i="1"/>
  <c r="O121" i="3" l="1"/>
  <c r="T123" i="3" s="1"/>
  <c r="I14" i="1"/>
  <c r="P14" i="1" s="1"/>
  <c r="I13" i="1"/>
  <c r="P13" i="1" s="1"/>
  <c r="G120" i="1"/>
  <c r="J120" i="1" s="1"/>
  <c r="J121" i="1"/>
  <c r="K120" i="1" l="1"/>
  <c r="H120" i="1"/>
  <c r="N120" i="1" s="1"/>
  <c r="E123" i="1" s="1"/>
  <c r="P123" i="1" s="1"/>
  <c r="K121" i="1"/>
  <c r="H121" i="1"/>
  <c r="N121" i="1" s="1"/>
  <c r="M121" i="1"/>
  <c r="G155" i="1"/>
  <c r="G69" i="1"/>
  <c r="G68" i="1"/>
  <c r="J68" i="1" s="1"/>
  <c r="G182" i="1"/>
  <c r="G188" i="1"/>
  <c r="H188" i="1" s="1"/>
  <c r="N188" i="1" s="1"/>
  <c r="H69" i="1" l="1"/>
  <c r="N69" i="1" s="1"/>
  <c r="E72" i="1" s="1"/>
  <c r="P72" i="1" s="1"/>
  <c r="J69" i="1"/>
  <c r="H155" i="1"/>
  <c r="N155" i="1" s="1"/>
  <c r="J155" i="1"/>
  <c r="H182" i="1"/>
  <c r="N182" i="1" s="1"/>
  <c r="E184" i="1" s="1"/>
  <c r="P184" i="1" s="1"/>
  <c r="J182" i="1"/>
  <c r="I121" i="1"/>
  <c r="I120" i="1"/>
  <c r="P120" i="1" s="1"/>
  <c r="K155" i="1"/>
  <c r="K69" i="1"/>
  <c r="K68" i="1"/>
  <c r="H68" i="1"/>
  <c r="N68" i="1" s="1"/>
  <c r="E71" i="1" s="1"/>
  <c r="P71" i="1" s="1"/>
  <c r="K182" i="1"/>
  <c r="J188" i="1"/>
  <c r="K188" i="1"/>
  <c r="I188" i="1"/>
  <c r="M188" i="1"/>
  <c r="I182" i="1" l="1"/>
  <c r="P182" i="1" s="1"/>
  <c r="I69" i="1"/>
  <c r="P69" i="1" s="1"/>
  <c r="I155" i="1"/>
  <c r="P155" i="1" s="1"/>
  <c r="I68" i="1"/>
  <c r="P68" i="1" s="1"/>
  <c r="P188" i="1"/>
  <c r="G168" i="1" l="1"/>
  <c r="J168" i="1" s="1"/>
  <c r="G181" i="1"/>
  <c r="J181" i="1" s="1"/>
  <c r="G187" i="1"/>
  <c r="M187" i="1" s="1"/>
  <c r="G192" i="1"/>
  <c r="J192" i="1" s="1"/>
  <c r="S201" i="1"/>
  <c r="T201" i="1" s="1"/>
  <c r="S200" i="1"/>
  <c r="G200" i="1"/>
  <c r="K200" i="1" l="1"/>
  <c r="J200" i="1"/>
  <c r="K168" i="1"/>
  <c r="T200" i="1"/>
  <c r="H200" i="1"/>
  <c r="N200" i="1" s="1"/>
  <c r="E201" i="1" s="1"/>
  <c r="H168" i="1"/>
  <c r="N168" i="1" s="1"/>
  <c r="E169" i="1" s="1"/>
  <c r="P169" i="1" s="1"/>
  <c r="K181" i="1"/>
  <c r="H181" i="1"/>
  <c r="N181" i="1" s="1"/>
  <c r="E183" i="1" s="1"/>
  <c r="P183" i="1" s="1"/>
  <c r="J187" i="1"/>
  <c r="K187" i="1"/>
  <c r="H187" i="1"/>
  <c r="N187" i="1" s="1"/>
  <c r="K192" i="1"/>
  <c r="H192" i="1"/>
  <c r="N192" i="1" s="1"/>
  <c r="E194" i="1" s="1"/>
  <c r="P194" i="1" s="1"/>
  <c r="K154" i="1"/>
  <c r="S119" i="1"/>
  <c r="T119" i="1" s="1"/>
  <c r="G48" i="1"/>
  <c r="J48" i="1" s="1"/>
  <c r="G47" i="1"/>
  <c r="G27" i="1"/>
  <c r="J27" i="1" s="1"/>
  <c r="S209" i="1"/>
  <c r="T209" i="1" s="1"/>
  <c r="V209" i="1" s="1"/>
  <c r="G82" i="1"/>
  <c r="J82" i="1" s="1"/>
  <c r="G81" i="1"/>
  <c r="G91" i="1"/>
  <c r="J91" i="1" s="1"/>
  <c r="G119" i="1"/>
  <c r="J119" i="1" s="1"/>
  <c r="G118" i="1"/>
  <c r="J118" i="1" s="1"/>
  <c r="G37" i="1"/>
  <c r="J37" i="1" s="1"/>
  <c r="G36" i="1"/>
  <c r="S154" i="1"/>
  <c r="T154" i="1" s="1"/>
  <c r="S91" i="1"/>
  <c r="T91" i="1" s="1"/>
  <c r="G90" i="1"/>
  <c r="G89" i="1"/>
  <c r="S90" i="1"/>
  <c r="T90" i="1" s="1"/>
  <c r="S82" i="1"/>
  <c r="T82" i="1" s="1"/>
  <c r="S83" i="1"/>
  <c r="T83" i="1" s="1"/>
  <c r="S50" i="1"/>
  <c r="T50" i="1" s="1"/>
  <c r="S37" i="1"/>
  <c r="T37" i="1" s="1"/>
  <c r="P201" i="1" l="1"/>
  <c r="K89" i="1"/>
  <c r="J89" i="1"/>
  <c r="H36" i="1"/>
  <c r="N36" i="1" s="1"/>
  <c r="E38" i="1" s="1"/>
  <c r="P38" i="1" s="1"/>
  <c r="J36" i="1"/>
  <c r="H90" i="1"/>
  <c r="I90" i="1" s="1"/>
  <c r="J90" i="1"/>
  <c r="M81" i="1"/>
  <c r="J81" i="1"/>
  <c r="H47" i="1"/>
  <c r="I47" i="1" s="1"/>
  <c r="J47" i="1"/>
  <c r="I200" i="1"/>
  <c r="P200" i="1" s="1"/>
  <c r="M47" i="1"/>
  <c r="I168" i="1"/>
  <c r="P168" i="1" s="1"/>
  <c r="V168" i="1" s="1"/>
  <c r="I181" i="1"/>
  <c r="P181" i="1" s="1"/>
  <c r="V181" i="1" s="1"/>
  <c r="I187" i="1"/>
  <c r="P187" i="1" s="1"/>
  <c r="V187" i="1" s="1"/>
  <c r="I192" i="1"/>
  <c r="P192" i="1" s="1"/>
  <c r="V192" i="1" s="1"/>
  <c r="M37" i="1"/>
  <c r="H154" i="1"/>
  <c r="N154" i="1" s="1"/>
  <c r="E158" i="1" s="1"/>
  <c r="P158" i="1" s="1"/>
  <c r="M154" i="1"/>
  <c r="E157" i="1" s="1"/>
  <c r="P157" i="1" s="1"/>
  <c r="H48" i="1"/>
  <c r="N48" i="1" s="1"/>
  <c r="K48" i="1"/>
  <c r="M48" i="1"/>
  <c r="K47" i="1"/>
  <c r="H27" i="1"/>
  <c r="N27" i="1" s="1"/>
  <c r="E30" i="1" s="1"/>
  <c r="P30" i="1" s="1"/>
  <c r="M27" i="1"/>
  <c r="K27" i="1"/>
  <c r="M82" i="1"/>
  <c r="K82" i="1"/>
  <c r="H82" i="1"/>
  <c r="N82" i="1" s="1"/>
  <c r="K81" i="1"/>
  <c r="H81" i="1"/>
  <c r="K91" i="1"/>
  <c r="H91" i="1"/>
  <c r="N91" i="1" s="1"/>
  <c r="M91" i="1"/>
  <c r="K119" i="1"/>
  <c r="M119" i="1"/>
  <c r="H119" i="1"/>
  <c r="N119" i="1" s="1"/>
  <c r="K118" i="1"/>
  <c r="H118" i="1"/>
  <c r="M118" i="1"/>
  <c r="M36" i="1"/>
  <c r="K37" i="1"/>
  <c r="H37" i="1"/>
  <c r="N37" i="1" s="1"/>
  <c r="K36" i="1"/>
  <c r="M89" i="1"/>
  <c r="H89" i="1"/>
  <c r="K90" i="1"/>
  <c r="E96" i="1" l="1"/>
  <c r="P96" i="1" s="1"/>
  <c r="I36" i="1"/>
  <c r="P36" i="1" s="1"/>
  <c r="N90" i="1"/>
  <c r="P90" i="1" s="1"/>
  <c r="E84" i="1"/>
  <c r="P84" i="1" s="1"/>
  <c r="I27" i="1"/>
  <c r="P27" i="1" s="1"/>
  <c r="E39" i="1"/>
  <c r="P39" i="1" s="1"/>
  <c r="E52" i="1"/>
  <c r="P52" i="1" s="1"/>
  <c r="E122" i="1"/>
  <c r="P122" i="1" s="1"/>
  <c r="E92" i="1"/>
  <c r="P92" i="1" s="1"/>
  <c r="N118" i="1"/>
  <c r="E121" i="1"/>
  <c r="P121" i="1" s="1"/>
  <c r="N81" i="1"/>
  <c r="E83" i="1"/>
  <c r="P83" i="1" s="1"/>
  <c r="I91" i="1"/>
  <c r="P91" i="1" s="1"/>
  <c r="I154" i="1"/>
  <c r="P154" i="1" s="1"/>
  <c r="V154" i="1" s="1"/>
  <c r="I48" i="1"/>
  <c r="P48" i="1" s="1"/>
  <c r="P47" i="1"/>
  <c r="I82" i="1"/>
  <c r="P82" i="1" s="1"/>
  <c r="I81" i="1"/>
  <c r="I119" i="1"/>
  <c r="P119" i="1" s="1"/>
  <c r="I118" i="1"/>
  <c r="I37" i="1"/>
  <c r="P37" i="1" s="1"/>
  <c r="I89" i="1"/>
  <c r="N89" i="1"/>
  <c r="S147" i="1"/>
  <c r="T147" i="1" s="1"/>
  <c r="V147" i="1" s="1"/>
  <c r="S118" i="1"/>
  <c r="T118" i="1" s="1"/>
  <c r="S49" i="1"/>
  <c r="T49" i="1" s="1"/>
  <c r="S81" i="1"/>
  <c r="T81" i="1" s="1"/>
  <c r="S67" i="1"/>
  <c r="T67" i="1" s="1"/>
  <c r="S89" i="1"/>
  <c r="T89" i="1" s="1"/>
  <c r="S103" i="1"/>
  <c r="T103" i="1" s="1"/>
  <c r="V103" i="1" s="1"/>
  <c r="S111" i="1"/>
  <c r="T111" i="1" s="1"/>
  <c r="V111" i="1" s="1"/>
  <c r="S36" i="1"/>
  <c r="T36" i="1" s="1"/>
  <c r="S47" i="1"/>
  <c r="T47" i="1" s="1"/>
  <c r="S48" i="1"/>
  <c r="T48" i="1" s="1"/>
  <c r="G65" i="1"/>
  <c r="J65" i="1" s="1"/>
  <c r="S64" i="1"/>
  <c r="T64" i="1" s="1"/>
  <c r="S65" i="1"/>
  <c r="T65" i="1" s="1"/>
  <c r="S66" i="1"/>
  <c r="T66" i="1" s="1"/>
  <c r="S27" i="1"/>
  <c r="T27" i="1" s="1"/>
  <c r="S26" i="1"/>
  <c r="T26" i="1" s="1"/>
  <c r="S25" i="1"/>
  <c r="T25" i="1" s="1"/>
  <c r="S10" i="1"/>
  <c r="T10" i="1" s="1"/>
  <c r="G64" i="1"/>
  <c r="J64" i="1" s="1"/>
  <c r="G26" i="1"/>
  <c r="J26" i="1" s="1"/>
  <c r="G25" i="1"/>
  <c r="G10" i="1"/>
  <c r="J10" i="1" s="1"/>
  <c r="G9" i="1"/>
  <c r="S46" i="1"/>
  <c r="T46" i="1" s="1"/>
  <c r="G46" i="1"/>
  <c r="S80" i="1"/>
  <c r="T80" i="1" s="1"/>
  <c r="G80" i="1"/>
  <c r="S63" i="1"/>
  <c r="T63" i="1" s="1"/>
  <c r="S24" i="1"/>
  <c r="S8" i="1"/>
  <c r="V36" i="1" l="1"/>
  <c r="K80" i="1"/>
  <c r="J80" i="1"/>
  <c r="H9" i="1"/>
  <c r="N9" i="1" s="1"/>
  <c r="E12" i="1" s="1"/>
  <c r="P12" i="1" s="1"/>
  <c r="J9" i="1"/>
  <c r="K46" i="1"/>
  <c r="J46" i="1"/>
  <c r="H25" i="1"/>
  <c r="I25" i="1" s="1"/>
  <c r="J25" i="1"/>
  <c r="P81" i="1"/>
  <c r="P118" i="1"/>
  <c r="V118" i="1" s="1"/>
  <c r="H10" i="1"/>
  <c r="M10" i="1"/>
  <c r="P89" i="1"/>
  <c r="V89" i="1" s="1"/>
  <c r="M65" i="1"/>
  <c r="E70" i="1" s="1"/>
  <c r="P70" i="1" s="1"/>
  <c r="H65" i="1"/>
  <c r="N65" i="1" s="1"/>
  <c r="E73" i="1" s="1"/>
  <c r="P73" i="1" s="1"/>
  <c r="K65" i="1"/>
  <c r="K64" i="1"/>
  <c r="H64" i="1"/>
  <c r="N64" i="1" s="1"/>
  <c r="M25" i="1"/>
  <c r="M9" i="1"/>
  <c r="M26" i="1"/>
  <c r="K26" i="1"/>
  <c r="K25" i="1"/>
  <c r="H26" i="1"/>
  <c r="N26" i="1" s="1"/>
  <c r="E31" i="1" s="1"/>
  <c r="P31" i="1" s="1"/>
  <c r="K10" i="1"/>
  <c r="K9" i="1"/>
  <c r="H46" i="1"/>
  <c r="H80" i="1"/>
  <c r="N80" i="1" s="1"/>
  <c r="T24" i="1"/>
  <c r="M316" i="1" l="1"/>
  <c r="E17" i="1"/>
  <c r="P17" i="1" s="1"/>
  <c r="E32" i="1"/>
  <c r="P32" i="1" s="1"/>
  <c r="P25" i="1"/>
  <c r="N10" i="1"/>
  <c r="E15" i="1"/>
  <c r="P15" i="1" s="1"/>
  <c r="I46" i="1"/>
  <c r="N46" i="1"/>
  <c r="I65" i="1"/>
  <c r="P65" i="1" s="1"/>
  <c r="I64" i="1"/>
  <c r="P64" i="1" s="1"/>
  <c r="I26" i="1"/>
  <c r="P26" i="1" s="1"/>
  <c r="I10" i="1"/>
  <c r="I9" i="1"/>
  <c r="P9" i="1" s="1"/>
  <c r="I80" i="1"/>
  <c r="P80" i="1" s="1"/>
  <c r="V80" i="1" s="1"/>
  <c r="P10" i="1" l="1"/>
  <c r="P46" i="1"/>
  <c r="V46" i="1" s="1"/>
  <c r="G63" i="1"/>
  <c r="J63" i="1" s="1"/>
  <c r="H63" i="1" l="1"/>
  <c r="N63" i="1" s="1"/>
  <c r="K63" i="1"/>
  <c r="I63" i="1" l="1"/>
  <c r="P63" i="1" s="1"/>
  <c r="V63" i="1" s="1"/>
  <c r="G24" i="1" l="1"/>
  <c r="K24" i="1" l="1"/>
  <c r="H24" i="1"/>
  <c r="N24" i="1" s="1"/>
  <c r="E28" i="1" s="1"/>
  <c r="J24" i="1"/>
  <c r="P28" i="1" l="1"/>
  <c r="I24" i="1"/>
  <c r="P24" i="1" s="1"/>
  <c r="V24" i="1" l="1"/>
  <c r="G8" i="1"/>
  <c r="J8" i="1" l="1"/>
  <c r="J316" i="1" s="1"/>
  <c r="G316" i="1"/>
  <c r="H8" i="1"/>
  <c r="I8" i="1" s="1"/>
  <c r="N8" i="1" l="1"/>
  <c r="N316" i="1" s="1"/>
  <c r="S9" i="1"/>
  <c r="T8" i="1"/>
  <c r="T9" i="1" l="1"/>
  <c r="E11" i="1"/>
  <c r="E317" i="1" s="1"/>
  <c r="K8" i="1"/>
  <c r="K316" i="1" s="1"/>
  <c r="L325" i="1" s="1"/>
  <c r="P11" i="1" l="1"/>
  <c r="E316" i="1"/>
  <c r="P8" i="1"/>
  <c r="E318" i="1" l="1"/>
  <c r="P316" i="1"/>
  <c r="O321" i="1" s="1"/>
  <c r="V8" i="1"/>
  <c r="S316" i="1" l="1"/>
  <c r="T202" i="1"/>
  <c r="T316" i="1" l="1"/>
  <c r="V200" i="1"/>
  <c r="T323" i="1" l="1"/>
  <c r="T325" i="1" s="1"/>
  <c r="T318" i="1"/>
  <c r="L326" i="1" s="1"/>
  <c r="V316" i="1"/>
</calcChain>
</file>

<file path=xl/sharedStrings.xml><?xml version="1.0" encoding="utf-8"?>
<sst xmlns="http://schemas.openxmlformats.org/spreadsheetml/2006/main" count="1305" uniqueCount="480">
  <si>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</si>
  <si>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</si>
  <si>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</si>
  <si>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</si>
  <si>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</si>
  <si>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</si>
  <si>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</si>
  <si>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</si>
  <si>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</si>
  <si>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</si>
  <si>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</si>
  <si>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</si>
  <si>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</si>
  <si>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 xml:space="preserve">Debit </t>
  </si>
  <si>
    <t>After Debit Amt</t>
  </si>
  <si>
    <t>On Commissioning</t>
  </si>
  <si>
    <t>Hydro Testing</t>
  </si>
  <si>
    <t>Total Paid Amount Rs. -</t>
  </si>
  <si>
    <t>Balance Payable Amount Rs. -</t>
  </si>
  <si>
    <t>Hold the Amount because the Qty. is more then the DPR</t>
  </si>
  <si>
    <t>TDS Amount @ 2% on BASIC AMOUNT</t>
  </si>
  <si>
    <t>31-08-2023 NEFT/AXISP00419716225/RIUP23/1812/ANKSHRI INFRACON  196000.00</t>
  </si>
  <si>
    <t>16-09-2023 NEFT/AXISP00425555999/RIUP23/2064/ANKSHRI INFRACON P/ICIC0000809 ₹ 1,96,000.00</t>
  </si>
  <si>
    <t>11-10-2023 NEFT/AXISP00433203140/RIUP23/2623/ANKSHRI INFRACON P/ICIC0000809 196000.00</t>
  </si>
  <si>
    <t>RIUP22/1812</t>
  </si>
  <si>
    <t>RIUP22/2064</t>
  </si>
  <si>
    <t>RIUP22/2623</t>
  </si>
  <si>
    <t>12-10-2023 NEFT/AXISP00433707866/RIUP23/2626/ANKSHRI INFRACON P/ICIC0000809 ₹ 2,94,000.00</t>
  </si>
  <si>
    <t>RIUP22/2626</t>
  </si>
  <si>
    <t>11-10-2023 NEFT/AXISP00433203142/RIUP23/2621/ANKSHRI INFRACON P/ICIC0000809 196000.00</t>
  </si>
  <si>
    <t>RIUP22/2621</t>
  </si>
  <si>
    <t>Aankshri Infracon</t>
  </si>
  <si>
    <t>10-10-2023 NEFT/AXISP00433203142/RIUP23/2621/ANKSHRI INFRACON P/ICIC0000809 196000.00</t>
  </si>
  <si>
    <t>25-10-2023 NEFT/AXISP00436731126/RIUP23/2853/ANKSHRI INFRACON P/ICIC0000809 196000.00</t>
  </si>
  <si>
    <t>26-10-2023 NEFT/AXISP00437006003/RIUP23/2878/ANKSHRI INFRACON P/ICIC0000809 245000.00</t>
  </si>
  <si>
    <t>RIUP23/2878</t>
  </si>
  <si>
    <t>25-10-2023 NEFT/AXISP00436731125/RIUP23/2852/ANKSHRI INFRACON P/ICIC0000809 245000.00</t>
  </si>
  <si>
    <t>25-10-2023 NEFT/AXISP00436731124/RIUP23/2851/ANKSHRI INFRACON P/ICIC0000809 245000.00</t>
  </si>
  <si>
    <t>RIUP23/2851</t>
  </si>
  <si>
    <t>03-11-2023 NEFT/AXISP00440010426/RIUP23/3054/ANKSHRI INFRACON P/ICIC0000809 ₹ 98,000.00</t>
  </si>
  <si>
    <t>08-11-2023 NEFT/AXISP00442195333/RIUP23/3149/ANKSHRI INFRACONP/ICIC0000809 196000.00</t>
  </si>
  <si>
    <t>09-11-2023 NEFT/AXISP00442779059/RIUP23/3197/ANKSHRI INFRACONP/ICIC0000809 196000.00</t>
  </si>
  <si>
    <t>GST Release Note</t>
  </si>
  <si>
    <t>03-11-2023 NEFT/AXISP00440010427/RIUP23/3055/ANKSHRI INFRACON P/ICIC0000809 ₹ 98,000.00</t>
  </si>
  <si>
    <t>30-11-2023 NEFT/AXISP00447912055/RIUP23/3541/ANKSHRI INFRACONP/ICIC0000809 392000.00</t>
  </si>
  <si>
    <t>03-11-2023 NEFT/AXISP00440010429/RIUP23/3057/ANKSHRI INFRACON P/ICIC0000809 ₹ 1,96,000.00</t>
  </si>
  <si>
    <t>23-11-2023 NEFT/AXISP00445939291/RIUP23/3377/ANKSHRI INFRACON P/ICIC0000809 392000.00</t>
  </si>
  <si>
    <t>11-12-2023 NEFT/AXISP00451701551/RIUP23/3681/ANKSHRI INFRACONP/ICIC0000809 392000.00</t>
  </si>
  <si>
    <t>RIUP23/3054</t>
  </si>
  <si>
    <t>RIUP23/3149</t>
  </si>
  <si>
    <t>RIUP23/3197</t>
  </si>
  <si>
    <t>RIUP23/3681</t>
  </si>
  <si>
    <t>RIUP22/2852</t>
  </si>
  <si>
    <t>RIUP22/3055</t>
  </si>
  <si>
    <t>RIUP22/3541</t>
  </si>
  <si>
    <t>RIUP22/2853</t>
  </si>
  <si>
    <t>RIUP22/3057</t>
  </si>
  <si>
    <t>RIUP22/3377</t>
  </si>
  <si>
    <t>03-11-2023 NEFT/AXISP00440010430/RIUP23/3058/ANKSHRI INFRACON P/ICIC0000809 ₹ 98,000.00</t>
  </si>
  <si>
    <t>03-11-2023 NEFT/AXISP00440010428/RIUP23/3056/ANKSHRI INFRACON P/ICIC0000809 ₹ 98,000.00</t>
  </si>
  <si>
    <t>RIUP23/3056</t>
  </si>
  <si>
    <t>17-10-2023 NEFT/AXISP00435066611/RIUP23/2713/ANKSHRI INFRACON P/ICIC0000809 196000.00</t>
  </si>
  <si>
    <t>RIUP22/2713</t>
  </si>
  <si>
    <t xml:space="preserve">11-12-2023 NEFT/AXISP00451701552/RIUP23/3682/ANKSHRI INFRACON P/ICIC0000809 392000.00 </t>
  </si>
  <si>
    <t>RIUP22/3682</t>
  </si>
  <si>
    <t>04-12-2023 NEFT/AXISP00449508363/RIUP23/3578/ANKSHRI INFRACON P/ICIC0000809 392000.00</t>
  </si>
  <si>
    <t>RIUP22/3578</t>
  </si>
  <si>
    <t>05-12-2023 NEFT/AXISP00449670531/RIUP23/3592/ANKSHRI INFRACON P/ICIC0000809 392000.00</t>
  </si>
  <si>
    <t>RIUP22/3592</t>
  </si>
  <si>
    <t>20-12-2023 NEFT/AXISP00454416133/RIUP23/3846/ANKSHRI INFRACONP/ICIC0000809 77333.00</t>
  </si>
  <si>
    <t>22-12-2023 NEFT/AXISP00454984278/RIUP23/3924/ANKSHRI INFRACONP/ICIC0000809 294000.00</t>
  </si>
  <si>
    <t>RIUP23/3846</t>
  </si>
  <si>
    <t>RIUP23/3924</t>
  </si>
  <si>
    <t>22-12-2023 NEFT/AXISP00454984277/RIUP23/3925/ANKSHRI INFRACONP/ICIC0000809 294000.00</t>
  </si>
  <si>
    <t>RIUP22/3378</t>
  </si>
  <si>
    <t>RIUP22/3058</t>
  </si>
  <si>
    <t>12-12-2023 NEFT/AXISP00451877863/RIUP23/3700/ANKSHRI INFRACONP/ICIC0000809 392000.00</t>
  </si>
  <si>
    <t>RIUP23/3700</t>
  </si>
  <si>
    <t>28-12-2023 NEFT/AXISP00456421505/RIUP23/3997/ANKSHRI INFRACONP/ICIC0000809 392000.00</t>
  </si>
  <si>
    <t>RIUP22/3997</t>
  </si>
  <si>
    <t>18-12-2023 NEFT/AXISP00453898725/RIUP23/3842/ANKSHRI INFRACONP/ICIC0000809 392000.00</t>
  </si>
  <si>
    <t>RIUP22/3842</t>
  </si>
  <si>
    <t>09-01-2024 NEFT/AXISP00460826674/RIUP23/4170/ANKSHRI INFRACONP/ICIC0000809 392000.00</t>
  </si>
  <si>
    <t>RIUP22/4170</t>
  </si>
  <si>
    <t>09-01-2024 NEFT/AXISP00460826675/RIUP23/4171/ANKSHRI INFRACONP/ICIC0000809 490000.00</t>
  </si>
  <si>
    <t>RIUP23/4171</t>
  </si>
  <si>
    <t>29-12-2023 NEFT/AXISP00456827638/RIUP23/4023/ANKSHRI INFRACON P/ICIC0000809 98000.00</t>
  </si>
  <si>
    <t>04-01-2024 NEFT/AXISP00459339765/RIUP23/4112/ANKSHRI INFRACONP/ICIC0000809 196000.00</t>
  </si>
  <si>
    <t>RIUP22/4023</t>
  </si>
  <si>
    <t>RIUP22/4112</t>
  </si>
  <si>
    <t>18-01-2024 NEFT/AXISP00463439406/RIUP23/4370/ANKSHRI INFRACONP/ICIC0000809 490000.00</t>
  </si>
  <si>
    <t>RIUP22/4370</t>
  </si>
  <si>
    <t>04-01-2024 NEFT/AXISP00459339767/RIUP23/4114/ANKSHRI INFRACON P/ICIC0000809 490000.00</t>
  </si>
  <si>
    <t>RIUP22/4114</t>
  </si>
  <si>
    <t xml:space="preserve"> </t>
  </si>
  <si>
    <t>RIUP22/4378</t>
  </si>
  <si>
    <t xml:space="preserve">19-01-2024 NEFT/AXISP00463568260/RIUP23/4378/ANKSHRI INFRACON P/ICIC0000809 392000.00 </t>
  </si>
  <si>
    <t>TDS (2%)</t>
  </si>
  <si>
    <t>17-01-2024 NEFT/AXISP00463099914/RIUP23/4289/ANKSHRI INFRACON P/ICIC0000809 294000.00</t>
  </si>
  <si>
    <t>RIUP22/4289</t>
  </si>
  <si>
    <t>04-01-2024 NEFT/AXISP00459339766/RIUP23/4113/ANKSHRI INFRACONP/ICIC0000809 392000.00</t>
  </si>
  <si>
    <t>RIUP22/4113</t>
  </si>
  <si>
    <t>Advance Village Wise</t>
  </si>
  <si>
    <t>OHT work</t>
  </si>
  <si>
    <t>Shamli UP</t>
  </si>
  <si>
    <t>04-01-2024 NEFT/AXISP00459339768/RIUP23/4115/ANKSHRI INFRACONP/ICIC0000809 294000.00</t>
  </si>
  <si>
    <t>RIUP22/4115</t>
  </si>
  <si>
    <t>01-01-2024 NEFT/AXISP00457977970/RIUP23/4047/ANKSHRI INFRACON P/ICIC0000809 ₹ 3,92,000.00</t>
  </si>
  <si>
    <t>RIUP22/4047</t>
  </si>
  <si>
    <t>RIUP22/4046</t>
  </si>
  <si>
    <t>01-01-2024 NEFT/AXISP00457977971/RIUP23/4046/ANKSHRI INFRACON P/ICIC0000809 ₹ 3,92,000.00</t>
  </si>
  <si>
    <t>18-12-2023 NEFT/AXISP00453885475/RIUP23/3836/ANKSHRI INFRACONP/ICIC0000809 392000.00</t>
  </si>
  <si>
    <t>RIUP22/3836</t>
  </si>
  <si>
    <t>11-10-2023 NEFT/AXISP00433203141/RIUP23/2622/ANKSHRI INFRACON P/ICIC0000809 196000.00</t>
  </si>
  <si>
    <t>RIUP22/2622</t>
  </si>
  <si>
    <t>25-01-2024 NEFT/AXISP00464983347/RIUP23/4472/ANKSHRI INFRACON P/ICIC0000809 ₹ 98,000.00</t>
  </si>
  <si>
    <t>RIUP22/4472</t>
  </si>
  <si>
    <t>Gst release Note</t>
  </si>
  <si>
    <t>gst release note</t>
  </si>
  <si>
    <t>24-01-2024 NEFT/AXISP00464671616/RIUP23/4452/ANKSHRI INFRACON P/ICIC0000809 544948.00</t>
  </si>
  <si>
    <t>RIUP23/4452</t>
  </si>
  <si>
    <t>03-02-2024 NEFT/AXISP00468072140/RIUP23/4578/ANKSHRI INFRACONP/ICIC0000809 392000.00</t>
  </si>
  <si>
    <t>RIUP23/4578</t>
  </si>
  <si>
    <t>02.02.24</t>
  </si>
  <si>
    <t>02.02.23</t>
  </si>
  <si>
    <t>01-02-2024 NEFT/AXISP00467277198/RIUP23/4525/ANKSHRI INFRACONP/ICIC0000809 98000.00</t>
  </si>
  <si>
    <t>RIUP22/4525</t>
  </si>
  <si>
    <t>06-02-2024 NEFT/AXISP00468582226/RIUP23/4607/ANKSHRI INFRACON P/ICIC0000809 392000.00</t>
  </si>
  <si>
    <t>RIUP23/4607</t>
  </si>
  <si>
    <t>03-02-2024 NEFT/AXISP00468072141/RIUP23/4579/ANKSHRI INFRACONP/ICIC0000809 294000.00</t>
  </si>
  <si>
    <t>RIUP23/4579</t>
  </si>
  <si>
    <t>13.02.23</t>
  </si>
  <si>
    <t>07-02-2024 NEFT/AXISP00468952330/RIUP23/4620/ANKSHRI INFRACON P/ICIC0000809 392000.00</t>
  </si>
  <si>
    <t>06-02-2024 NEFT/AXISP00468738909/RIUP23/4616/ANKSHRI INFRACON P/ICIC0000809 ₹ 2,94,000.00</t>
  </si>
  <si>
    <t>15-02-2024 NEFT/AXISP00471706638/RIUP23/4689/ANKSHRI INFRACONP/ICIC0000809 588000.00</t>
  </si>
  <si>
    <t>12.02.24</t>
  </si>
  <si>
    <t>25-01-2024 NEFT/AXISP00464983348/RIUP23/4471/ANKSHRI INFRACON P/ICIC0000809 ₹ 3,92,000.00</t>
  </si>
  <si>
    <t>16-02-2024 NEFT/AXISP00472105179/RIUP23/4730/ANKSHRI INFRACON P/ICIC0000809 392000.00</t>
  </si>
  <si>
    <t>32 &amp; 39</t>
  </si>
  <si>
    <t>17-02-2024 NEFT/AXISP00472256563/RIUP23/4754/ANKSHRI INFRACON P/ICIC0000809 ₹ 4,90,000.00</t>
  </si>
  <si>
    <t>20-02-2024 NEFT/AXISP00454521563/RIUP23/4791/ANKSHRI INFRACONP/ICIC0000809 490000.00</t>
  </si>
  <si>
    <t>02.01.24</t>
  </si>
  <si>
    <t>01-02-2024 NEFT/AXISP00467277199/RIUP23/4524/ANKSHRI INFRACON P/ICIC0000809 147000.00</t>
  </si>
  <si>
    <t>13.02.24</t>
  </si>
  <si>
    <t>31  &amp; 41</t>
  </si>
  <si>
    <t>35 &amp;37</t>
  </si>
  <si>
    <t>33,34 &amp;38</t>
  </si>
  <si>
    <t>RIUP23/4791</t>
  </si>
  <si>
    <t>Jahanpur - 250 KL 14 mtr</t>
  </si>
  <si>
    <t>NSP</t>
  </si>
  <si>
    <t>Shahpat Block -  Kairana - 200 KL 12 Mtr</t>
  </si>
  <si>
    <t>Date mismatch</t>
  </si>
  <si>
    <t>27-02-2024 NEFT/AXISP00474292064/RIUP23/4883/ANKSHRI INFRACONP/ICIC0000809 196000.00</t>
  </si>
  <si>
    <t>Tisang Dabheri Bujurg Village 175 KL 16mtr</t>
  </si>
  <si>
    <t xml:space="preserve"> MAMOR NON AHATMA - 250KL 12MTR</t>
  </si>
  <si>
    <t>Dokpura - 150 KL 16 mtr</t>
  </si>
  <si>
    <t>GST release note</t>
  </si>
  <si>
    <t>Nagla Rai - 225 KL 16 Mtr</t>
  </si>
  <si>
    <t xml:space="preserve">BEDKHERI -  225KL 12MTR </t>
  </si>
  <si>
    <t>Not booked at HO</t>
  </si>
  <si>
    <t>Odri Fatehpur - 300 KL 12 mtr</t>
  </si>
  <si>
    <t xml:space="preserve"> MUNDET KHADAR -  300KL 16MTR</t>
  </si>
  <si>
    <t xml:space="preserve">MALAKPUR - 250KL 14MTR </t>
  </si>
  <si>
    <t xml:space="preserve"> BIBIPUR JALALBAD -  100KL 12MTR</t>
  </si>
  <si>
    <t xml:space="preserve"> KASERWA KHURD - 300KL 16MTR</t>
  </si>
  <si>
    <t>26-02-2024 NEFT/AXISP00473983986/RIUP23/4850/ANKSHRI INFRACONP/ICIC0000809 294000.00</t>
  </si>
  <si>
    <t xml:space="preserve">  KHANPUR - 175KL-12 MTR</t>
  </si>
  <si>
    <t xml:space="preserve">KHANDRAWAL - 350KL 16MTR </t>
  </si>
  <si>
    <t>26-02-2024 NEFT/AXISP00473983987/RIUP23/4849/ANKSHRI INFRACON P/ICIC0000809 392000.00</t>
  </si>
  <si>
    <t xml:space="preserve">BARALA KUKARHERI - 375 KL 12 mtr </t>
  </si>
  <si>
    <t>Bhatu - 175 KL 12 Mtr</t>
  </si>
  <si>
    <t>27-02-2024 NEFT/AXISP00474292063/RIUP23/4884/ANKSHRI INFRACON P/ICIC0000809 ₹ 2,94,000.00</t>
  </si>
  <si>
    <t>BIBIPUR RATOUND - 175 KL 12 Mtr</t>
  </si>
  <si>
    <t xml:space="preserve"> HASANPUR - 200 KL 12 Mtr</t>
  </si>
  <si>
    <t>KHANPUR BUTRADA - 175 KL 12 Mtr</t>
  </si>
  <si>
    <t xml:space="preserve"> GOHARNI - 300KL 14 MTR</t>
  </si>
  <si>
    <t>Bill not checked</t>
  </si>
  <si>
    <t>Taken in ledger in this 59061</t>
  </si>
  <si>
    <t>Bill booked yesterday</t>
  </si>
  <si>
    <t>Bill Checked not yet booked</t>
  </si>
  <si>
    <t>Bill not checked and also on PMC bill amount diff</t>
  </si>
  <si>
    <t>S.No</t>
  </si>
  <si>
    <t>PMC</t>
  </si>
  <si>
    <t>Bill amount mismatch as per PMC &amp; site reconciliation</t>
  </si>
  <si>
    <t xml:space="preserve">Payment done after 25-2-2024 not updated in site </t>
  </si>
  <si>
    <t>TDS diff - taken 2% overall - but deductions done diff at HO as per TDS slab.</t>
  </si>
  <si>
    <t>All issues</t>
  </si>
  <si>
    <t>GST SD not considered in some bills</t>
  </si>
  <si>
    <t>All these are marked red in the reconciliation sheet - As per site</t>
  </si>
  <si>
    <t>Remark</t>
  </si>
  <si>
    <t>Difference between bill booked amount &amp; paid amount mismatch</t>
  </si>
  <si>
    <t>Ankashri diference in site and Pune reconciliation</t>
  </si>
  <si>
    <t>59315 , 60931, 61688</t>
  </si>
  <si>
    <t>Without Considering the GST SD and only deductions on basic - Payable amount</t>
  </si>
  <si>
    <t xml:space="preserve">Paid amount </t>
  </si>
  <si>
    <t>Balance Payable</t>
  </si>
  <si>
    <t>AS PER SITE CALCULATION</t>
  </si>
  <si>
    <t>Indicates diff in Pune &amp; Site recocniliation</t>
  </si>
  <si>
    <t>Advance / Surplus</t>
  </si>
  <si>
    <t>Debit</t>
  </si>
  <si>
    <t>GST Remaining</t>
  </si>
  <si>
    <t>Total Hold ( SD+HT )</t>
  </si>
  <si>
    <t>HT Release Note</t>
  </si>
  <si>
    <t xml:space="preserve"> 20,27 &amp; 29</t>
  </si>
  <si>
    <t xml:space="preserve"> 21 &amp;  30</t>
  </si>
  <si>
    <t>07-03-2024 NEFT/AXISP00478332506/RIUP23/5044/ANKSHRI INFRACON P/ICIC0000809 98000.00</t>
  </si>
  <si>
    <t>RIUP23/4849</t>
  </si>
  <si>
    <t>RIUP23/5044</t>
  </si>
  <si>
    <t>07-03-2024 NEFT/AXISP00478332511/RIUP23/5039/ANKSHRI INFRACON P/ICIC0000809 98000.00</t>
  </si>
  <si>
    <t>RIUP22/5039</t>
  </si>
  <si>
    <t>07-03-2024 NEFT/AXISP00478332510/RIUP23/5040/ANKSHRI INFRACON P/ICIC0000809 98000.00</t>
  </si>
  <si>
    <t>RIUP23/4524</t>
  </si>
  <si>
    <t>RIUP23/4883</t>
  </si>
  <si>
    <t>RIUP23/5040</t>
  </si>
  <si>
    <t>07-03-2024 NEFT/AXISP00478332509/RIUP23/5041/ANKSHRI INFRACON P/ICIC0000809 98000.00</t>
  </si>
  <si>
    <t>RIUP23/5041</t>
  </si>
  <si>
    <t>07-03-2024 NEFT/AXISP00478332508/RIUP23/5042/ANKSHRI INFRACON P/ICIC0000809 98000.00</t>
  </si>
  <si>
    <t>RIUP23/5042</t>
  </si>
  <si>
    <t>RIUP23/4620</t>
  </si>
  <si>
    <t>07-03-2024 NEFT/AXISP00478332507/RIUP23/5043/ANKSHRI INFRACON P/ICIC0000809 98000.00</t>
  </si>
  <si>
    <t>RIUP22/5043</t>
  </si>
  <si>
    <t>RIUP22/4730</t>
  </si>
  <si>
    <t>RIUP22/4471</t>
  </si>
  <si>
    <t>01-03-2024 NEFT/AXISP00475963220/RIUP23/4936/ANKSHRI INFRACON P/ICIC0000809 ₹ 1,96,000.00</t>
  </si>
  <si>
    <t>RIUP22/4689</t>
  </si>
  <si>
    <t>RIUP22/4936</t>
  </si>
  <si>
    <t xml:space="preserve">41, 44 </t>
  </si>
  <si>
    <t>14-03-2024 NEFT/AXISP00480999520/RIUP23/5103/ANKSHRI INFRACONP/ICIC0000809 490000.00</t>
  </si>
  <si>
    <t>RIUP23/5103</t>
  </si>
  <si>
    <t>GST</t>
  </si>
  <si>
    <t>31 &amp; 40</t>
  </si>
  <si>
    <t>HT release note</t>
  </si>
  <si>
    <t>20-03-2024 NEFT/AXISP00482717111/RIUP23/5217/ANKSHRI INFRACON P/ICIC0000809 784000.00</t>
  </si>
  <si>
    <t>Unchgaon - Kairana - 400 Kl - 16 mtr</t>
  </si>
  <si>
    <t>booked on 29.2.24</t>
  </si>
  <si>
    <t>31-03-2024 NEFT/AXISP00486642364/RIUP23/5352/ANKSHRI INFRACON P/ICIC0000809 490000.00</t>
  </si>
  <si>
    <t>RIUP22/4850</t>
  </si>
  <si>
    <t>18-03-2024 NEFT/AXISP00481766500/RIUP23/5163/ANKSHRI INFRACONP/ICIC0000809 294000.00</t>
  </si>
  <si>
    <t>RIUP23/5163</t>
  </si>
  <si>
    <t>18-03-2024 NEFT/AXISP00481766499/RIUP23/5162/ANKSHRI INFRACONP/ICIC0000809 294000.00</t>
  </si>
  <si>
    <t>RIUP22/5162</t>
  </si>
  <si>
    <t>06-04-2024 NEFT/AXISP00489186656/RIUP24/075/ANKSHRI INFRACON P/ICIC0000809 490000.00</t>
  </si>
  <si>
    <t>06-04-2024 NEFT/AXISP00489186657/RIUP24/076/ANKSHRI INFRACONP/ICIC0000809 490000.00</t>
  </si>
  <si>
    <t>RIUP22/076</t>
  </si>
  <si>
    <t>19-04-2024 NEFT/AXISP00492552112/RIUP24/0250/ANKSHRI INFRACONP/ICIC0000809 196000.00</t>
  </si>
  <si>
    <t>19 &amp; 26</t>
  </si>
  <si>
    <t>57 &amp; 74</t>
  </si>
  <si>
    <t>HT</t>
  </si>
  <si>
    <t>73 &amp; 78</t>
  </si>
  <si>
    <t>HT release</t>
  </si>
  <si>
    <t>34 &amp; 38</t>
  </si>
  <si>
    <t>19-04-2024 NEFT/AXISP00492552100/RIUP24/0251/ANKSHRI INFRACONP/ICIC0000809 294000.00</t>
  </si>
  <si>
    <t>RIUP24/0251</t>
  </si>
  <si>
    <t>RIUP23/4370</t>
  </si>
  <si>
    <t>RIUP23/5352</t>
  </si>
  <si>
    <t>GSt</t>
  </si>
  <si>
    <t>59, 72</t>
  </si>
  <si>
    <t>16-04-2024 NEFT/AXISP00491676960/RIUP24/0163/ANKSHRI INFRACON P/ICIC0000809 294000.00</t>
  </si>
  <si>
    <t>25-04-2024 NEFT/AXISP00493738068/RIUP24/0274/ANKSHRI INFRACON P/ICIC0000809 490000.00</t>
  </si>
  <si>
    <t>58 &amp; 75</t>
  </si>
  <si>
    <t>02-05-2024 NEFT/AXISP00496215184/RIUP24/0361/ANKSHRI INFRACONP/ICIC0000809 294000.00</t>
  </si>
  <si>
    <t>02-05-2024 NEFT/AXISP00496215183/RIUP24/0362/ANKSHRI INFRACONP/ICIC0000809 294000.00</t>
  </si>
  <si>
    <t>07-05-2024 NEFT/AXISP00497850346/RIUP24/0400/ANKSHRI INFRACONP/ICIC0000809 196000.00</t>
  </si>
  <si>
    <t>09-05-2024 NEFT/AXISP00495645269/RIUP24/0444/ANKSHRI INFRACON P/ICIC0000809 392000.00</t>
  </si>
  <si>
    <t>4 &amp; 7</t>
  </si>
  <si>
    <t>01-03-2024 NEFT/AXISP00475963221/RIUP23/4935/ANKSHRI INFRACON P/ICIC0000809 ₹ 1,96,000.00</t>
  </si>
  <si>
    <t>10-05-2024 NEFT/AXISP00499057072/RIUP24/0469/ANKSHRI INFRACON P/ICIC0000809 196000.00</t>
  </si>
  <si>
    <t>24-05-2024 NEFT/AXISP00502671117/RIUP24/0603/ANKSHRI INFRACONP/ICIC0000809 343000.00</t>
  </si>
  <si>
    <t>24-05-2024 NEFT/AXISP00502671118/RIUP24/0602/ANKSHRI INFRACON P/ICIC0000809 343000.00</t>
  </si>
  <si>
    <t>31-05-2024 NEFT/AXISP00504104796/RIUP24/0682/ANKSHRI INFRACON P/ICIC0000809 392000.00</t>
  </si>
  <si>
    <t>21-06-2024 NEFT/AXISP00510928383/RIUP24/0944/ANKSHRI INFRACONP/ICIC0000809 392000.00</t>
  </si>
  <si>
    <t>21-06-2024 NEFT/AXISP00510928384/RIUP24/0945/ANKSHRI INFRACONP/ICIC0000809 392000.00</t>
  </si>
  <si>
    <t>15-06-2024 NEFT/AXISP00509542618/RIUP24/0851/ANKSHRI INFRACON P/ICIC0000809 490000.00</t>
  </si>
  <si>
    <t>28-06-2024 NEFT/AXISP00512718431/RIUP24/0994/ANKSHRI INFRACON P/ICIC0000809 490000.00</t>
  </si>
  <si>
    <t>29-06-2024 NEFT/AXISP00512933442/RIUP24/1004/ANKSHRI INFRACON P/ICIC0000809 392000.00</t>
  </si>
  <si>
    <t>17 &amp; 23</t>
  </si>
  <si>
    <t>15 &amp; 24</t>
  </si>
  <si>
    <t>14&amp; 19</t>
  </si>
  <si>
    <t>76, 6</t>
  </si>
  <si>
    <t>06-07-2024 NEFT/AXISP00516322324/RIUP24/1068/ANKSHRI INFRACONP/ICIC0000809 392000.00</t>
  </si>
  <si>
    <t>06-07-2024 NEFT/AXISP00516322323/RIUP24/1067/ANKSHRI INFRACONP/ICIC0000809 392000.00</t>
  </si>
  <si>
    <t>10-07-2024 NEFT/AXISP00517464012/RIUP24/1082/ANKSHRI INFRACON P/ICIC0000809 392000.00</t>
  </si>
  <si>
    <t>17-05-2024 NEFT/AXISP00500883096/RIUP24/0550/ANKSHRI INFRACON P/ICIC0000809 294000.00</t>
  </si>
  <si>
    <t>11-07-2024 NEFT/AXISP00517806263/RIUP24/1090/ANKSHRI INFRACON P/ICIC0000809 392000.00</t>
  </si>
  <si>
    <t>12, 11</t>
  </si>
  <si>
    <t>13-06-2024 NEFT/AXISP00509043664/RIUP24/0850/ANKSHRI INFRACONP/ICIC0000809 490000.00</t>
  </si>
  <si>
    <t>18-07-2024 NEFT/AXISP00519648698/RIUP24/1148/ANKSHRI INFRACON P/ICIC0000809 ₹ 3,92,000.00</t>
  </si>
  <si>
    <t>20-07-2024 NEFT/AXISP00520155443/RIUP24/1212/ANKSHRI INFRACONP/ICIC0000809 294000.00</t>
  </si>
  <si>
    <t>16-05-2024 NEFT/AXISP00500630414/RIUP24/0518/ANKSHRI INFRACON P/ICIC0000809 490000.00</t>
  </si>
  <si>
    <t>26-07-2024 NEFT/AXISP00521556650/RIUP24/1268/ANKSHRI INFRACONP/ICIC0000809 294000.00</t>
  </si>
  <si>
    <t>01-08-2024 NEFT/AXISP00523998746/RIUP24/1338/ANKSHRI INFRACONP/ICIC0000809 196000.00</t>
  </si>
  <si>
    <t>16-05-2024 NEFT/AXISP00500630411/RIUP24/0521/ANKSHRI INFRACON P/ICIC0000809 196000.00</t>
  </si>
  <si>
    <t>26-07-2024 NEFT/AXISP00521556651/RIUP24/1267/ANKSHRI INFRACON P/ICIC0000809 294000.00</t>
  </si>
  <si>
    <t>16-07-2024 NEFT/AXISP00519021118/RIUP24/1138/ANKSHRI INFRACON P/ICIC0000809 196000.00</t>
  </si>
  <si>
    <t>18-07-2024 NEFT/AXISP005190568569/RIUP24/1166/ANKSHRI INFRACON P/ICIC0000809 196000.00</t>
  </si>
  <si>
    <t>OHT 175KL 12MTR DUDHAR</t>
  </si>
  <si>
    <t>09-08-2024 NEFT/AXISP00527021264/RIUP24/1440/ANKSHRI INFRACONP/ICIC0000809 392000.00</t>
  </si>
  <si>
    <t>175KL-16 MTR OHT Work At-  VILLAGE-BIBIPUR HATIYA</t>
  </si>
  <si>
    <t>19-04-2024 NEFT/AXISP00492552101/RIUP24/0252/ANKSHRI INFRACONP/ICIC0000809 294000.00</t>
  </si>
  <si>
    <t>20-07-2024 NEFT/AXISP00520155442/RIUP24/1213/ANKSHRI INFRACONP/ICIC0000809 294000.00</t>
  </si>
  <si>
    <t>09-08-2024 NEFT/AXISP00527011517/RIUP24/1399/ANKSHRI INFRACONP/ICIC0000809 392000.00</t>
  </si>
  <si>
    <t>09-08-2024 NEFT/AXISP00527021265/RIUP24/1441/ANKSHRI INFRACONP/ICIC0000809 392000.00</t>
  </si>
  <si>
    <t xml:space="preserve">23-08-2024
NEFT/AXISP00531577844/SKUP24/163/ANKSHRI INFRACON
P/ICIC0000809 495000.00
</t>
  </si>
  <si>
    <t>23-08-2024
NEFT/AXISP00531577843/SKUP24/162/ANKSHRI INFRACON
P/ICIC0000809 495000.00</t>
  </si>
  <si>
    <t>04-09-2024 NEFT/AXISP00536083001/RIUP24/1639/ANKSHRI INFRACON P/ICIC0000809 490000.00</t>
  </si>
  <si>
    <t>04-09-2024 NEFT/AXISP00536083002/RIUP24/1640/ANKSHRI INFRACONP/ICIC0000809 245000.00</t>
  </si>
  <si>
    <t>04-09-2024 NEFT/AXISP00536083003/RIUP24/1641/ANKSHRI INFRACONP/ICIC0000809 245000.00</t>
  </si>
  <si>
    <t>Unchagaoun - Pipeline _RR</t>
  </si>
  <si>
    <t>11-09-2024 NEFT/AXISP00539189213/RIUP24/1762/ANKSHRI INFRACONP/ICIC0000809 294000.00</t>
  </si>
  <si>
    <t>11-09-2024 NEFT/AXISP00539189215/RIUP24/1761/ANKSHRI INFRACONP/ICIC0000809 196000.00</t>
  </si>
  <si>
    <t>11-09-2024 NEFT/AXISP00539189214/RIUP24/1760/ANKSHRI INFRACONP/ICIC0000809 196000.00</t>
  </si>
  <si>
    <t>04-09-2024 NEFT/AXISP00535970655/RIUP24/1583/ANKSHRI INFRACON P/ICIC0000809 ₹ 4,90,000.00</t>
  </si>
  <si>
    <t>02-09-2024 NEFT/AXISP00535241236/RIUP24/1582/ANKSHRI INFRACONP/ICIC0000809 392000.00</t>
  </si>
  <si>
    <t>13-09-2024 NEFT/AXISP00540414551/RIUP24/1792/ANKSHRI INFRACONP/ICIC0000809 245000.00</t>
  </si>
  <si>
    <t>13-09-2024 NEFT/AXISP00540414550/RIUP24/1793/ANKSHRI INFRACONP/ICIC0000809 245000.00</t>
  </si>
  <si>
    <t>Tisang Dabheri Buzurg - RR</t>
  </si>
  <si>
    <t>Mawi Ahatmal Timali - RR</t>
  </si>
  <si>
    <t>Ramra - RR</t>
  </si>
  <si>
    <t>30-08-2024 NEFT/AXISP00533733865/RIUP24/1584/ANKSHRI INFRACONP/ICIC0000809 490000.00</t>
  </si>
  <si>
    <t>18-09-2024 NEFT/AXISP00541733396/RIUP24/1844/ANKSHRI INFRACONP/ICIC0000809 122500.00</t>
  </si>
  <si>
    <t>18-09-2024 NEFT/AXISP00541733397/RIUP24/1845/ANKSHRI INFRACONP/ICIC0000809 122500.00</t>
  </si>
  <si>
    <t>18-09-2024 NEFT/AXISP00541733398/RIUP24/1846/ANKSHRI INFRACONP/ICIC0000809 122500.00</t>
  </si>
  <si>
    <t>18-09-2024 NEFT/AXISP00541733399/RIUP24/1847/ANKSHRI INFRACONP/ICIC0000809 122500.00</t>
  </si>
  <si>
    <t>18-09-2024 NEFT/AXISP00541733400/RIUP24/1848/ANKSHRI INFRACONP/ICIC0000809 98000.00</t>
  </si>
  <si>
    <t>21-09-2024 NEFT/AXISP00542940971/RIUP24/1894/ANKSHRI INFRACON P/ICIC0000809 196000.00</t>
  </si>
  <si>
    <t>21-09-2024 NEFT/AXISP00542940974/RIUP24/1889A/ANKSHRI INFRACONP/ICIC0000809 196000.00</t>
  </si>
  <si>
    <t>24-09-2024 NEFT/AXISP00543503643/RIUP24/1901/ANKSHRI INFRACONP/ICIC0000809 98000.00</t>
  </si>
  <si>
    <t>24-09-2024 NEFT/AXISP00543503644/RIUP24/1902/ANKSHRI INFRACONP/ICIC0000809 98000.00</t>
  </si>
  <si>
    <t>24-09-2024 NEFT/AXISP00543503645/RIUP24/1903/ANKSHRI INFRACON P/ICIC0000809 294000.00</t>
  </si>
  <si>
    <t>24-09-2024 NEFT/AXISP00543503646/RIUP24/1904/ANKSHRI INFRACONP/ICIC0000809 98000.00</t>
  </si>
  <si>
    <t>27-09-2024 NEFT/AXISP00544997298/RIUP24/1944/ANKSHRI INFRACONP/ICIC0000809 98000.00</t>
  </si>
  <si>
    <t>27-09-2024 NEFT/AXISP00544997297/RIUP24/1943/ANKSHRI INFRACONP/ICIC0000809 392000.00</t>
  </si>
  <si>
    <t>27-09-2024 NEFT/AXISP00544997296/RIUP24/1942/ANKSHRI INFRACON P/ICIC0000809 269500.00</t>
  </si>
  <si>
    <t>01-10-2024 NEFT/AXISP00547359360/RIUP24/2040/ANKSHRI INFRACONP/ICIC0000809 392000.00</t>
  </si>
  <si>
    <t>01-10-2024 NEFT/AXISP00547359359/RIUP24/2039/ANKSHRI INFRACONP/ICIC0000809 392000.00</t>
  </si>
  <si>
    <t>01-10-2024 NEFT/AXISP00547359362/RIUP24/2042/ANKSHRI INFRACONP/ICIC0000809 294000.00</t>
  </si>
  <si>
    <t>01-10-2024 NEFT/AXISP00547359361/RIUP24/2041/ANKSHRI INFRACONP/ICIC0000809 392000.00</t>
  </si>
  <si>
    <t>01-10-2024 NEFT/AXISP00547359358/RIUP24/2038/ANKSHRI INFRACONP/ICIC0000809 294000.00</t>
  </si>
  <si>
    <t>01-10-2024 NEFT/AXISP00547359357/RIUP24/2037/ANKSHRI INFRACONP/ICIC0000809 196000.00</t>
  </si>
  <si>
    <t>01-10-2024 NEFT/AXISP00547359356/RIUP24/2036/ANKSHRI INFRACONP/ICIC0000809 196000.00</t>
  </si>
  <si>
    <t>gst</t>
  </si>
  <si>
    <t>Jasala - 425- 12</t>
  </si>
  <si>
    <t>16/9/24</t>
  </si>
  <si>
    <t>16-10-2024 NEFT/AXISP00554277921/RIUP24/2219/ANKSHRI INFRACONP/ICIC0000809 490000.00</t>
  </si>
  <si>
    <t>17-10-2024 NEFT/AXISP00554849806/RIUP24/2221/ANKSHRI INFRACONP/ICIC0000809 490000.00</t>
  </si>
  <si>
    <t>18-10-2024 NEFT/AXISP00555372157/RIUP24/2220/ANKSHRI INFRACONP/ICIC0000809 490000.00</t>
  </si>
  <si>
    <t>PIPE LINE ROAD RESTORATION WORK At- KANDHLA  DEHAT VILLAGE, BLOCK - KANDHLA</t>
  </si>
  <si>
    <t>Kheri Khurtan - RR Block Kandhla</t>
  </si>
  <si>
    <t>Goharpur - RR Block SHAMLI</t>
  </si>
  <si>
    <t>JHARKHERI VILLAGE, BLOCK - KAIRANA RR</t>
  </si>
  <si>
    <t>30-10-2024 NEFT/AXISP00561389913/RIUP24/2374/ANKSHRI INFRACON P/ICIC0000809 294000.00</t>
  </si>
  <si>
    <t>30-10-2024 NEFT/AXISP00561389914/RIUP24/2375/ANKSHRI INFRACONP/ICIC0000809 490000.00</t>
  </si>
  <si>
    <t>30-10-2024 NEFT/AXISP00561389915/RIUP24/2376/ANKSHRI INFRACONP/ICIC0000809 490000.00</t>
  </si>
  <si>
    <t>30-10-2024 NEFT/AXISP00561389916/RIUP24/2377/ANKSHRI INFRACONP/ICIC0000809 490000.00</t>
  </si>
  <si>
    <t>Ankshri Infracon</t>
  </si>
  <si>
    <t>PIPE LINE ROAD RESTORATION WORK At- MANSURA VILLAGE, BLOCK - UNN</t>
  </si>
  <si>
    <t>PIPE LINE ROAD RESTORATION WORK At- KHERI KARMU VILLAGE, BLOCK - SHAMLI</t>
  </si>
  <si>
    <t>31-05-2024 NEFT/AXISP00504104798/RIUP24/0681/ANKSHRI INFRACON P/ICIC0000809 343000.00</t>
  </si>
  <si>
    <t>06-06-2024 NEFT/AXISP00506791472/RIUP24/0775/ANKSHRI INFRACON P/ICIC0000809 490000.00</t>
  </si>
  <si>
    <t>Jangheri - 225 - 16 OHT</t>
  </si>
  <si>
    <t>16-11-2024 NEFT/AXISP00570981027/RIUP24/2515/ANKSHRI INFRACONP/ICIC0000809 490000.00</t>
  </si>
  <si>
    <t>21-11-2024 NEFT/AXISP00572970220/RIUP24/2516/ANKSHRI INFRACON P/ICIC0000809 490000.00</t>
  </si>
  <si>
    <t>225KL-12 MTR OHT BALANCE Work At-  VILLAGE-KHORSAMA BLOCK - UNN</t>
  </si>
  <si>
    <t>75 &amp; 78</t>
  </si>
  <si>
    <t>04-12-2024 NEFT/AXISP00579764040/RIUP24/2629/ANKSHRI INFRACON P/ICIC0000809 294000.00</t>
  </si>
  <si>
    <t>04-12-2024 NEFT/AXISP00579764039/RIUP24/2628/ANKSHRI INFRACON P/ICIC0000809 294000.00</t>
  </si>
  <si>
    <t>PIPE LINE ROAD RR WORK At- KHERI KARMU VILLAGE, BLOCK - SHAMLI</t>
  </si>
  <si>
    <t xml:space="preserve">Bill not  Checked </t>
  </si>
  <si>
    <t>26-12-2024 Debit N/RIUP24/2788/ANKSHRI INFRAC/INDBN26123786919 490000.0</t>
  </si>
  <si>
    <t>27-12-2024 NEFT/AXISP00589232251/RIUP24/2789/ANKSHRI INFRACON P/ICIC0000809 490000.00</t>
  </si>
  <si>
    <t>30-12-2024 Debit N/RIUP24/2790/ANKSHRI INFRAC/INDBN30124223048 490000.0</t>
  </si>
  <si>
    <t>RIUP24/0362</t>
  </si>
  <si>
    <t>RIUP24/1582</t>
  </si>
  <si>
    <t>RIUP24/1583</t>
  </si>
  <si>
    <t>RIUP24/0851</t>
  </si>
  <si>
    <t>RIUP24/1090</t>
  </si>
  <si>
    <t>RIUP24/1760</t>
  </si>
  <si>
    <t>75KL-14 MTR OHT  MAWI AHATMAL TIMALI BLOCK - KAIRANA </t>
  </si>
  <si>
    <t xml:space="preserve">GSB </t>
  </si>
  <si>
    <t>Not Process</t>
  </si>
  <si>
    <t>NO T.I.</t>
  </si>
  <si>
    <t xml:space="preserve">GST </t>
  </si>
  <si>
    <t>73&amp;72</t>
  </si>
  <si>
    <t>PIPE LINE ROAD RESTORATION WORK At- DARGAHPUR VILLAGE, BLOCK - UNN</t>
  </si>
  <si>
    <t xml:space="preserve">Bill not processed </t>
  </si>
  <si>
    <t>Updated on 13/01/25</t>
  </si>
  <si>
    <t xml:space="preserve">Bill not Checked </t>
  </si>
  <si>
    <t xml:space="preserve">Villages </t>
  </si>
  <si>
    <t xml:space="preserve">Advance </t>
  </si>
  <si>
    <t>30-01-2025 NEFT/AXISP00605897133/RIUP24/3058/ANKSHRI INFRACON P/ICIC0000809 294000.00</t>
  </si>
  <si>
    <t>03-02-2025 NEFT/AXISP00609353054/RIUP24/3063/ANKSHRI INFRACONP/ICIC0000809 200000.00</t>
  </si>
  <si>
    <t>GSB Bill</t>
  </si>
  <si>
    <t>GSB  Bill</t>
  </si>
  <si>
    <t>07-02-2025 NEFT/AXISP00612564986/RIUP24/3126/ANKSHRI INFRACON P/ICIC0000809 300000.00</t>
  </si>
  <si>
    <t>10-02-2025 NEFT/AXISP00613794853/RIUP24/3128/ANKSHRI INFRACON P/ICIC0000809 294000.00</t>
  </si>
  <si>
    <t>11-02-2025 NEFT/AXISP00614452344/RIUP24/3127/ANKSHRI INFRACONP/ICIC0000809 400000.00</t>
  </si>
  <si>
    <t>01-01-2024 NEFT/AXISP00457977971/RIUP23/4046/ANKSHRI INFRACON P/ICIC0000809 3,92,000.00</t>
  </si>
  <si>
    <t>27-02-2024 NEFT/AXISP00474292063/RIUP23/4884/ANKSHRI INFRACON P/ICIC0000809 2,94,000.00</t>
  </si>
  <si>
    <t>01-01-2024 NEFT/AXISP00457977970/RIUP23/4047/ANKSHRI INFRACON P/ICIC0000809 3,92,000.00</t>
  </si>
  <si>
    <t>17-02-2024 NEFT/AXISP00472256563/RIUP23/4754/ANKSHRI INFRACON P/ICIC0000809 4,90,000.00</t>
  </si>
  <si>
    <t>25-01-2024 NEFT/AXISP00464983348/RIUP23/4471/ANKSHRI INFRACON P/ICIC0000809 3,92,000.00</t>
  </si>
  <si>
    <t>16-09-2023 NEFT/AXISP00425555999/RIUP23/2064/ANKSHRI INFRACON P/ICIC0000809 1,96,000.00</t>
  </si>
  <si>
    <t>12-10-2023 NEFT/AXISP00433707866/RIUP23/2626/ANKSHRI INFRACON P/ICIC0000809 2,94,000.00</t>
  </si>
  <si>
    <t>04-09-2024 NEFT/AXISP00535970655/RIUP24/1583/ANKSHRI INFRACON P/ICIC0000809 4,90,000.00</t>
  </si>
  <si>
    <t>01-03-2024 NEFT/AXISP00475963221/RIUP23/4935/ANKSHRI INFRACON P/ICIC0000809 1,96,000.00</t>
  </si>
  <si>
    <t>03-11-2023 NEFT/AXISP00440010429/RIUP23/3057/ANKSHRI INFRACON P/ICIC0000809 1,96,000.00</t>
  </si>
  <si>
    <t>18-07-2024 NEFT/AXISP00519648698/RIUP24/1148/ANKSHRI INFRACON P/ICIC0000809 3,92,000.00</t>
  </si>
  <si>
    <t>03-11-2023 NEFT/AXISP00440010430/RIUP23/3058/ANKSHRI INFRACON P/ICIC0000809  98,000.00</t>
  </si>
  <si>
    <t>01-03-2024 NEFT/AXISP00475963220/RIUP23/4936/ANKSHRI INFRACON P/ICIC0000809 1,96,000.00</t>
  </si>
  <si>
    <t>06-02-2024 NEFT/AXISP00468738909/RIUP23/4616/ANKSHRI INFRACON P/ICIC0000809 2,94,000.00</t>
  </si>
  <si>
    <t>25-02-2025 NEFT/AXISP00621808051/RIUP24/3243/ANKSHRI INFRACON P/ICIC0000809 400000.00</t>
  </si>
  <si>
    <t>27-02-2025 NEFT/AXISP00623109872/RIUP24/3289/ANKSHRI INFRACON P/ICIC0000809 198228.00</t>
  </si>
  <si>
    <t>28-02-2025 NEFT/AXISP00623434824/RIUP24/3290/ANKSHRI INFRACON P/ICIC0000809 - ₹ 3,00,000.00</t>
  </si>
  <si>
    <t>03-03-2025 NEFT/AXISP00626657826/RIUP24/3305/ANKSHRI INFRACONP/ICIC0000809 500000.00</t>
  </si>
  <si>
    <t>13-03-2025 NEFT/AXISP00633031174/RIUP24/3423/ANKSHRI INFRACONP/ICIC0000809 985474.00</t>
  </si>
  <si>
    <t>15-03-2025 NEFT/AXISP00633868934/RIUP24/3422/ANKSHRI INFRACON P/ICIC0000809 500000.00</t>
  </si>
  <si>
    <t>31-03-2025 NEFT/AXISP00643290432/RIUP24/3523/ANKSHRI INFRACONP/ICIC0000809 500000.00</t>
  </si>
  <si>
    <t>31-03-2025 NEFT/AXISP00643290431/RIUP24/3522/ANKSHRI INFRACONP/ICIC0000809 500000.00</t>
  </si>
  <si>
    <t xml:space="preserve">Excess Hold </t>
  </si>
  <si>
    <t>30-04-2025 NEFT/AXISP00658307176/RIUP25/0171/ANKSHRI INFRACON P/ICIC0000809 1000000.00</t>
  </si>
  <si>
    <t>15-05-2025 NEFT/AXISP00666018231/RIUP25/0250/ANKSHRI INFRACON P/ICIC0000809 500000.00</t>
  </si>
  <si>
    <t>Updated on 17-05-2025</t>
  </si>
  <si>
    <t>Subcontractor:</t>
  </si>
  <si>
    <t>State:</t>
  </si>
  <si>
    <t>District:</t>
  </si>
  <si>
    <t>Block:</t>
  </si>
  <si>
    <t>Uttar Pradesh</t>
  </si>
  <si>
    <t>Shamli</t>
  </si>
  <si>
    <t>Shahpat village Block -  Kairana - 200 KL 12 Mtr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</si>
  <si>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</si>
  <si>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</si>
  <si>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</si>
  <si>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</si>
  <si>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</si>
  <si>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</si>
  <si>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</si>
  <si>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</si>
  <si>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</si>
  <si>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</si>
  <si>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</si>
  <si>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</si>
  <si>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</si>
  <si>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</si>
  <si>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</si>
  <si>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</si>
  <si>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</si>
  <si>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MAMOR NON AHATMA village - 250KL 12MTR work</t>
  </si>
  <si>
    <t>Nagla Rai village - 225 KL 16 Mtr work</t>
  </si>
  <si>
    <t>Tisang Dabheri Bujurg Village 175 KL 16mtr work</t>
  </si>
  <si>
    <t>Odri Fatehpur village - 300 KL 12 mtr work</t>
  </si>
  <si>
    <t xml:space="preserve"> BIBIPUR JALALBAD village -  100KL 12MTR work</t>
  </si>
  <si>
    <t xml:space="preserve"> KASERWA KHURD village - 300KL 16MTR work</t>
  </si>
  <si>
    <t xml:space="preserve"> GOHARNI village - 300KL 14 MTR work</t>
  </si>
  <si>
    <t>Basera Non Alluvial village - 250KL-14 MTR work</t>
  </si>
  <si>
    <t>Unchgaon village- Kairana - 400 Kl - 16 mtr work</t>
  </si>
  <si>
    <t>Jasala village- 425- 12 work</t>
  </si>
  <si>
    <t xml:space="preserve"> DUDHAR village, OHT 175KL 12MTR work</t>
  </si>
  <si>
    <t>Unchagaoun village- Pipeline _RR work</t>
  </si>
  <si>
    <t>Ramra village- RR work</t>
  </si>
  <si>
    <t>Kheri Khurtan village- RR work Block Kandhla</t>
  </si>
  <si>
    <t>Tisang Dabheri Buzurg village- RR work</t>
  </si>
  <si>
    <t>Goharpur village- RR work Block SHAMLI</t>
  </si>
  <si>
    <t>Mawi Ahatmal Timali village - RR work</t>
  </si>
  <si>
    <t>Jangheri village- 225 - 16 OHT work</t>
  </si>
  <si>
    <t>JHARKHERI VILLAGE, BLOCK - KAIRANA RR work</t>
  </si>
  <si>
    <t>Dokpura village - 150 KL 16 mtr work</t>
  </si>
  <si>
    <t xml:space="preserve">KANDHLA  DEHAT VILLAGE, BLOCK - KANDHLA PIPE LINE ROAD RESTORATION WORK </t>
  </si>
  <si>
    <t>VILLAGE-KHORSAMA BLOCK - UNN 225KL-12 MTR OHT BALANCE Work</t>
  </si>
  <si>
    <t xml:space="preserve"> MAWI AHATMAL TIMALI village, BLOCK - KAIRANA 75KL-14 MTR OHT work</t>
  </si>
  <si>
    <t>Jahanpur village  250 KL 14 mtr work</t>
  </si>
  <si>
    <t xml:space="preserve">BEDKHERI village  225KL 12MTR work </t>
  </si>
  <si>
    <t xml:space="preserve"> MUNDET KHADAR village  300KL 16MTR work</t>
  </si>
  <si>
    <t>MALAKPUR village 250KL 14MTR work</t>
  </si>
  <si>
    <t>KHANDRAWAL village 350KL 16MTR work</t>
  </si>
  <si>
    <t>BARALA KUKARHERI village 375 KL 12 mtr work</t>
  </si>
  <si>
    <t>Bhatu village 175 KL 12 Mtr work</t>
  </si>
  <si>
    <t>BIBIPUR RATOUND village 175 KL 12 Mtr work</t>
  </si>
  <si>
    <t xml:space="preserve"> HASANPUR village  200 KL 12 Mtr work</t>
  </si>
  <si>
    <t>KHANPUR BUTRADA village 175 KL 12 Mtr work</t>
  </si>
  <si>
    <t>BIBIPUR HATIYA village 175KL-16 MTR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</si>
</sst>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&quot;₹&quot;\ #,##0.0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9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4" fillId="2" borderId="0" xfId="1" applyNumberFormat="1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43" fontId="4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5" fontId="4" fillId="2" borderId="2" xfId="0" applyNumberFormat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43" fontId="4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2" xfId="1" applyNumberFormat="1" applyFont="1" applyFill="1" applyBorder="1" applyAlignment="1">
      <alignment vertical="center"/>
    </xf>
    <xf numFmtId="43" fontId="4" fillId="0" borderId="2" xfId="0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4" fillId="2" borderId="3" xfId="1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4" fontId="4" fillId="2" borderId="2" xfId="0" applyNumberFormat="1" applyFont="1" applyFill="1" applyBorder="1" applyAlignment="1">
      <alignment vertical="center"/>
    </xf>
    <xf numFmtId="43" fontId="4" fillId="2" borderId="2" xfId="0" applyNumberFormat="1" applyFont="1" applyFill="1" applyBorder="1" applyAlignment="1">
      <alignment vertical="center"/>
    </xf>
    <xf numFmtId="0" fontId="9" fillId="2" borderId="0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vertical="center"/>
    </xf>
    <xf numFmtId="43" fontId="11" fillId="2" borderId="2" xfId="1" applyNumberFormat="1" applyFont="1" applyFill="1" applyBorder="1" applyAlignment="1">
      <alignment vertical="center"/>
    </xf>
    <xf numFmtId="43" fontId="4" fillId="3" borderId="2" xfId="0" applyNumberFormat="1" applyFont="1" applyFill="1" applyBorder="1" applyAlignment="1">
      <alignment vertical="center"/>
    </xf>
    <xf numFmtId="0" fontId="3" fillId="3" borderId="6" xfId="1" applyNumberFormat="1" applyFont="1" applyFill="1" applyBorder="1" applyAlignment="1">
      <alignment vertical="center"/>
    </xf>
    <xf numFmtId="43" fontId="4" fillId="3" borderId="6" xfId="1" applyNumberFormat="1" applyFont="1" applyFill="1" applyBorder="1" applyAlignment="1">
      <alignment vertical="center"/>
    </xf>
    <xf numFmtId="9" fontId="4" fillId="3" borderId="6" xfId="1" applyNumberFormat="1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43" fontId="4" fillId="2" borderId="7" xfId="1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4" fillId="2" borderId="9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4" fillId="2" borderId="14" xfId="1" applyNumberFormat="1" applyFont="1" applyFill="1" applyBorder="1" applyAlignment="1">
      <alignment vertical="center"/>
    </xf>
    <xf numFmtId="43" fontId="4" fillId="2" borderId="15" xfId="1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3" fontId="4" fillId="2" borderId="4" xfId="1" applyNumberFormat="1" applyFont="1" applyFill="1" applyBorder="1" applyAlignment="1">
      <alignment horizontal="right" vertical="center"/>
    </xf>
    <xf numFmtId="43" fontId="4" fillId="2" borderId="0" xfId="0" applyNumberFormat="1" applyFont="1" applyFill="1" applyAlignment="1">
      <alignment vertical="center"/>
    </xf>
    <xf numFmtId="43" fontId="11" fillId="4" borderId="2" xfId="1" applyNumberFormat="1" applyFont="1" applyFill="1" applyBorder="1" applyAlignment="1">
      <alignment vertical="center"/>
    </xf>
    <xf numFmtId="43" fontId="12" fillId="2" borderId="0" xfId="1" applyNumberFormat="1" applyFont="1" applyFill="1" applyBorder="1" applyAlignment="1">
      <alignment vertical="center"/>
    </xf>
    <xf numFmtId="43" fontId="13" fillId="2" borderId="0" xfId="1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43" fontId="7" fillId="2" borderId="18" xfId="1" applyNumberFormat="1" applyFont="1" applyFill="1" applyBorder="1" applyAlignment="1">
      <alignment horizontal="center" vertical="center"/>
    </xf>
    <xf numFmtId="43" fontId="3" fillId="2" borderId="19" xfId="1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9" fontId="4" fillId="2" borderId="2" xfId="1" applyNumberFormat="1" applyFont="1" applyFill="1" applyBorder="1" applyAlignment="1">
      <alignment vertical="center"/>
    </xf>
    <xf numFmtId="0" fontId="3" fillId="3" borderId="2" xfId="1" applyNumberFormat="1" applyFont="1" applyFill="1" applyBorder="1" applyAlignment="1">
      <alignment vertical="center"/>
    </xf>
    <xf numFmtId="43" fontId="4" fillId="3" borderId="2" xfId="1" applyNumberFormat="1" applyFont="1" applyFill="1" applyBorder="1" applyAlignment="1">
      <alignment vertical="center"/>
    </xf>
    <xf numFmtId="9" fontId="4" fillId="3" borderId="2" xfId="1" applyNumberFormat="1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/>
    </xf>
    <xf numFmtId="0" fontId="8" fillId="0" borderId="15" xfId="0" applyFont="1" applyBorder="1"/>
    <xf numFmtId="43" fontId="3" fillId="2" borderId="2" xfId="1" applyNumberFormat="1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43" fontId="4" fillId="3" borderId="22" xfId="1" applyNumberFormat="1" applyFont="1" applyFill="1" applyBorder="1" applyAlignment="1">
      <alignment vertical="center"/>
    </xf>
    <xf numFmtId="43" fontId="4" fillId="3" borderId="0" xfId="1" applyNumberFormat="1" applyFont="1" applyFill="1" applyBorder="1" applyAlignment="1">
      <alignment vertical="center"/>
    </xf>
    <xf numFmtId="43" fontId="4" fillId="3" borderId="6" xfId="0" applyNumberFormat="1" applyFont="1" applyFill="1" applyBorder="1" applyAlignment="1">
      <alignment vertical="center"/>
    </xf>
    <xf numFmtId="43" fontId="16" fillId="2" borderId="2" xfId="1" applyNumberFormat="1" applyFont="1" applyFill="1" applyBorder="1" applyAlignment="1">
      <alignment vertical="center"/>
    </xf>
    <xf numFmtId="43" fontId="16" fillId="5" borderId="2" xfId="1" applyNumberFormat="1" applyFont="1" applyFill="1" applyBorder="1" applyAlignment="1">
      <alignment vertical="center"/>
    </xf>
    <xf numFmtId="43" fontId="4" fillId="5" borderId="2" xfId="1" applyNumberFormat="1" applyFont="1" applyFill="1" applyBorder="1" applyAlignment="1">
      <alignment vertical="center"/>
    </xf>
    <xf numFmtId="43" fontId="4" fillId="5" borderId="2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43" fontId="4" fillId="5" borderId="5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5" fillId="0" borderId="8" xfId="0" applyFont="1" applyBorder="1"/>
    <xf numFmtId="0" fontId="15" fillId="0" borderId="18" xfId="0" applyFont="1" applyBorder="1" applyAlignment="1">
      <alignment horizontal="center"/>
    </xf>
    <xf numFmtId="0" fontId="15" fillId="0" borderId="23" xfId="0" applyFont="1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25" xfId="0" applyBorder="1"/>
    <xf numFmtId="0" fontId="15" fillId="0" borderId="0" xfId="0" applyFont="1"/>
    <xf numFmtId="43" fontId="11" fillId="3" borderId="2" xfId="0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0" applyNumberFormat="1" applyFont="1" applyFill="1" applyBorder="1" applyAlignment="1">
      <alignment vertical="center"/>
    </xf>
    <xf numFmtId="43" fontId="3" fillId="2" borderId="25" xfId="0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2" borderId="0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/>
    </xf>
    <xf numFmtId="0" fontId="4" fillId="3" borderId="2" xfId="1" applyNumberFormat="1" applyFont="1" applyFill="1" applyBorder="1" applyAlignment="1">
      <alignment horizontal="center" vertical="center"/>
    </xf>
    <xf numFmtId="0" fontId="4" fillId="2" borderId="3" xfId="1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3" fillId="6" borderId="2" xfId="1" applyNumberFormat="1" applyFont="1" applyFill="1" applyBorder="1" applyAlignment="1">
      <alignment vertical="center"/>
    </xf>
    <xf numFmtId="0" fontId="10" fillId="2" borderId="2" xfId="1" applyNumberFormat="1" applyFont="1" applyFill="1" applyBorder="1" applyAlignment="1">
      <alignment vertical="center"/>
    </xf>
    <xf numFmtId="43" fontId="11" fillId="7" borderId="2" xfId="1" applyNumberFormat="1" applyFont="1" applyFill="1" applyBorder="1" applyAlignment="1">
      <alignment vertical="center"/>
    </xf>
    <xf numFmtId="43" fontId="11" fillId="7" borderId="2" xfId="0" applyNumberFormat="1" applyFont="1" applyFill="1" applyBorder="1" applyAlignment="1">
      <alignment vertical="center"/>
    </xf>
    <xf numFmtId="165" fontId="3" fillId="2" borderId="34" xfId="0" applyNumberFormat="1" applyFont="1" applyFill="1" applyBorder="1" applyAlignment="1">
      <alignment horizontal="center" vertical="center"/>
    </xf>
    <xf numFmtId="165" fontId="3" fillId="2" borderId="37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43" fontId="11" fillId="0" borderId="2" xfId="1" applyNumberFormat="1" applyFont="1" applyFill="1" applyBorder="1" applyAlignment="1">
      <alignment vertical="center"/>
    </xf>
    <xf numFmtId="43" fontId="4" fillId="0" borderId="2" xfId="1" applyNumberFormat="1" applyFont="1" applyFill="1" applyBorder="1" applyAlignment="1">
      <alignment vertical="center"/>
    </xf>
    <xf numFmtId="43" fontId="10" fillId="2" borderId="2" xfId="1" applyNumberFormat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43" fontId="10" fillId="2" borderId="2" xfId="1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15" fillId="0" borderId="34" xfId="0" applyFont="1" applyBorder="1" applyAlignment="1">
      <alignment horizontal="center"/>
    </xf>
    <xf numFmtId="43" fontId="0" fillId="0" borderId="0" xfId="0" applyNumberFormat="1"/>
    <xf numFmtId="43" fontId="4" fillId="8" borderId="2" xfId="1" applyNumberFormat="1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43" fontId="16" fillId="0" borderId="2" xfId="1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164" fontId="20" fillId="2" borderId="4" xfId="1" applyFont="1" applyFill="1" applyBorder="1" applyAlignment="1">
      <alignment horizontal="center" vertical="center"/>
    </xf>
    <xf numFmtId="164" fontId="15" fillId="2" borderId="4" xfId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vertical="center"/>
    </xf>
    <xf numFmtId="166" fontId="5" fillId="2" borderId="0" xfId="1" applyNumberFormat="1" applyFont="1" applyFill="1" applyBorder="1" applyAlignment="1">
      <alignment vertical="center"/>
    </xf>
    <xf numFmtId="166" fontId="4" fillId="2" borderId="1" xfId="0" applyNumberFormat="1" applyFont="1" applyFill="1" applyBorder="1" applyAlignment="1">
      <alignment vertical="center"/>
    </xf>
    <xf numFmtId="166" fontId="15" fillId="2" borderId="4" xfId="0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vertical="center"/>
    </xf>
    <xf numFmtId="166" fontId="4" fillId="3" borderId="2" xfId="1" applyNumberFormat="1" applyFont="1" applyFill="1" applyBorder="1" applyAlignment="1">
      <alignment vertical="center"/>
    </xf>
    <xf numFmtId="166" fontId="4" fillId="2" borderId="2" xfId="0" applyNumberFormat="1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vertical="center"/>
    </xf>
    <xf numFmtId="166" fontId="4" fillId="0" borderId="2" xfId="0" applyNumberFormat="1" applyFont="1" applyBorder="1" applyAlignment="1">
      <alignment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horizontal="center" vertical="center"/>
    </xf>
    <xf numFmtId="43" fontId="3" fillId="2" borderId="33" xfId="1" applyNumberFormat="1" applyFont="1" applyFill="1" applyBorder="1" applyAlignment="1">
      <alignment horizontal="center" vertical="center"/>
    </xf>
    <xf numFmtId="43" fontId="18" fillId="2" borderId="31" xfId="1" applyNumberFormat="1" applyFont="1" applyFill="1" applyBorder="1" applyAlignment="1">
      <alignment horizontal="center" vertical="center"/>
    </xf>
    <xf numFmtId="43" fontId="18" fillId="2" borderId="32" xfId="1" applyNumberFormat="1" applyFont="1" applyFill="1" applyBorder="1" applyAlignment="1">
      <alignment horizontal="center" vertical="center"/>
    </xf>
    <xf numFmtId="43" fontId="18" fillId="2" borderId="33" xfId="1" applyNumberFormat="1" applyFont="1" applyFill="1" applyBorder="1" applyAlignment="1">
      <alignment horizontal="center" vertical="center"/>
    </xf>
    <xf numFmtId="14" fontId="18" fillId="2" borderId="31" xfId="1" applyNumberFormat="1" applyFont="1" applyFill="1" applyBorder="1" applyAlignment="1">
      <alignment horizontal="center" vertical="center"/>
    </xf>
    <xf numFmtId="43" fontId="3" fillId="2" borderId="35" xfId="1" applyNumberFormat="1" applyFont="1" applyFill="1" applyBorder="1" applyAlignment="1">
      <alignment horizontal="center" vertical="center"/>
    </xf>
    <xf numFmtId="43" fontId="3" fillId="2" borderId="36" xfId="1" applyNumberFormat="1" applyFont="1" applyFill="1" applyBorder="1" applyAlignment="1">
      <alignment horizontal="center" vertical="center"/>
    </xf>
    <xf numFmtId="43" fontId="3" fillId="2" borderId="17" xfId="1" applyNumberFormat="1" applyFont="1" applyFill="1" applyBorder="1" applyAlignment="1">
      <alignment horizontal="center" vertical="center"/>
    </xf>
    <xf numFmtId="43" fontId="3" fillId="2" borderId="20" xfId="1" applyNumberFormat="1" applyFont="1" applyFill="1" applyBorder="1" applyAlignment="1">
      <alignment horizontal="center" vertical="center"/>
    </xf>
    <xf numFmtId="43" fontId="18" fillId="2" borderId="17" xfId="1" applyNumberFormat="1" applyFont="1" applyFill="1" applyBorder="1" applyAlignment="1">
      <alignment horizontal="center" vertical="center"/>
    </xf>
    <xf numFmtId="43" fontId="18" fillId="2" borderId="14" xfId="1" applyNumberFormat="1" applyFont="1" applyFill="1" applyBorder="1" applyAlignment="1">
      <alignment horizontal="center" vertical="center"/>
    </xf>
    <xf numFmtId="43" fontId="18" fillId="2" borderId="27" xfId="1" applyNumberFormat="1" applyFont="1" applyFill="1" applyBorder="1" applyAlignment="1">
      <alignment horizontal="center" vertical="center"/>
    </xf>
    <xf numFmtId="43" fontId="18" fillId="2" borderId="28" xfId="1" applyNumberFormat="1" applyFont="1" applyFill="1" applyBorder="1" applyAlignment="1">
      <alignment horizontal="center" vertical="center"/>
    </xf>
    <xf numFmtId="43" fontId="18" fillId="2" borderId="15" xfId="1" applyNumberFormat="1" applyFont="1" applyFill="1" applyBorder="1" applyAlignment="1">
      <alignment horizontal="center" vertical="center"/>
    </xf>
    <xf numFmtId="43" fontId="18" fillId="2" borderId="26" xfId="1" applyNumberFormat="1" applyFont="1" applyFill="1" applyBorder="1" applyAlignment="1">
      <alignment horizontal="center" vertical="center"/>
    </xf>
    <xf numFmtId="43" fontId="18" fillId="2" borderId="29" xfId="1" applyNumberFormat="1" applyFont="1" applyFill="1" applyBorder="1" applyAlignment="1">
      <alignment horizontal="center" vertical="center"/>
    </xf>
    <xf numFmtId="43" fontId="18" fillId="2" borderId="16" xfId="1" applyNumberFormat="1" applyFont="1" applyFill="1" applyBorder="1" applyAlignment="1">
      <alignment horizontal="center" vertical="center"/>
    </xf>
    <xf numFmtId="43" fontId="18" fillId="2" borderId="3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329"/>
  <sheetViews>
    <sheetView tabSelected="1" topLeftCell="A364" zoomScale="85" zoomScaleNormal="85" workbookViewId="0">
      <selection activeCell="E31" sqref="E31"/>
    </sheetView>
  </sheetViews>
  <sheetFormatPr defaultColWidth="9" defaultRowHeight="15.75" x14ac:dyDescent="0.25"/>
  <cols>
    <col min="1" max="1" width="11.7109375" style="2" bestFit="1" customWidth="1"/>
    <col min="2" max="2" width="41" style="1" customWidth="1"/>
    <col min="3" max="3" width="20" style="149" bestFit="1" customWidth="1"/>
    <col min="4" max="4" width="11.85546875" style="112" customWidth="1"/>
    <col min="5" max="5" width="17.42578125" style="1" customWidth="1"/>
    <col min="6" max="6" width="15" style="1" bestFit="1" customWidth="1"/>
    <col min="7" max="7" width="16.5703125" style="1" bestFit="1" customWidth="1"/>
    <col min="8" max="8" width="13.7109375" style="7" bestFit="1" customWidth="1"/>
    <col min="9" max="9" width="15.28515625" style="7" bestFit="1" customWidth="1"/>
    <col min="10" max="10" width="13.7109375" style="1" bestFit="1" customWidth="1"/>
    <col min="11" max="11" width="15" style="1" bestFit="1" customWidth="1"/>
    <col min="12" max="12" width="17.140625" style="1" customWidth="1"/>
    <col min="13" max="13" width="15.28515625" style="1" bestFit="1" customWidth="1"/>
    <col min="14" max="14" width="15" style="1" bestFit="1" customWidth="1"/>
    <col min="15" max="15" width="17.42578125" style="1" bestFit="1" customWidth="1"/>
    <col min="16" max="16" width="16.7109375" style="1" bestFit="1" customWidth="1"/>
    <col min="17" max="17" width="15.5703125" style="1" customWidth="1"/>
    <col min="18" max="18" width="16.7109375" style="1" bestFit="1" customWidth="1"/>
    <col min="19" max="19" width="16.42578125" style="1" bestFit="1" customWidth="1"/>
    <col min="20" max="20" width="16.7109375" style="1" bestFit="1" customWidth="1"/>
    <col min="21" max="21" width="96.42578125" style="1" customWidth="1"/>
    <col min="22" max="22" width="16.7109375" style="1" customWidth="1"/>
    <col min="23" max="23" width="28.7109375" style="1" bestFit="1" customWidth="1"/>
    <col min="24" max="24" width="2.28515625" style="1" bestFit="1" customWidth="1"/>
    <col min="25" max="16384" width="9" style="1"/>
  </cols>
  <sheetData>
    <row r="1" spans="1:22" ht="26.25" x14ac:dyDescent="0.25">
      <c r="A1" s="103" t="s">
        <v>422</v>
      </c>
      <c r="B1" s="64" t="s">
        <v>31</v>
      </c>
      <c r="E1" s="3"/>
      <c r="F1" s="3"/>
      <c r="G1" s="3"/>
      <c r="H1" s="4"/>
      <c r="I1" s="4"/>
    </row>
    <row r="2" spans="1:22" ht="26.25" x14ac:dyDescent="0.25">
      <c r="A2" s="103" t="s">
        <v>423</v>
      </c>
      <c r="B2" t="s">
        <v>426</v>
      </c>
      <c r="C2" s="150"/>
      <c r="D2" s="113"/>
      <c r="G2" s="6"/>
      <c r="I2" s="63"/>
      <c r="J2" s="60"/>
    </row>
    <row r="3" spans="1:22" ht="27" thickBot="1" x14ac:dyDescent="0.3">
      <c r="A3" s="103" t="s">
        <v>424</v>
      </c>
      <c r="B3" t="s">
        <v>427</v>
      </c>
      <c r="C3" s="150"/>
      <c r="D3" s="113"/>
      <c r="G3" s="6"/>
      <c r="I3" s="63"/>
      <c r="J3" s="60"/>
    </row>
    <row r="4" spans="1:22" ht="16.5" thickBot="1" x14ac:dyDescent="0.3">
      <c r="A4" s="103" t="s">
        <v>425</v>
      </c>
      <c r="B4" t="s">
        <v>427</v>
      </c>
      <c r="C4" s="151"/>
      <c r="D4" s="114"/>
      <c r="E4" s="8"/>
      <c r="H4" s="4"/>
      <c r="I4" s="4"/>
      <c r="R4" s="9"/>
      <c r="S4" s="9"/>
      <c r="T4" s="9"/>
      <c r="U4" s="9"/>
      <c r="V4" s="9"/>
    </row>
    <row r="5" spans="1:22" ht="78.75" customHeight="1" x14ac:dyDescent="0.25">
      <c r="A5" s="144" t="s">
        <v>429</v>
      </c>
      <c r="B5" s="145" t="s">
        <v>430</v>
      </c>
      <c r="C5" s="152" t="s">
        <v>431</v>
      </c>
      <c r="D5" s="146" t="s">
        <v>432</v>
      </c>
      <c r="E5" s="145" t="s">
        <v>433</v>
      </c>
      <c r="F5" s="145" t="s">
        <v>434</v>
      </c>
      <c r="G5" s="146" t="s">
        <v>435</v>
      </c>
      <c r="H5" s="147" t="s">
        <v>436</v>
      </c>
      <c r="I5" s="148" t="s">
        <v>6</v>
      </c>
      <c r="J5" s="145" t="s">
        <v>437</v>
      </c>
      <c r="K5" s="145" t="s">
        <v>438</v>
      </c>
      <c r="L5" s="145" t="s">
        <v>439</v>
      </c>
      <c r="M5" s="145" t="s">
        <v>440</v>
      </c>
      <c r="N5" s="70" t="s">
        <v>441</v>
      </c>
      <c r="O5" s="70" t="s">
        <v>19</v>
      </c>
      <c r="P5" s="70" t="s">
        <v>442</v>
      </c>
      <c r="Q5" s="11" t="s">
        <v>9</v>
      </c>
      <c r="R5" s="145" t="s">
        <v>443</v>
      </c>
      <c r="S5" s="145" t="s">
        <v>444</v>
      </c>
      <c r="T5" s="145" t="s">
        <v>445</v>
      </c>
      <c r="U5" s="145" t="s">
        <v>11</v>
      </c>
      <c r="V5" s="11" t="s">
        <v>102</v>
      </c>
    </row>
    <row r="6" spans="1:22" x14ac:dyDescent="0.25">
      <c r="A6" s="34"/>
      <c r="B6" s="16"/>
      <c r="C6" s="153"/>
      <c r="D6" s="115"/>
      <c r="E6" s="16"/>
      <c r="F6" s="16"/>
      <c r="G6" s="16"/>
      <c r="H6" s="72">
        <v>0.18</v>
      </c>
      <c r="I6" s="16"/>
      <c r="J6" s="72">
        <v>0.02</v>
      </c>
      <c r="K6" s="72">
        <v>0.05</v>
      </c>
      <c r="L6" s="72">
        <v>0.1</v>
      </c>
      <c r="M6" s="72">
        <v>0.1</v>
      </c>
      <c r="N6" s="72">
        <v>0.18</v>
      </c>
      <c r="O6" s="72"/>
      <c r="P6" s="16"/>
      <c r="Q6" s="16"/>
      <c r="R6" s="16"/>
      <c r="S6" s="72">
        <v>0.02</v>
      </c>
      <c r="T6" s="16"/>
      <c r="U6" s="16"/>
      <c r="V6" s="16"/>
    </row>
    <row r="7" spans="1:22" x14ac:dyDescent="0.25">
      <c r="A7" s="73">
        <v>59061</v>
      </c>
      <c r="B7" s="74"/>
      <c r="C7" s="154"/>
      <c r="D7" s="116"/>
      <c r="E7" s="74"/>
      <c r="F7" s="74"/>
      <c r="G7" s="74"/>
      <c r="H7" s="75"/>
      <c r="I7" s="74"/>
      <c r="J7" s="75"/>
      <c r="K7" s="75"/>
      <c r="L7" s="75"/>
      <c r="M7" s="75"/>
      <c r="N7" s="75"/>
      <c r="O7" s="75"/>
      <c r="P7" s="74"/>
      <c r="Q7" s="74"/>
      <c r="R7" s="74"/>
      <c r="S7" s="75"/>
      <c r="T7" s="74"/>
      <c r="U7" s="74"/>
      <c r="V7" s="74"/>
    </row>
    <row r="8" spans="1:22" x14ac:dyDescent="0.25">
      <c r="A8" s="73">
        <v>59061</v>
      </c>
      <c r="B8" s="13" t="s">
        <v>469</v>
      </c>
      <c r="C8" s="155">
        <v>45210</v>
      </c>
      <c r="D8" s="15">
        <v>8</v>
      </c>
      <c r="E8" s="16">
        <v>525000</v>
      </c>
      <c r="F8" s="16">
        <v>95375</v>
      </c>
      <c r="G8" s="16">
        <f>E8-F8</f>
        <v>429625</v>
      </c>
      <c r="H8" s="16">
        <f>ROUND(G8*H6,0)</f>
        <v>77333</v>
      </c>
      <c r="I8" s="16">
        <f>ROUND(G8+H8,)</f>
        <v>506958</v>
      </c>
      <c r="J8" s="16">
        <f>G8*2%</f>
        <v>8592.5</v>
      </c>
      <c r="K8" s="16">
        <f>G8*$K$6</f>
        <v>21481.25</v>
      </c>
      <c r="L8" s="16">
        <v>0</v>
      </c>
      <c r="M8" s="16">
        <v>0</v>
      </c>
      <c r="N8" s="122">
        <f>H8</f>
        <v>77333</v>
      </c>
      <c r="O8" s="16">
        <v>0</v>
      </c>
      <c r="P8" s="61">
        <f>ROUND(I8-SUM(J8:O8),0)</f>
        <v>399551</v>
      </c>
      <c r="Q8" s="16" t="s">
        <v>24</v>
      </c>
      <c r="R8" s="16">
        <v>200000</v>
      </c>
      <c r="S8" s="16">
        <f>R8*$S$6</f>
        <v>4000</v>
      </c>
      <c r="T8" s="16">
        <f>R8-S8</f>
        <v>196000</v>
      </c>
      <c r="U8" s="18" t="s">
        <v>21</v>
      </c>
      <c r="V8" s="16">
        <f>SUM(P8:P22)-SUM(T8:T22)</f>
        <v>2117.0490000001155</v>
      </c>
    </row>
    <row r="9" spans="1:22" x14ac:dyDescent="0.25">
      <c r="A9" s="73">
        <v>59061</v>
      </c>
      <c r="B9" s="13" t="s">
        <v>469</v>
      </c>
      <c r="C9" s="155">
        <v>45227</v>
      </c>
      <c r="D9" s="15">
        <v>19</v>
      </c>
      <c r="E9" s="16">
        <v>525000</v>
      </c>
      <c r="F9" s="16">
        <v>57225</v>
      </c>
      <c r="G9" s="16">
        <f>E9-F9</f>
        <v>467775</v>
      </c>
      <c r="H9" s="16">
        <f>ROUND(G9*H6,0)</f>
        <v>84200</v>
      </c>
      <c r="I9" s="16">
        <f>ROUND(G9+H9,)</f>
        <v>551975</v>
      </c>
      <c r="J9" s="16">
        <f t="shared" ref="J9:J10" si="0">G9*2%</f>
        <v>9355.5</v>
      </c>
      <c r="K9" s="16">
        <f>G9*$K$6</f>
        <v>23388.75</v>
      </c>
      <c r="L9" s="12"/>
      <c r="M9" s="122">
        <f>G9*10%</f>
        <v>46777.5</v>
      </c>
      <c r="N9" s="122">
        <f>H9</f>
        <v>84200</v>
      </c>
      <c r="O9" s="16">
        <v>0</v>
      </c>
      <c r="P9" s="61">
        <f>ROUND(I9-SUM(J9:O9),0)</f>
        <v>388253</v>
      </c>
      <c r="Q9" s="16" t="s">
        <v>25</v>
      </c>
      <c r="R9" s="16">
        <v>200000</v>
      </c>
      <c r="S9" s="16">
        <f t="shared" ref="S9:S11" si="1">R9*$S$6</f>
        <v>4000</v>
      </c>
      <c r="T9" s="16">
        <f t="shared" ref="T9:T11" si="2">R9-S9</f>
        <v>196000</v>
      </c>
      <c r="U9" s="19" t="s">
        <v>401</v>
      </c>
      <c r="V9" s="16"/>
    </row>
    <row r="10" spans="1:22" x14ac:dyDescent="0.25">
      <c r="A10" s="73">
        <v>59061</v>
      </c>
      <c r="B10" s="13" t="s">
        <v>469</v>
      </c>
      <c r="C10" s="155">
        <v>45237</v>
      </c>
      <c r="D10" s="15">
        <v>26</v>
      </c>
      <c r="E10" s="16">
        <v>350000</v>
      </c>
      <c r="F10" s="16">
        <v>38150</v>
      </c>
      <c r="G10" s="16">
        <f>E10-F10</f>
        <v>311850</v>
      </c>
      <c r="H10" s="16">
        <f>ROUND(G10*H6,0)</f>
        <v>56133</v>
      </c>
      <c r="I10" s="16">
        <f>ROUND(G10+H10,)</f>
        <v>367983</v>
      </c>
      <c r="J10" s="16">
        <f t="shared" si="0"/>
        <v>6237</v>
      </c>
      <c r="K10" s="16">
        <f>G10*$K$6</f>
        <v>15592.5</v>
      </c>
      <c r="L10" s="12"/>
      <c r="M10" s="122">
        <f>G10*10%</f>
        <v>31185</v>
      </c>
      <c r="N10" s="122">
        <f>H10</f>
        <v>56133</v>
      </c>
      <c r="O10" s="16">
        <v>0</v>
      </c>
      <c r="P10" s="61">
        <f>ROUND(I10-SUM(J10:O10),0)</f>
        <v>258836</v>
      </c>
      <c r="Q10" s="16" t="s">
        <v>26</v>
      </c>
      <c r="R10" s="16">
        <v>200000</v>
      </c>
      <c r="S10" s="16">
        <f t="shared" si="1"/>
        <v>4000</v>
      </c>
      <c r="T10" s="16">
        <f t="shared" si="2"/>
        <v>196000</v>
      </c>
      <c r="U10" s="19" t="s">
        <v>23</v>
      </c>
      <c r="V10" s="16"/>
    </row>
    <row r="11" spans="1:22" x14ac:dyDescent="0.25">
      <c r="A11" s="73">
        <v>59061</v>
      </c>
      <c r="B11" s="13" t="s">
        <v>42</v>
      </c>
      <c r="C11" s="155">
        <v>45250</v>
      </c>
      <c r="D11" s="20">
        <v>8</v>
      </c>
      <c r="E11" s="16">
        <f>N8</f>
        <v>77333</v>
      </c>
      <c r="F11" s="12"/>
      <c r="G11" s="16"/>
      <c r="H11" s="16"/>
      <c r="I11" s="16"/>
      <c r="J11" s="16"/>
      <c r="K11" s="16"/>
      <c r="L11" s="16"/>
      <c r="M11" s="16"/>
      <c r="N11" s="16"/>
      <c r="O11" s="16"/>
      <c r="P11" s="122">
        <f>E11</f>
        <v>77333</v>
      </c>
      <c r="Q11" s="16" t="s">
        <v>35</v>
      </c>
      <c r="R11" s="16">
        <v>250000</v>
      </c>
      <c r="S11" s="16">
        <f t="shared" si="1"/>
        <v>5000</v>
      </c>
      <c r="T11" s="16">
        <f t="shared" si="2"/>
        <v>245000</v>
      </c>
      <c r="U11" s="19" t="s">
        <v>34</v>
      </c>
      <c r="V11" s="16"/>
    </row>
    <row r="12" spans="1:22" x14ac:dyDescent="0.25">
      <c r="A12" s="73">
        <v>59061</v>
      </c>
      <c r="B12" s="13" t="s">
        <v>42</v>
      </c>
      <c r="C12" s="155">
        <v>45227</v>
      </c>
      <c r="D12" s="20">
        <v>19</v>
      </c>
      <c r="E12" s="16">
        <f>N9</f>
        <v>84200</v>
      </c>
      <c r="F12" s="12"/>
      <c r="G12" s="16"/>
      <c r="H12" s="16"/>
      <c r="I12" s="16"/>
      <c r="J12" s="16"/>
      <c r="K12" s="16"/>
      <c r="L12" s="16"/>
      <c r="M12" s="16"/>
      <c r="N12" s="16"/>
      <c r="O12" s="16"/>
      <c r="P12" s="122">
        <f>E12</f>
        <v>84200</v>
      </c>
      <c r="Q12" s="16" t="s">
        <v>48</v>
      </c>
      <c r="R12" s="16">
        <v>100000</v>
      </c>
      <c r="S12" s="16">
        <f t="shared" ref="S12:S15" si="3">R12*$S$6</f>
        <v>2000</v>
      </c>
      <c r="T12" s="16">
        <f t="shared" ref="T12:T18" si="4">R12-S12</f>
        <v>98000</v>
      </c>
      <c r="U12" s="19" t="s">
        <v>39</v>
      </c>
      <c r="V12" s="16"/>
    </row>
    <row r="13" spans="1:22" x14ac:dyDescent="0.25">
      <c r="A13" s="73">
        <v>59061</v>
      </c>
      <c r="B13" s="13" t="s">
        <v>469</v>
      </c>
      <c r="C13" s="155">
        <v>45324</v>
      </c>
      <c r="D13" s="20">
        <v>49</v>
      </c>
      <c r="E13" s="16">
        <v>525000</v>
      </c>
      <c r="F13" s="12"/>
      <c r="G13" s="16">
        <f t="shared" ref="G13" si="5">E13-F13</f>
        <v>525000</v>
      </c>
      <c r="H13" s="16">
        <f>G13*18%</f>
        <v>94500</v>
      </c>
      <c r="I13" s="16">
        <f t="shared" ref="I13" si="6">ROUND(G13+H13,)</f>
        <v>619500</v>
      </c>
      <c r="J13" s="16">
        <f>G13*2%</f>
        <v>10500</v>
      </c>
      <c r="K13" s="16">
        <f t="shared" ref="K13" si="7">G13*$K$6</f>
        <v>26250</v>
      </c>
      <c r="L13" s="16"/>
      <c r="M13" s="16">
        <v>0</v>
      </c>
      <c r="N13" s="122">
        <f t="shared" ref="N13" si="8">H13</f>
        <v>94500</v>
      </c>
      <c r="O13" s="16">
        <v>0</v>
      </c>
      <c r="P13" s="61">
        <f t="shared" ref="P13" si="9">ROUND(I13-SUM(J13:O13),0)</f>
        <v>488250</v>
      </c>
      <c r="Q13" s="16" t="s">
        <v>49</v>
      </c>
      <c r="R13" s="16">
        <v>200000</v>
      </c>
      <c r="S13" s="16">
        <f t="shared" si="3"/>
        <v>4000</v>
      </c>
      <c r="T13" s="16">
        <f t="shared" si="4"/>
        <v>196000</v>
      </c>
      <c r="U13" s="19" t="s">
        <v>40</v>
      </c>
      <c r="V13" s="16"/>
    </row>
    <row r="14" spans="1:22" x14ac:dyDescent="0.25">
      <c r="A14" s="73">
        <v>59061</v>
      </c>
      <c r="B14" s="13" t="s">
        <v>469</v>
      </c>
      <c r="C14" s="155">
        <v>45334</v>
      </c>
      <c r="D14" s="20">
        <v>57</v>
      </c>
      <c r="E14" s="12">
        <v>525000</v>
      </c>
      <c r="F14" s="12"/>
      <c r="G14" s="16">
        <f t="shared" ref="G14" si="10">E14-F14</f>
        <v>525000</v>
      </c>
      <c r="H14" s="16">
        <f>G14*18%</f>
        <v>94500</v>
      </c>
      <c r="I14" s="16">
        <f t="shared" ref="I14" si="11">ROUND(G14+H14,)</f>
        <v>619500</v>
      </c>
      <c r="J14" s="16">
        <f>G14*2%</f>
        <v>10500</v>
      </c>
      <c r="K14" s="16">
        <f t="shared" ref="K14" si="12">G14*$K$6</f>
        <v>26250</v>
      </c>
      <c r="L14" s="16"/>
      <c r="M14" s="16">
        <v>0</v>
      </c>
      <c r="N14" s="122">
        <f t="shared" ref="N14" si="13">H14</f>
        <v>94500</v>
      </c>
      <c r="O14" s="16">
        <v>0</v>
      </c>
      <c r="P14" s="61">
        <f t="shared" ref="P14" si="14">ROUND(I14-SUM(J14:O14),0)</f>
        <v>488250</v>
      </c>
      <c r="Q14" s="16" t="s">
        <v>50</v>
      </c>
      <c r="R14" s="16">
        <v>200000</v>
      </c>
      <c r="S14" s="16">
        <f t="shared" si="3"/>
        <v>4000</v>
      </c>
      <c r="T14" s="16">
        <f t="shared" si="4"/>
        <v>196000</v>
      </c>
      <c r="U14" s="19" t="s">
        <v>41</v>
      </c>
      <c r="V14" s="16"/>
    </row>
    <row r="15" spans="1:22" x14ac:dyDescent="0.25">
      <c r="A15" s="73">
        <v>59061</v>
      </c>
      <c r="B15" s="12" t="s">
        <v>42</v>
      </c>
      <c r="C15" s="155">
        <v>45348</v>
      </c>
      <c r="D15" s="20">
        <v>26</v>
      </c>
      <c r="E15" s="28">
        <f>H10</f>
        <v>56133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22">
        <f>E15</f>
        <v>56133</v>
      </c>
      <c r="Q15" s="16" t="s">
        <v>51</v>
      </c>
      <c r="R15" s="16">
        <v>400000</v>
      </c>
      <c r="S15" s="16">
        <f t="shared" si="3"/>
        <v>8000</v>
      </c>
      <c r="T15" s="16">
        <f t="shared" si="4"/>
        <v>392000</v>
      </c>
      <c r="U15" s="19" t="s">
        <v>47</v>
      </c>
      <c r="V15" s="16"/>
    </row>
    <row r="16" spans="1:22" x14ac:dyDescent="0.25">
      <c r="A16" s="73">
        <v>59061</v>
      </c>
      <c r="B16" s="12" t="s">
        <v>42</v>
      </c>
      <c r="C16" s="156"/>
      <c r="D16" s="20">
        <v>49</v>
      </c>
      <c r="E16" s="28">
        <f>N13</f>
        <v>94500</v>
      </c>
      <c r="F16" s="12"/>
      <c r="G16" s="16"/>
      <c r="H16" s="16"/>
      <c r="I16" s="16"/>
      <c r="J16" s="16"/>
      <c r="K16" s="16"/>
      <c r="L16" s="16"/>
      <c r="M16" s="16"/>
      <c r="N16" s="16"/>
      <c r="O16" s="16"/>
      <c r="P16" s="122">
        <f>E16</f>
        <v>94500</v>
      </c>
      <c r="Q16" s="16" t="s">
        <v>71</v>
      </c>
      <c r="R16" s="16">
        <v>77333</v>
      </c>
      <c r="S16" s="16">
        <v>0</v>
      </c>
      <c r="T16" s="16">
        <f t="shared" si="4"/>
        <v>77333</v>
      </c>
      <c r="U16" s="19" t="s">
        <v>69</v>
      </c>
      <c r="V16" s="16"/>
    </row>
    <row r="17" spans="1:22" x14ac:dyDescent="0.25">
      <c r="A17" s="73">
        <v>59061</v>
      </c>
      <c r="B17" s="12" t="s">
        <v>231</v>
      </c>
      <c r="C17" s="156"/>
      <c r="D17" s="20">
        <v>26</v>
      </c>
      <c r="E17" s="28">
        <f>M9+M10</f>
        <v>77962.5</v>
      </c>
      <c r="F17" s="12"/>
      <c r="G17" s="16"/>
      <c r="H17" s="16"/>
      <c r="I17" s="16"/>
      <c r="J17" s="16"/>
      <c r="K17" s="16"/>
      <c r="L17" s="16"/>
      <c r="M17" s="16"/>
      <c r="N17" s="16"/>
      <c r="O17" s="16"/>
      <c r="P17" s="122">
        <f>E17</f>
        <v>77962.5</v>
      </c>
      <c r="Q17" s="16" t="s">
        <v>72</v>
      </c>
      <c r="R17" s="16">
        <v>300000</v>
      </c>
      <c r="S17" s="16">
        <f t="shared" ref="S17:S19" si="15">R17*$S$6</f>
        <v>6000</v>
      </c>
      <c r="T17" s="16">
        <f t="shared" si="4"/>
        <v>294000</v>
      </c>
      <c r="U17" s="19" t="s">
        <v>70</v>
      </c>
      <c r="V17" s="16"/>
    </row>
    <row r="18" spans="1:22" x14ac:dyDescent="0.25">
      <c r="A18" s="73">
        <v>59061</v>
      </c>
      <c r="B18" s="13" t="s">
        <v>469</v>
      </c>
      <c r="C18" s="156">
        <v>45362</v>
      </c>
      <c r="D18" s="20">
        <v>74</v>
      </c>
      <c r="E18" s="12">
        <f>A8*5%</f>
        <v>2953.05</v>
      </c>
      <c r="F18" s="12"/>
      <c r="G18" s="16">
        <f t="shared" ref="G18" si="16">E18-F18</f>
        <v>2953.05</v>
      </c>
      <c r="H18" s="16">
        <f>G18*18%</f>
        <v>531.54899999999998</v>
      </c>
      <c r="I18" s="16">
        <f t="shared" ref="I18" si="17">ROUND(G18+H18,)</f>
        <v>3485</v>
      </c>
      <c r="J18" s="16">
        <f>G18*$J$6</f>
        <v>59.061000000000007</v>
      </c>
      <c r="K18" s="16">
        <f t="shared" ref="K18" si="18">G18*$K$6</f>
        <v>147.6525</v>
      </c>
      <c r="L18" s="16"/>
      <c r="M18" s="16">
        <v>0</v>
      </c>
      <c r="N18" s="122">
        <f t="shared" ref="N18" si="19">H18</f>
        <v>531.54899999999998</v>
      </c>
      <c r="O18" s="16">
        <v>0</v>
      </c>
      <c r="P18" s="85">
        <f t="shared" ref="P18" si="20">ROUND(I18-SUM(J18:O18),0)</f>
        <v>2747</v>
      </c>
      <c r="Q18" s="16" t="s">
        <v>147</v>
      </c>
      <c r="R18" s="16">
        <v>500000</v>
      </c>
      <c r="S18" s="16">
        <f t="shared" si="15"/>
        <v>10000</v>
      </c>
      <c r="T18" s="16">
        <f t="shared" si="4"/>
        <v>490000</v>
      </c>
      <c r="U18" s="19" t="s">
        <v>140</v>
      </c>
      <c r="V18" s="16"/>
    </row>
    <row r="19" spans="1:22" x14ac:dyDescent="0.25">
      <c r="A19" s="73">
        <v>59061</v>
      </c>
      <c r="B19" s="12" t="s">
        <v>42</v>
      </c>
      <c r="C19" s="156"/>
      <c r="D19" s="20">
        <v>74</v>
      </c>
      <c r="E19" s="28">
        <f>N14+N18</f>
        <v>95031.548999999999</v>
      </c>
      <c r="F19" s="12"/>
      <c r="G19" s="12"/>
      <c r="H19" s="16"/>
      <c r="I19" s="16"/>
      <c r="J19" s="12"/>
      <c r="K19" s="12"/>
      <c r="L19" s="12"/>
      <c r="M19" s="12"/>
      <c r="N19" s="12"/>
      <c r="O19" s="12"/>
      <c r="P19" s="123">
        <f>E19</f>
        <v>95031.548999999999</v>
      </c>
      <c r="Q19" s="16"/>
      <c r="R19" s="16">
        <v>200000</v>
      </c>
      <c r="S19" s="16">
        <f t="shared" si="15"/>
        <v>4000</v>
      </c>
      <c r="T19" s="16">
        <v>196000</v>
      </c>
      <c r="U19" s="19" t="s">
        <v>291</v>
      </c>
      <c r="V19" s="16"/>
    </row>
    <row r="20" spans="1:22" x14ac:dyDescent="0.25">
      <c r="A20" s="73">
        <v>59061</v>
      </c>
      <c r="B20" s="13" t="s">
        <v>469</v>
      </c>
      <c r="C20" s="156">
        <v>45362</v>
      </c>
      <c r="D20" s="20">
        <v>16</v>
      </c>
      <c r="E20" s="12">
        <v>455000</v>
      </c>
      <c r="F20" s="12">
        <v>217700</v>
      </c>
      <c r="G20" s="16">
        <f t="shared" ref="G20" si="21">E20-F20</f>
        <v>237300</v>
      </c>
      <c r="H20" s="16">
        <f>G20*18%</f>
        <v>42714</v>
      </c>
      <c r="I20" s="16">
        <f t="shared" ref="I20" si="22">ROUND(G20+H20,)</f>
        <v>280014</v>
      </c>
      <c r="J20" s="16">
        <f>G20*$J$6</f>
        <v>4746</v>
      </c>
      <c r="K20" s="16">
        <f t="shared" ref="K20" si="23">G20*$K$6</f>
        <v>11865</v>
      </c>
      <c r="L20" s="16"/>
      <c r="M20" s="16">
        <v>0</v>
      </c>
      <c r="N20" s="122">
        <f t="shared" ref="N20" si="24">H20</f>
        <v>42714</v>
      </c>
      <c r="O20" s="16">
        <v>0</v>
      </c>
      <c r="P20" s="85">
        <f t="shared" ref="P20" si="25">ROUND(I20-SUM(J20:O20),0)</f>
        <v>220689</v>
      </c>
      <c r="Q20" s="16"/>
      <c r="R20" s="16"/>
      <c r="S20" s="16"/>
      <c r="T20" s="16"/>
      <c r="U20" s="19"/>
      <c r="V20" s="16"/>
    </row>
    <row r="21" spans="1:22" x14ac:dyDescent="0.25">
      <c r="A21" s="73">
        <v>59061</v>
      </c>
      <c r="B21" s="13" t="s">
        <v>42</v>
      </c>
      <c r="C21" s="156"/>
      <c r="D21" s="20">
        <v>16</v>
      </c>
      <c r="E21" s="28">
        <f>N20</f>
        <v>42714</v>
      </c>
      <c r="F21" s="12"/>
      <c r="G21" s="16"/>
      <c r="H21" s="16"/>
      <c r="I21" s="16"/>
      <c r="J21" s="16"/>
      <c r="K21" s="16"/>
      <c r="L21" s="16"/>
      <c r="M21" s="16"/>
      <c r="N21" s="16"/>
      <c r="O21" s="16"/>
      <c r="P21" s="123">
        <f>E21</f>
        <v>42714</v>
      </c>
      <c r="Q21" s="16"/>
      <c r="R21" s="16"/>
      <c r="S21" s="16"/>
      <c r="T21" s="16"/>
      <c r="U21" s="19"/>
      <c r="V21" s="16"/>
    </row>
    <row r="22" spans="1:22" x14ac:dyDescent="0.25">
      <c r="A22" s="73">
        <v>59061</v>
      </c>
      <c r="B22" s="13"/>
      <c r="C22" s="156"/>
      <c r="D22" s="20"/>
      <c r="E22" s="12"/>
      <c r="F22" s="12"/>
      <c r="G22" s="16"/>
      <c r="H22" s="16"/>
      <c r="I22" s="16"/>
      <c r="J22" s="16"/>
      <c r="K22" s="16"/>
      <c r="L22" s="16"/>
      <c r="M22" s="16"/>
      <c r="N22" s="16"/>
      <c r="O22" s="16"/>
      <c r="P22" s="85"/>
      <c r="Q22" s="16"/>
      <c r="R22" s="16"/>
      <c r="S22" s="16"/>
      <c r="T22" s="16"/>
      <c r="U22" s="19"/>
      <c r="V22" s="16"/>
    </row>
    <row r="23" spans="1:22" x14ac:dyDescent="0.25">
      <c r="A23" s="73">
        <v>59314</v>
      </c>
      <c r="B23" s="74"/>
      <c r="C23" s="154"/>
      <c r="D23" s="116"/>
      <c r="E23" s="74"/>
      <c r="F23" s="74"/>
      <c r="G23" s="74"/>
      <c r="H23" s="75"/>
      <c r="I23" s="74"/>
      <c r="J23" s="75"/>
      <c r="K23" s="75"/>
      <c r="L23" s="75"/>
      <c r="M23" s="75"/>
      <c r="N23" s="75"/>
      <c r="O23" s="75"/>
      <c r="P23" s="74"/>
      <c r="Q23" s="74"/>
      <c r="R23" s="74"/>
      <c r="S23" s="75"/>
      <c r="T23" s="74"/>
      <c r="U23" s="74"/>
      <c r="V23" s="74"/>
    </row>
    <row r="24" spans="1:22" ht="31.5" x14ac:dyDescent="0.25">
      <c r="A24" s="73">
        <v>59314</v>
      </c>
      <c r="B24" s="13" t="s">
        <v>428</v>
      </c>
      <c r="C24" s="155">
        <v>45210</v>
      </c>
      <c r="D24" s="20">
        <v>13</v>
      </c>
      <c r="E24" s="16">
        <v>142500</v>
      </c>
      <c r="F24" s="16">
        <v>0</v>
      </c>
      <c r="G24" s="16">
        <f>E24-F24</f>
        <v>142500</v>
      </c>
      <c r="H24" s="16">
        <f>ROUND(G24*18%,)</f>
        <v>25650</v>
      </c>
      <c r="I24" s="16">
        <f>ROUND(G24+H24,)</f>
        <v>168150</v>
      </c>
      <c r="J24" s="16">
        <f>ROUND(G24*$J$6,)</f>
        <v>2850</v>
      </c>
      <c r="K24" s="16">
        <f>ROUND(G24*5%,)</f>
        <v>7125</v>
      </c>
      <c r="L24" s="16">
        <v>0</v>
      </c>
      <c r="M24" s="16">
        <v>0</v>
      </c>
      <c r="N24" s="122">
        <f>H24</f>
        <v>25650</v>
      </c>
      <c r="O24" s="16">
        <v>0</v>
      </c>
      <c r="P24" s="61">
        <f>ROUND(I24-SUM(J24:O24),)</f>
        <v>132525</v>
      </c>
      <c r="Q24" s="16" t="s">
        <v>28</v>
      </c>
      <c r="R24" s="16">
        <v>300000</v>
      </c>
      <c r="S24" s="16">
        <f t="shared" ref="S24:S27" si="26">R24*$S$6</f>
        <v>6000</v>
      </c>
      <c r="T24" s="16">
        <f t="shared" ref="T24:T27" si="27">R24-S24</f>
        <v>294000</v>
      </c>
      <c r="U24" s="12" t="s">
        <v>402</v>
      </c>
      <c r="V24" s="16">
        <f>SUM(P24:P34)-SUM(T24:T34)</f>
        <v>-473340.5</v>
      </c>
    </row>
    <row r="25" spans="1:22" ht="31.5" x14ac:dyDescent="0.25">
      <c r="A25" s="73">
        <v>59314</v>
      </c>
      <c r="B25" s="13" t="s">
        <v>428</v>
      </c>
      <c r="C25" s="155">
        <v>45227</v>
      </c>
      <c r="D25" s="20">
        <v>20</v>
      </c>
      <c r="E25" s="16">
        <v>285000</v>
      </c>
      <c r="F25" s="16">
        <v>57225</v>
      </c>
      <c r="G25" s="16">
        <f>E25-F25</f>
        <v>227775</v>
      </c>
      <c r="H25" s="16">
        <f>G25*18%</f>
        <v>40999.5</v>
      </c>
      <c r="I25" s="16">
        <f>ROUND(G25+H25,)</f>
        <v>268775</v>
      </c>
      <c r="J25" s="16">
        <f>ROUND(G25*$J$6,)</f>
        <v>4556</v>
      </c>
      <c r="K25" s="16">
        <f>ROUND(G25*5%,)</f>
        <v>11389</v>
      </c>
      <c r="L25" s="12"/>
      <c r="M25" s="122">
        <f>G25*10%</f>
        <v>22777.5</v>
      </c>
      <c r="N25" s="122">
        <v>40100</v>
      </c>
      <c r="O25" s="16">
        <v>0</v>
      </c>
      <c r="P25" s="61">
        <f>ROUND(I25-SUM(J25:O25),)</f>
        <v>189953</v>
      </c>
      <c r="Q25" s="16" t="s">
        <v>52</v>
      </c>
      <c r="R25" s="16">
        <v>250000</v>
      </c>
      <c r="S25" s="16">
        <f t="shared" si="26"/>
        <v>5000</v>
      </c>
      <c r="T25" s="16">
        <f t="shared" si="27"/>
        <v>245000</v>
      </c>
      <c r="U25" s="12" t="s">
        <v>36</v>
      </c>
      <c r="V25" s="16"/>
    </row>
    <row r="26" spans="1:22" ht="31.5" x14ac:dyDescent="0.25">
      <c r="A26" s="73">
        <v>59314</v>
      </c>
      <c r="B26" s="13" t="s">
        <v>428</v>
      </c>
      <c r="C26" s="155">
        <v>45238</v>
      </c>
      <c r="D26" s="20">
        <v>27</v>
      </c>
      <c r="E26" s="16">
        <v>285000</v>
      </c>
      <c r="F26" s="16">
        <v>0</v>
      </c>
      <c r="G26" s="16">
        <f>E26-F26</f>
        <v>285000</v>
      </c>
      <c r="H26" s="16">
        <f>ROUND(G26*18%,)</f>
        <v>51300</v>
      </c>
      <c r="I26" s="16">
        <f>ROUND(G26+H26,)</f>
        <v>336300</v>
      </c>
      <c r="J26" s="16">
        <f t="shared" ref="J26:J27" si="28">ROUND(G26*$J$6,)</f>
        <v>5700</v>
      </c>
      <c r="K26" s="16">
        <f>ROUND(G26*5%,)</f>
        <v>14250</v>
      </c>
      <c r="L26" s="12"/>
      <c r="M26" s="122">
        <f>G26*10%</f>
        <v>28500</v>
      </c>
      <c r="N26" s="122">
        <f>H26</f>
        <v>51300</v>
      </c>
      <c r="O26" s="16">
        <v>0</v>
      </c>
      <c r="P26" s="61">
        <f>ROUND(I26-SUM(J26:O26),)</f>
        <v>236550</v>
      </c>
      <c r="Q26" s="16" t="s">
        <v>53</v>
      </c>
      <c r="R26" s="16">
        <v>100000</v>
      </c>
      <c r="S26" s="16">
        <f t="shared" si="26"/>
        <v>2000</v>
      </c>
      <c r="T26" s="16">
        <f t="shared" si="27"/>
        <v>98000</v>
      </c>
      <c r="U26" s="12" t="s">
        <v>43</v>
      </c>
      <c r="V26" s="16"/>
    </row>
    <row r="27" spans="1:22" ht="31.5" x14ac:dyDescent="0.25">
      <c r="A27" s="73">
        <v>59314</v>
      </c>
      <c r="B27" s="13" t="s">
        <v>428</v>
      </c>
      <c r="C27" s="155">
        <v>45293</v>
      </c>
      <c r="D27" s="20">
        <v>29</v>
      </c>
      <c r="E27" s="16">
        <v>427500</v>
      </c>
      <c r="F27" s="16">
        <v>0</v>
      </c>
      <c r="G27" s="16">
        <f>E27-F27</f>
        <v>427500</v>
      </c>
      <c r="H27" s="16">
        <f>ROUND(G27*18%,)</f>
        <v>76950</v>
      </c>
      <c r="I27" s="16">
        <f>ROUND(G27+H27,)</f>
        <v>504450</v>
      </c>
      <c r="J27" s="16">
        <f t="shared" si="28"/>
        <v>8550</v>
      </c>
      <c r="K27" s="16">
        <f>ROUND(G27*5%,)</f>
        <v>21375</v>
      </c>
      <c r="L27" s="77"/>
      <c r="M27" s="122">
        <f>G27*10%</f>
        <v>42750</v>
      </c>
      <c r="N27" s="122">
        <f>H27</f>
        <v>76950</v>
      </c>
      <c r="O27" s="16">
        <v>0</v>
      </c>
      <c r="P27" s="61">
        <f>ROUND(I27-SUM(J27:O27),)</f>
        <v>354825</v>
      </c>
      <c r="Q27" s="16" t="s">
        <v>54</v>
      </c>
      <c r="R27" s="16">
        <v>400000</v>
      </c>
      <c r="S27" s="16">
        <f t="shared" si="26"/>
        <v>8000</v>
      </c>
      <c r="T27" s="16">
        <f t="shared" si="27"/>
        <v>392000</v>
      </c>
      <c r="U27" s="12" t="s">
        <v>44</v>
      </c>
      <c r="V27" s="16"/>
    </row>
    <row r="28" spans="1:22" x14ac:dyDescent="0.25">
      <c r="A28" s="73">
        <v>59314</v>
      </c>
      <c r="B28" s="13" t="s">
        <v>42</v>
      </c>
      <c r="C28" s="155"/>
      <c r="D28" s="20">
        <v>13</v>
      </c>
      <c r="E28" s="16">
        <f>N24</f>
        <v>25650</v>
      </c>
      <c r="F28" s="12"/>
      <c r="G28" s="16"/>
      <c r="H28" s="16"/>
      <c r="I28" s="16"/>
      <c r="J28" s="16"/>
      <c r="K28" s="16"/>
      <c r="L28" s="16"/>
      <c r="M28" s="16"/>
      <c r="N28" s="16"/>
      <c r="O28" s="16"/>
      <c r="P28" s="122">
        <f t="shared" ref="P28:P31" si="29">E28</f>
        <v>25650</v>
      </c>
      <c r="Q28" s="16" t="s">
        <v>209</v>
      </c>
      <c r="R28" s="16">
        <v>100000</v>
      </c>
      <c r="S28" s="16">
        <f t="shared" ref="S28" si="30">R28*$S$6</f>
        <v>2000</v>
      </c>
      <c r="T28" s="16">
        <f t="shared" ref="T28" si="31">R28-S28</f>
        <v>98000</v>
      </c>
      <c r="U28" s="12" t="s">
        <v>208</v>
      </c>
      <c r="V28" s="16"/>
    </row>
    <row r="29" spans="1:22" x14ac:dyDescent="0.25">
      <c r="A29" s="73">
        <v>59314</v>
      </c>
      <c r="B29" s="13" t="s">
        <v>42</v>
      </c>
      <c r="C29" s="155"/>
      <c r="D29" s="20">
        <v>20</v>
      </c>
      <c r="E29" s="16">
        <f>N25</f>
        <v>40100</v>
      </c>
      <c r="F29" s="12"/>
      <c r="G29" s="16"/>
      <c r="H29" s="16"/>
      <c r="I29" s="16"/>
      <c r="J29" s="16"/>
      <c r="K29" s="16"/>
      <c r="L29" s="16"/>
      <c r="M29" s="16"/>
      <c r="N29" s="16"/>
      <c r="O29" s="16"/>
      <c r="P29" s="122">
        <f t="shared" si="29"/>
        <v>40100</v>
      </c>
      <c r="Q29" s="16" t="s">
        <v>371</v>
      </c>
      <c r="R29" s="16">
        <v>300000</v>
      </c>
      <c r="S29" s="16">
        <v>6000</v>
      </c>
      <c r="T29" s="16">
        <v>294000</v>
      </c>
      <c r="U29" s="12" t="s">
        <v>261</v>
      </c>
      <c r="V29" s="16"/>
    </row>
    <row r="30" spans="1:22" x14ac:dyDescent="0.25">
      <c r="A30" s="73">
        <v>59314</v>
      </c>
      <c r="B30" s="13" t="s">
        <v>42</v>
      </c>
      <c r="C30" s="157">
        <v>45293</v>
      </c>
      <c r="D30" s="20">
        <v>29</v>
      </c>
      <c r="E30" s="16">
        <f>N27</f>
        <v>76950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22">
        <f t="shared" si="29"/>
        <v>76950</v>
      </c>
      <c r="Q30" s="16" t="s">
        <v>372</v>
      </c>
      <c r="R30" s="16">
        <v>400000</v>
      </c>
      <c r="S30" s="16">
        <f t="shared" ref="S30" si="32">R30*$S$6</f>
        <v>8000</v>
      </c>
      <c r="T30" s="16">
        <f t="shared" ref="T30" si="33">R30-S30</f>
        <v>392000</v>
      </c>
      <c r="U30" s="12" t="s">
        <v>312</v>
      </c>
      <c r="V30" s="16"/>
    </row>
    <row r="31" spans="1:22" x14ac:dyDescent="0.25">
      <c r="A31" s="73">
        <v>59314</v>
      </c>
      <c r="B31" s="13" t="s">
        <v>42</v>
      </c>
      <c r="C31" s="155">
        <v>45348</v>
      </c>
      <c r="D31" s="20">
        <v>27</v>
      </c>
      <c r="E31" s="16">
        <f>N26</f>
        <v>51300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22">
        <f t="shared" si="29"/>
        <v>51300</v>
      </c>
      <c r="Q31" s="16"/>
      <c r="R31" s="16"/>
      <c r="S31" s="16"/>
      <c r="T31" s="16"/>
      <c r="U31" s="12"/>
      <c r="V31" s="16"/>
    </row>
    <row r="32" spans="1:22" x14ac:dyDescent="0.25">
      <c r="A32" s="73">
        <v>59314</v>
      </c>
      <c r="B32" s="13" t="s">
        <v>202</v>
      </c>
      <c r="C32" s="156"/>
      <c r="D32" s="115" t="s">
        <v>203</v>
      </c>
      <c r="E32" s="16">
        <f>M25+M26+M27</f>
        <v>94027.5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22">
        <f>E32</f>
        <v>94027.5</v>
      </c>
      <c r="Q32" s="16"/>
      <c r="R32" s="16"/>
      <c r="S32" s="16"/>
      <c r="T32" s="16"/>
      <c r="U32" s="12"/>
      <c r="V32" s="16"/>
    </row>
    <row r="33" spans="1:23" x14ac:dyDescent="0.25">
      <c r="A33" s="73">
        <v>59314</v>
      </c>
      <c r="B33" s="13" t="s">
        <v>391</v>
      </c>
      <c r="C33" s="156">
        <v>45352</v>
      </c>
      <c r="D33" s="20">
        <v>63</v>
      </c>
      <c r="E33" s="16">
        <v>124125.4</v>
      </c>
      <c r="F33" s="16">
        <v>0</v>
      </c>
      <c r="G33" s="16">
        <f>E33-F33</f>
        <v>124125.4</v>
      </c>
      <c r="H33" s="16">
        <f>ROUND(G33*18%,)</f>
        <v>22343</v>
      </c>
      <c r="I33" s="16">
        <f>ROUND(G33+H33,)</f>
        <v>146468</v>
      </c>
      <c r="J33" s="16">
        <f t="shared" ref="J33" si="34">ROUND(G33*$J$6,)</f>
        <v>2483</v>
      </c>
      <c r="K33" s="16">
        <f>ROUND(G33*5%,)</f>
        <v>6206</v>
      </c>
      <c r="L33" s="77"/>
      <c r="M33" s="122"/>
      <c r="N33" s="122">
        <f>H33</f>
        <v>22343</v>
      </c>
      <c r="O33" s="16">
        <v>0</v>
      </c>
      <c r="P33" s="61">
        <f t="shared" ref="P33" si="35">I33-SUM(J33:O33)</f>
        <v>115436</v>
      </c>
      <c r="Q33" s="16"/>
      <c r="R33" s="16"/>
      <c r="S33" s="16"/>
      <c r="T33" s="16"/>
      <c r="U33" s="12"/>
      <c r="V33" s="16"/>
    </row>
    <row r="34" spans="1:23" x14ac:dyDescent="0.25">
      <c r="A34" s="73">
        <v>59314</v>
      </c>
      <c r="B34" s="13" t="s">
        <v>42</v>
      </c>
      <c r="C34" s="156"/>
      <c r="D34" s="20">
        <v>64</v>
      </c>
      <c r="E34" s="16">
        <f>N33</f>
        <v>22343</v>
      </c>
      <c r="F34" s="16"/>
      <c r="G34" s="16"/>
      <c r="H34" s="16"/>
      <c r="I34" s="16"/>
      <c r="J34" s="16"/>
      <c r="K34" s="16"/>
      <c r="L34" s="77"/>
      <c r="M34" s="122"/>
      <c r="N34" s="122"/>
      <c r="O34" s="16"/>
      <c r="P34" s="61">
        <f>E34</f>
        <v>22343</v>
      </c>
      <c r="Q34" s="16"/>
      <c r="R34" s="16"/>
      <c r="S34" s="16"/>
      <c r="T34" s="16"/>
      <c r="U34" s="12"/>
      <c r="V34" s="16"/>
    </row>
    <row r="35" spans="1:23" x14ac:dyDescent="0.25">
      <c r="A35" s="73">
        <v>59315</v>
      </c>
      <c r="B35" s="74"/>
      <c r="C35" s="154"/>
      <c r="D35" s="116"/>
      <c r="E35" s="74"/>
      <c r="F35" s="74"/>
      <c r="G35" s="74"/>
      <c r="H35" s="75"/>
      <c r="I35" s="74"/>
      <c r="J35" s="75"/>
      <c r="K35" s="75"/>
      <c r="L35" s="75"/>
      <c r="M35" s="75"/>
      <c r="N35" s="75"/>
      <c r="O35" s="75"/>
      <c r="P35" s="74"/>
      <c r="Q35" s="74"/>
      <c r="R35" s="74"/>
      <c r="S35" s="75"/>
      <c r="T35" s="74"/>
      <c r="U35" s="74"/>
      <c r="V35" s="74"/>
    </row>
    <row r="36" spans="1:23" ht="31.5" x14ac:dyDescent="0.25">
      <c r="A36" s="73">
        <v>59315</v>
      </c>
      <c r="B36" s="13" t="s">
        <v>446</v>
      </c>
      <c r="C36" s="155">
        <v>45293</v>
      </c>
      <c r="D36" s="20">
        <v>31</v>
      </c>
      <c r="E36" s="16">
        <v>511875</v>
      </c>
      <c r="F36" s="16">
        <v>0</v>
      </c>
      <c r="G36" s="16">
        <f t="shared" ref="G36:G37" si="36">E36-F36</f>
        <v>511875</v>
      </c>
      <c r="H36" s="16">
        <f>ROUND(G36*18%,)</f>
        <v>92138</v>
      </c>
      <c r="I36" s="16">
        <f>ROUND(G36+H36,)</f>
        <v>604013</v>
      </c>
      <c r="J36" s="16">
        <f>ROUND(G36*$J$6,)</f>
        <v>10238</v>
      </c>
      <c r="K36" s="16">
        <f>ROUND(G36*5%,)</f>
        <v>25594</v>
      </c>
      <c r="L36" s="12"/>
      <c r="M36" s="122">
        <f>G36*10%</f>
        <v>51187.5</v>
      </c>
      <c r="N36" s="122">
        <f>H36</f>
        <v>92138</v>
      </c>
      <c r="O36" s="16">
        <v>0</v>
      </c>
      <c r="P36" s="61">
        <f t="shared" ref="P36:P37" si="37">I36-SUM(J36:O36)</f>
        <v>424855.5</v>
      </c>
      <c r="Q36" s="16" t="s">
        <v>62</v>
      </c>
      <c r="R36" s="16">
        <v>200000</v>
      </c>
      <c r="S36" s="16">
        <f t="shared" ref="S36" si="38">R36*$S$6</f>
        <v>4000</v>
      </c>
      <c r="T36" s="16">
        <f t="shared" ref="T36" si="39">R36-S36</f>
        <v>196000</v>
      </c>
      <c r="U36" s="12" t="s">
        <v>61</v>
      </c>
      <c r="V36" s="16">
        <f>SUM(P36:P44)-SUM(T36:T44)</f>
        <v>-564108</v>
      </c>
    </row>
    <row r="37" spans="1:23" x14ac:dyDescent="0.25">
      <c r="A37" s="73">
        <v>59315</v>
      </c>
      <c r="B37" s="13" t="s">
        <v>154</v>
      </c>
      <c r="C37" s="155">
        <v>45312</v>
      </c>
      <c r="D37" s="20">
        <v>40</v>
      </c>
      <c r="E37" s="16">
        <v>853125</v>
      </c>
      <c r="F37" s="16">
        <v>0</v>
      </c>
      <c r="G37" s="16">
        <f t="shared" si="36"/>
        <v>853125</v>
      </c>
      <c r="H37" s="16">
        <f>ROUND(G37*18%,)</f>
        <v>153563</v>
      </c>
      <c r="I37" s="16">
        <f>ROUND(G37+H37,)</f>
        <v>1006688</v>
      </c>
      <c r="J37" s="16">
        <f>ROUND(G37*$J$6,)</f>
        <v>17063</v>
      </c>
      <c r="K37" s="16">
        <f>ROUND(G37*5%,)</f>
        <v>42656</v>
      </c>
      <c r="L37" s="77"/>
      <c r="M37" s="122">
        <f>G37*10%</f>
        <v>85312.5</v>
      </c>
      <c r="N37" s="122">
        <f>H37</f>
        <v>153563</v>
      </c>
      <c r="O37" s="16">
        <v>0</v>
      </c>
      <c r="P37" s="61">
        <f t="shared" si="37"/>
        <v>708093.5</v>
      </c>
      <c r="Q37" s="16" t="s">
        <v>83</v>
      </c>
      <c r="R37" s="16">
        <v>400000</v>
      </c>
      <c r="S37" s="16">
        <f t="shared" ref="S37" si="40">R37*$S$6</f>
        <v>8000</v>
      </c>
      <c r="T37" s="16">
        <f t="shared" ref="T37" si="41">R37-S37</f>
        <v>392000</v>
      </c>
      <c r="U37" s="12" t="s">
        <v>82</v>
      </c>
      <c r="V37" s="16"/>
    </row>
    <row r="38" spans="1:23" x14ac:dyDescent="0.25">
      <c r="A38" s="73">
        <v>59315</v>
      </c>
      <c r="B38" s="13" t="s">
        <v>42</v>
      </c>
      <c r="C38" s="156">
        <v>45335</v>
      </c>
      <c r="D38" s="20">
        <v>40</v>
      </c>
      <c r="E38" s="16">
        <f>N36</f>
        <v>92138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22">
        <f>E38</f>
        <v>92138</v>
      </c>
      <c r="Q38" s="16" t="s">
        <v>120</v>
      </c>
      <c r="R38" s="16">
        <v>544948</v>
      </c>
      <c r="S38" s="12"/>
      <c r="T38" s="16">
        <v>544948</v>
      </c>
      <c r="U38" s="12" t="s">
        <v>119</v>
      </c>
      <c r="V38" s="16"/>
    </row>
    <row r="39" spans="1:23" x14ac:dyDescent="0.25">
      <c r="A39" s="73">
        <v>59315</v>
      </c>
      <c r="B39" s="13" t="s">
        <v>202</v>
      </c>
      <c r="C39" s="156"/>
      <c r="D39" s="20" t="s">
        <v>230</v>
      </c>
      <c r="E39" s="16">
        <f>M36+M37</f>
        <v>136500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22">
        <f>E39</f>
        <v>136500</v>
      </c>
      <c r="Q39" s="16" t="s">
        <v>211</v>
      </c>
      <c r="R39" s="16">
        <v>150000</v>
      </c>
      <c r="S39" s="16">
        <v>3000</v>
      </c>
      <c r="T39" s="16">
        <v>147000</v>
      </c>
      <c r="U39" s="12" t="s">
        <v>142</v>
      </c>
      <c r="V39" s="16"/>
    </row>
    <row r="40" spans="1:23" x14ac:dyDescent="0.25">
      <c r="A40" s="73">
        <v>59315</v>
      </c>
      <c r="B40" s="13" t="s">
        <v>391</v>
      </c>
      <c r="C40" s="156">
        <v>45352</v>
      </c>
      <c r="D40" s="20">
        <v>64</v>
      </c>
      <c r="E40" s="16">
        <v>124552.7</v>
      </c>
      <c r="F40" s="16">
        <v>0</v>
      </c>
      <c r="G40" s="16">
        <f t="shared" ref="G40" si="42">E40-F40</f>
        <v>124552.7</v>
      </c>
      <c r="H40" s="16">
        <f>ROUND(G40*18%,)</f>
        <v>22419</v>
      </c>
      <c r="I40" s="16">
        <f>ROUND(G40+H40,)</f>
        <v>146972</v>
      </c>
      <c r="J40" s="16">
        <f>ROUND(G40*$J$6,)</f>
        <v>2491</v>
      </c>
      <c r="K40" s="16">
        <f>ROUND(G40*5%,)</f>
        <v>6228</v>
      </c>
      <c r="L40" s="12"/>
      <c r="M40" s="122">
        <v>0</v>
      </c>
      <c r="N40" s="122">
        <f>H40</f>
        <v>22419</v>
      </c>
      <c r="O40" s="16">
        <v>0</v>
      </c>
      <c r="P40" s="61">
        <f t="shared" ref="P40" si="43">I40-SUM(J40:O40)</f>
        <v>115834</v>
      </c>
      <c r="Q40" s="16"/>
      <c r="R40" s="16"/>
      <c r="S40" s="16"/>
      <c r="T40" s="16"/>
      <c r="U40" s="12"/>
      <c r="V40" s="16"/>
    </row>
    <row r="41" spans="1:23" x14ac:dyDescent="0.25">
      <c r="A41" s="73">
        <v>59315</v>
      </c>
      <c r="B41" s="13" t="s">
        <v>42</v>
      </c>
      <c r="C41" s="156"/>
      <c r="D41" s="20">
        <v>64</v>
      </c>
      <c r="E41" s="16">
        <f>N40</f>
        <v>22419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6">
        <f>E41</f>
        <v>22419</v>
      </c>
      <c r="Q41" s="16" t="s">
        <v>212</v>
      </c>
      <c r="R41" s="16">
        <v>200000</v>
      </c>
      <c r="S41" s="16">
        <v>3000</v>
      </c>
      <c r="T41" s="16">
        <v>196000</v>
      </c>
      <c r="U41" s="12" t="s">
        <v>152</v>
      </c>
      <c r="V41" s="16"/>
    </row>
    <row r="42" spans="1:23" x14ac:dyDescent="0.25">
      <c r="A42" s="73">
        <v>59315</v>
      </c>
      <c r="B42" s="13"/>
      <c r="C42" s="156"/>
      <c r="D42" s="2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213</v>
      </c>
      <c r="R42" s="16">
        <v>100000</v>
      </c>
      <c r="S42" s="16">
        <v>2000</v>
      </c>
      <c r="T42" s="16">
        <f>R42-S42</f>
        <v>98000</v>
      </c>
      <c r="U42" s="12" t="s">
        <v>210</v>
      </c>
      <c r="V42" s="16"/>
    </row>
    <row r="43" spans="1:23" x14ac:dyDescent="0.25">
      <c r="A43" s="73">
        <v>59315</v>
      </c>
      <c r="B43" s="13"/>
      <c r="C43" s="156"/>
      <c r="D43" s="2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373</v>
      </c>
      <c r="R43" s="16">
        <v>500000</v>
      </c>
      <c r="S43" s="16">
        <v>10000</v>
      </c>
      <c r="T43" s="16">
        <v>490000</v>
      </c>
      <c r="U43" s="12" t="s">
        <v>403</v>
      </c>
      <c r="V43" s="16"/>
    </row>
    <row r="44" spans="1:23" x14ac:dyDescent="0.25">
      <c r="A44" s="73">
        <v>59315</v>
      </c>
      <c r="B44" s="13"/>
      <c r="C44" s="156"/>
      <c r="D44" s="2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2"/>
      <c r="V44" s="16"/>
    </row>
    <row r="45" spans="1:23" x14ac:dyDescent="0.25">
      <c r="A45" s="73">
        <v>59513</v>
      </c>
      <c r="B45" s="74"/>
      <c r="C45" s="154"/>
      <c r="D45" s="116"/>
      <c r="E45" s="74"/>
      <c r="F45" s="74"/>
      <c r="G45" s="74"/>
      <c r="H45" s="75"/>
      <c r="I45" s="74"/>
      <c r="J45" s="75"/>
      <c r="K45" s="75"/>
      <c r="L45" s="75" t="s">
        <v>94</v>
      </c>
      <c r="M45" s="75"/>
      <c r="N45" s="75"/>
      <c r="O45" s="75"/>
      <c r="P45" s="74"/>
      <c r="Q45" s="74"/>
      <c r="R45" s="74"/>
      <c r="S45" s="75"/>
      <c r="T45" s="74"/>
      <c r="U45" s="74"/>
      <c r="V45" s="74"/>
    </row>
    <row r="46" spans="1:23" x14ac:dyDescent="0.25">
      <c r="A46" s="73">
        <v>59513</v>
      </c>
      <c r="B46" s="13" t="s">
        <v>447</v>
      </c>
      <c r="C46" s="155">
        <v>45210</v>
      </c>
      <c r="D46" s="20">
        <v>12</v>
      </c>
      <c r="E46" s="16">
        <v>166500</v>
      </c>
      <c r="F46" s="16">
        <v>0</v>
      </c>
      <c r="G46" s="16">
        <f t="shared" ref="G46" si="44">E46-F46</f>
        <v>166500</v>
      </c>
      <c r="H46" s="16">
        <f>ROUND(G46*18%,)</f>
        <v>29970</v>
      </c>
      <c r="I46" s="16">
        <f>ROUND(G46+H46,)</f>
        <v>196470</v>
      </c>
      <c r="J46" s="16">
        <f>ROUND(G46*$J$6,)</f>
        <v>3330</v>
      </c>
      <c r="K46" s="16">
        <f>ROUND(G46*5%,)</f>
        <v>8325</v>
      </c>
      <c r="L46" s="16"/>
      <c r="M46" s="16"/>
      <c r="N46" s="122">
        <f>H46</f>
        <v>29970</v>
      </c>
      <c r="O46" s="16"/>
      <c r="P46" s="61">
        <f t="shared" ref="P46" si="45">I46-SUM(J46:O46)</f>
        <v>154845</v>
      </c>
      <c r="Q46" s="16" t="s">
        <v>30</v>
      </c>
      <c r="R46" s="16">
        <v>200000</v>
      </c>
      <c r="S46" s="16">
        <f t="shared" ref="S46:S48" si="46">R46*$S$6</f>
        <v>4000</v>
      </c>
      <c r="T46" s="16">
        <f>R46-S46</f>
        <v>196000</v>
      </c>
      <c r="U46" s="12" t="s">
        <v>29</v>
      </c>
      <c r="V46" s="16">
        <f>SUM(P46:P61)-SUM(T46:T61)</f>
        <v>-514323.89340000041</v>
      </c>
    </row>
    <row r="47" spans="1:23" x14ac:dyDescent="0.25">
      <c r="A47" s="73">
        <v>59513</v>
      </c>
      <c r="B47" s="13" t="s">
        <v>447</v>
      </c>
      <c r="C47" s="155">
        <v>45227</v>
      </c>
      <c r="D47" s="20">
        <v>21</v>
      </c>
      <c r="E47" s="16">
        <v>333000</v>
      </c>
      <c r="F47" s="16">
        <v>57225</v>
      </c>
      <c r="G47" s="16">
        <f t="shared" ref="G47" si="47">E47-F47</f>
        <v>275775</v>
      </c>
      <c r="H47" s="16">
        <f>ROUND(G47*18%,)</f>
        <v>49640</v>
      </c>
      <c r="I47" s="16">
        <f>ROUND(G47+H47,)</f>
        <v>325415</v>
      </c>
      <c r="J47" s="16">
        <f t="shared" ref="J47:J48" si="48">ROUND(G47*$J$6,)</f>
        <v>5516</v>
      </c>
      <c r="K47" s="16">
        <f>ROUND(G47*5%,)</f>
        <v>13789</v>
      </c>
      <c r="L47" s="12"/>
      <c r="M47" s="122">
        <f>G47*10%</f>
        <v>27577.5</v>
      </c>
      <c r="N47" s="122">
        <v>46640</v>
      </c>
      <c r="O47" s="16"/>
      <c r="P47" s="61">
        <f t="shared" ref="P47" si="49">I47-SUM(J47:O47)</f>
        <v>231892.5</v>
      </c>
      <c r="Q47" s="16" t="s">
        <v>38</v>
      </c>
      <c r="R47" s="16">
        <v>250000</v>
      </c>
      <c r="S47" s="16">
        <f t="shared" si="46"/>
        <v>5000</v>
      </c>
      <c r="T47" s="16">
        <f t="shared" ref="T47:T48" si="50">R47-S47</f>
        <v>245000</v>
      </c>
      <c r="U47" s="12" t="s">
        <v>37</v>
      </c>
      <c r="V47" s="16"/>
      <c r="W47" s="1" t="s">
        <v>177</v>
      </c>
    </row>
    <row r="48" spans="1:23" x14ac:dyDescent="0.25">
      <c r="A48" s="73">
        <v>59513</v>
      </c>
      <c r="B48" s="13" t="s">
        <v>447</v>
      </c>
      <c r="C48" s="155">
        <v>45293</v>
      </c>
      <c r="D48" s="20">
        <v>30</v>
      </c>
      <c r="E48" s="16">
        <v>832500</v>
      </c>
      <c r="F48" s="16">
        <v>0</v>
      </c>
      <c r="G48" s="16">
        <f t="shared" ref="G48" si="51">E48-F48</f>
        <v>832500</v>
      </c>
      <c r="H48" s="16">
        <f>ROUND(G48*18%,)</f>
        <v>149850</v>
      </c>
      <c r="I48" s="16">
        <f>ROUND(G48+H48,)</f>
        <v>982350</v>
      </c>
      <c r="J48" s="16">
        <f t="shared" si="48"/>
        <v>16650</v>
      </c>
      <c r="K48" s="16">
        <f>ROUND(G48*5%,)</f>
        <v>41625</v>
      </c>
      <c r="M48" s="122">
        <f>G48*10%</f>
        <v>83250</v>
      </c>
      <c r="N48" s="122">
        <f>H48</f>
        <v>149850</v>
      </c>
      <c r="O48" s="16"/>
      <c r="P48" s="61">
        <f t="shared" ref="P48" si="52">I48-SUM(J48:O48)</f>
        <v>690975</v>
      </c>
      <c r="Q48" s="16" t="s">
        <v>60</v>
      </c>
      <c r="R48" s="16">
        <v>100000</v>
      </c>
      <c r="S48" s="16">
        <f t="shared" si="46"/>
        <v>2000</v>
      </c>
      <c r="T48" s="16">
        <f t="shared" si="50"/>
        <v>98000</v>
      </c>
      <c r="U48" s="16" t="s">
        <v>59</v>
      </c>
      <c r="V48" s="16"/>
    </row>
    <row r="49" spans="1:24" x14ac:dyDescent="0.25">
      <c r="A49" s="73">
        <v>59513</v>
      </c>
      <c r="B49" s="16" t="s">
        <v>118</v>
      </c>
      <c r="C49" s="153">
        <v>45276</v>
      </c>
      <c r="D49" s="115">
        <v>21</v>
      </c>
      <c r="E49" s="16">
        <v>49640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22">
        <f t="shared" ref="P49:P51" si="53">E49</f>
        <v>49640</v>
      </c>
      <c r="Q49" s="16" t="s">
        <v>77</v>
      </c>
      <c r="R49" s="16">
        <v>400000</v>
      </c>
      <c r="S49" s="16">
        <f t="shared" ref="S49" si="54">R49*$S$6</f>
        <v>8000</v>
      </c>
      <c r="T49" s="16">
        <f>R49-S49</f>
        <v>392000</v>
      </c>
      <c r="U49" s="16" t="s">
        <v>76</v>
      </c>
      <c r="V49" s="16"/>
    </row>
    <row r="50" spans="1:24" x14ac:dyDescent="0.25">
      <c r="A50" s="73">
        <v>59513</v>
      </c>
      <c r="B50" s="16" t="s">
        <v>118</v>
      </c>
      <c r="C50" s="153">
        <v>45276</v>
      </c>
      <c r="D50" s="115">
        <v>12</v>
      </c>
      <c r="E50" s="16">
        <v>29970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22">
        <f t="shared" si="53"/>
        <v>29970</v>
      </c>
      <c r="Q50" s="16" t="s">
        <v>85</v>
      </c>
      <c r="R50" s="16">
        <v>500000</v>
      </c>
      <c r="S50" s="16">
        <f t="shared" ref="S50:S51" si="55">R50*$S$6</f>
        <v>10000</v>
      </c>
      <c r="T50" s="16">
        <f t="shared" ref="T50" si="56">R50-S50</f>
        <v>490000</v>
      </c>
      <c r="U50" s="16" t="s">
        <v>84</v>
      </c>
      <c r="V50" s="16"/>
    </row>
    <row r="51" spans="1:24" x14ac:dyDescent="0.25">
      <c r="A51" s="73">
        <v>59513</v>
      </c>
      <c r="B51" s="16" t="s">
        <v>118</v>
      </c>
      <c r="C51" s="153">
        <v>45335</v>
      </c>
      <c r="D51" s="115">
        <v>30</v>
      </c>
      <c r="E51" s="16">
        <v>149850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22">
        <f t="shared" si="53"/>
        <v>149850</v>
      </c>
      <c r="Q51" s="16" t="s">
        <v>215</v>
      </c>
      <c r="R51" s="16">
        <v>200000</v>
      </c>
      <c r="S51" s="16">
        <f t="shared" si="55"/>
        <v>4000</v>
      </c>
      <c r="T51" s="16">
        <v>196000</v>
      </c>
      <c r="U51" s="16" t="s">
        <v>404</v>
      </c>
      <c r="V51" s="16"/>
    </row>
    <row r="52" spans="1:24" x14ac:dyDescent="0.25">
      <c r="A52" s="73">
        <v>59513</v>
      </c>
      <c r="B52" s="13" t="s">
        <v>202</v>
      </c>
      <c r="C52" s="156"/>
      <c r="D52" s="20" t="s">
        <v>204</v>
      </c>
      <c r="E52" s="16">
        <f>M47+M48</f>
        <v>110827.5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22">
        <f>E52</f>
        <v>110827.5</v>
      </c>
      <c r="Q52" s="16"/>
      <c r="R52" s="16">
        <v>100000</v>
      </c>
      <c r="S52" s="16">
        <f t="shared" ref="S52:S53" si="57">R52*$S$6</f>
        <v>2000</v>
      </c>
      <c r="T52" s="16">
        <f t="shared" ref="T52" si="58">R52-S52</f>
        <v>98000</v>
      </c>
      <c r="U52" s="16" t="s">
        <v>214</v>
      </c>
      <c r="V52" s="16"/>
    </row>
    <row r="53" spans="1:24" x14ac:dyDescent="0.25">
      <c r="A53" s="73">
        <v>59513</v>
      </c>
      <c r="B53" s="13" t="s">
        <v>447</v>
      </c>
      <c r="C53" s="153">
        <v>45390</v>
      </c>
      <c r="D53" s="20">
        <v>4</v>
      </c>
      <c r="E53" s="16">
        <f>A46*15%</f>
        <v>8926.9499999999989</v>
      </c>
      <c r="F53" s="16"/>
      <c r="G53" s="16">
        <f t="shared" ref="G53" si="59">E53-F53</f>
        <v>8926.9499999999989</v>
      </c>
      <c r="H53" s="16">
        <f>ROUND(G53*18%,)</f>
        <v>1607</v>
      </c>
      <c r="I53" s="16">
        <f>ROUND(G53+H53,)</f>
        <v>10534</v>
      </c>
      <c r="J53" s="16">
        <f>G53*2%</f>
        <v>178.53899999999999</v>
      </c>
      <c r="K53" s="16">
        <f>ROUND(G53*5%,)</f>
        <v>446</v>
      </c>
      <c r="L53" s="16"/>
      <c r="M53" s="16"/>
      <c r="N53" s="122">
        <f>H53</f>
        <v>1607</v>
      </c>
      <c r="O53" s="16"/>
      <c r="P53" s="16">
        <f t="shared" ref="P53" si="60">I53-SUM(J53:O53)</f>
        <v>8302.4609999999993</v>
      </c>
      <c r="Q53" s="16"/>
      <c r="R53" s="16">
        <v>200000</v>
      </c>
      <c r="S53" s="16">
        <f t="shared" si="57"/>
        <v>4000</v>
      </c>
      <c r="T53" s="16">
        <v>196000</v>
      </c>
      <c r="U53" s="16" t="s">
        <v>244</v>
      </c>
      <c r="V53" s="16"/>
    </row>
    <row r="54" spans="1:24" x14ac:dyDescent="0.25">
      <c r="A54" s="73">
        <v>59513</v>
      </c>
      <c r="B54" s="13" t="s">
        <v>447</v>
      </c>
      <c r="C54" s="153">
        <v>45400</v>
      </c>
      <c r="D54" s="20">
        <v>7</v>
      </c>
      <c r="E54" s="16">
        <f>A46*15%</f>
        <v>8926.9499999999989</v>
      </c>
      <c r="F54" s="16"/>
      <c r="G54" s="16">
        <f t="shared" ref="G54" si="61">E54-F54</f>
        <v>8926.9499999999989</v>
      </c>
      <c r="H54" s="16">
        <f>ROUND(G54*18%,)</f>
        <v>1607</v>
      </c>
      <c r="I54" s="16">
        <f>ROUND(G54+H54,)</f>
        <v>10534</v>
      </c>
      <c r="J54" s="16">
        <f>G54*2%</f>
        <v>178.53899999999999</v>
      </c>
      <c r="K54" s="16">
        <f>ROUND(G54*5%,)</f>
        <v>446</v>
      </c>
      <c r="L54" s="16"/>
      <c r="M54" s="16"/>
      <c r="N54" s="122">
        <f>H54</f>
        <v>1607</v>
      </c>
      <c r="O54" s="16"/>
      <c r="P54" s="16">
        <f t="shared" ref="P54" si="62">I54-SUM(J54:O54)</f>
        <v>8302.4609999999993</v>
      </c>
      <c r="Q54" s="16"/>
      <c r="R54" s="16">
        <v>500000</v>
      </c>
      <c r="S54" s="16">
        <v>10000</v>
      </c>
      <c r="T54" s="16">
        <v>490000</v>
      </c>
      <c r="U54" s="16" t="s">
        <v>288</v>
      </c>
      <c r="V54" s="16"/>
    </row>
    <row r="55" spans="1:24" x14ac:dyDescent="0.25">
      <c r="A55" s="73">
        <v>59513</v>
      </c>
      <c r="B55" s="13" t="s">
        <v>447</v>
      </c>
      <c r="C55" s="156">
        <v>45422</v>
      </c>
      <c r="D55" s="20">
        <v>13</v>
      </c>
      <c r="E55" s="16">
        <v>166500</v>
      </c>
      <c r="F55" s="16"/>
      <c r="G55" s="16">
        <f t="shared" ref="G55" si="63">E55-F55</f>
        <v>166500</v>
      </c>
      <c r="H55" s="16">
        <f>ROUND(G55*18%,)</f>
        <v>29970</v>
      </c>
      <c r="I55" s="16">
        <f>ROUND(G55+H55,)</f>
        <v>196470</v>
      </c>
      <c r="J55" s="16">
        <f>G55*2%</f>
        <v>3330</v>
      </c>
      <c r="K55" s="16">
        <f>ROUND(G55*5%,)</f>
        <v>8325</v>
      </c>
      <c r="L55" s="16"/>
      <c r="M55" s="16"/>
      <c r="N55" s="122">
        <f>H55</f>
        <v>29970</v>
      </c>
      <c r="O55" s="16"/>
      <c r="P55" s="16">
        <f t="shared" ref="P55" si="64">I55-SUM(J55:O55)</f>
        <v>154845</v>
      </c>
      <c r="Q55" s="16"/>
      <c r="R55" s="16">
        <v>300000</v>
      </c>
      <c r="S55" s="16">
        <v>6000</v>
      </c>
      <c r="T55" s="16">
        <v>294000</v>
      </c>
      <c r="U55" s="16" t="s">
        <v>287</v>
      </c>
      <c r="V55" s="16"/>
    </row>
    <row r="56" spans="1:24" x14ac:dyDescent="0.25">
      <c r="A56" s="73">
        <v>59513</v>
      </c>
      <c r="B56" s="13" t="s">
        <v>118</v>
      </c>
      <c r="C56" s="156"/>
      <c r="D56" s="20">
        <v>7</v>
      </c>
      <c r="E56" s="16">
        <f>N53+N54</f>
        <v>3214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22">
        <f>E56</f>
        <v>3214</v>
      </c>
      <c r="Q56" s="16"/>
      <c r="R56" s="16"/>
      <c r="S56" s="16"/>
      <c r="T56" s="16"/>
      <c r="U56" s="16"/>
      <c r="V56" s="16"/>
    </row>
    <row r="57" spans="1:24" x14ac:dyDescent="0.25">
      <c r="A57" s="73">
        <v>59513</v>
      </c>
      <c r="B57" s="13" t="s">
        <v>118</v>
      </c>
      <c r="C57" s="156"/>
      <c r="D57" s="20">
        <v>13</v>
      </c>
      <c r="E57" s="16">
        <f>N55</f>
        <v>29970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22">
        <f>E57</f>
        <v>29970</v>
      </c>
      <c r="Q57" s="16"/>
      <c r="R57" s="16"/>
      <c r="S57" s="16"/>
      <c r="T57" s="16"/>
      <c r="U57" s="16"/>
      <c r="V57" s="16"/>
      <c r="X57" s="1">
        <v>1</v>
      </c>
    </row>
    <row r="58" spans="1:24" x14ac:dyDescent="0.25">
      <c r="A58" s="73">
        <v>59513</v>
      </c>
      <c r="B58" s="13" t="s">
        <v>447</v>
      </c>
      <c r="C58" s="156">
        <v>45565</v>
      </c>
      <c r="D58" s="20">
        <v>58</v>
      </c>
      <c r="E58" s="16">
        <v>599400</v>
      </c>
      <c r="F58" s="16">
        <v>231722.23</v>
      </c>
      <c r="G58" s="16">
        <f t="shared" ref="G58" si="65">E58-F58</f>
        <v>367677.77</v>
      </c>
      <c r="H58" s="16">
        <f>ROUND(G58*18%,)</f>
        <v>66182</v>
      </c>
      <c r="I58" s="16">
        <f>ROUND(G58+H58,)</f>
        <v>433860</v>
      </c>
      <c r="J58" s="16">
        <f>G58*2%</f>
        <v>7353.5554000000002</v>
      </c>
      <c r="K58" s="16">
        <f>ROUND(G58*5%,)</f>
        <v>18384</v>
      </c>
      <c r="L58" s="16"/>
      <c r="M58" s="16"/>
      <c r="N58" s="122">
        <f>H58</f>
        <v>66182</v>
      </c>
      <c r="O58" s="16"/>
      <c r="P58" s="16">
        <f t="shared" ref="P58" si="66">I58-SUM(J58:O58)</f>
        <v>341940.44459999999</v>
      </c>
      <c r="Q58" s="16"/>
      <c r="R58" s="16"/>
      <c r="S58" s="16"/>
      <c r="T58" s="16"/>
      <c r="U58" s="16"/>
      <c r="V58" s="16"/>
    </row>
    <row r="59" spans="1:24" x14ac:dyDescent="0.25">
      <c r="A59" s="73">
        <v>59513</v>
      </c>
      <c r="B59" s="13" t="s">
        <v>118</v>
      </c>
      <c r="C59" s="156"/>
      <c r="D59" s="20">
        <v>58</v>
      </c>
      <c r="E59" s="16">
        <f>N58</f>
        <v>66182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22">
        <f>E59</f>
        <v>66182</v>
      </c>
      <c r="Q59" s="16"/>
      <c r="R59" s="16"/>
      <c r="S59" s="16"/>
      <c r="T59" s="16"/>
      <c r="U59" s="16"/>
      <c r="V59" s="16"/>
    </row>
    <row r="60" spans="1:24" x14ac:dyDescent="0.25">
      <c r="A60" s="73">
        <v>59513</v>
      </c>
      <c r="B60" s="13" t="s">
        <v>392</v>
      </c>
      <c r="C60" s="156">
        <v>45352</v>
      </c>
      <c r="D60" s="20">
        <v>67</v>
      </c>
      <c r="E60" s="16">
        <v>135063</v>
      </c>
      <c r="F60" s="16">
        <v>0</v>
      </c>
      <c r="G60" s="16">
        <f t="shared" ref="G60" si="67">E60-F60</f>
        <v>135063</v>
      </c>
      <c r="H60" s="16">
        <f>ROUND(G60*18%,)</f>
        <v>24311</v>
      </c>
      <c r="I60" s="16">
        <f>ROUND(G60+H60,)</f>
        <v>159374</v>
      </c>
      <c r="J60" s="16">
        <f>G60*2%</f>
        <v>2701.26</v>
      </c>
      <c r="K60" s="16">
        <f>ROUND(G60*5%,)</f>
        <v>6753</v>
      </c>
      <c r="L60" s="16"/>
      <c r="M60" s="16"/>
      <c r="N60" s="122">
        <f>H60</f>
        <v>24311</v>
      </c>
      <c r="O60" s="16"/>
      <c r="P60" s="16">
        <f t="shared" ref="P60" si="68">I60-SUM(J60:O60)</f>
        <v>125608.73999999999</v>
      </c>
      <c r="Q60" s="16"/>
      <c r="R60" s="16"/>
      <c r="S60" s="16"/>
      <c r="T60" s="16"/>
      <c r="U60" s="16"/>
      <c r="V60" s="16"/>
    </row>
    <row r="61" spans="1:24" x14ac:dyDescent="0.25">
      <c r="A61" s="73">
        <v>59513</v>
      </c>
      <c r="B61" s="13" t="s">
        <v>42</v>
      </c>
      <c r="C61" s="156"/>
      <c r="D61" s="20">
        <v>67</v>
      </c>
      <c r="E61" s="16">
        <f>N60</f>
        <v>24311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2">
        <f>E61</f>
        <v>24311</v>
      </c>
      <c r="Q61" s="16"/>
      <c r="R61" s="16"/>
      <c r="S61" s="16"/>
      <c r="T61" s="16"/>
      <c r="U61" s="16"/>
      <c r="V61" s="16"/>
    </row>
    <row r="62" spans="1:24" x14ac:dyDescent="0.25">
      <c r="A62" s="73">
        <v>59514</v>
      </c>
      <c r="B62" s="74"/>
      <c r="C62" s="154"/>
      <c r="D62" s="116"/>
      <c r="E62" s="74"/>
      <c r="F62" s="74"/>
      <c r="G62" s="74"/>
      <c r="H62" s="75"/>
      <c r="I62" s="74"/>
      <c r="J62" s="75"/>
      <c r="K62" s="75"/>
      <c r="L62" s="75"/>
      <c r="M62" s="75"/>
      <c r="N62" s="75"/>
      <c r="O62" s="75"/>
      <c r="P62" s="74"/>
      <c r="Q62" s="74"/>
      <c r="R62" s="74"/>
      <c r="S62" s="75"/>
      <c r="T62" s="74"/>
      <c r="U62" s="74"/>
      <c r="V62" s="74"/>
    </row>
    <row r="63" spans="1:24" ht="31.5" x14ac:dyDescent="0.25">
      <c r="A63" s="73">
        <v>59514</v>
      </c>
      <c r="B63" s="13" t="s">
        <v>448</v>
      </c>
      <c r="C63" s="155">
        <v>45210</v>
      </c>
      <c r="D63" s="20">
        <v>14</v>
      </c>
      <c r="E63" s="16">
        <v>137812</v>
      </c>
      <c r="F63" s="16">
        <v>0</v>
      </c>
      <c r="G63" s="16">
        <f t="shared" ref="G63" si="69">E63-F63</f>
        <v>137812</v>
      </c>
      <c r="H63" s="16">
        <f>ROUND(G63*18%,)</f>
        <v>24806</v>
      </c>
      <c r="I63" s="16">
        <f>ROUND(G63+H63,)</f>
        <v>162618</v>
      </c>
      <c r="J63" s="16">
        <f>ROUND(G63*$J$6,)</f>
        <v>2756</v>
      </c>
      <c r="K63" s="16">
        <f>ROUND(G63*5%,)</f>
        <v>6891</v>
      </c>
      <c r="L63" s="16"/>
      <c r="M63" s="16"/>
      <c r="N63" s="122">
        <f>H63</f>
        <v>24806</v>
      </c>
      <c r="O63" s="16">
        <v>0</v>
      </c>
      <c r="P63" s="61">
        <f t="shared" ref="P63" si="70">I63-SUM(J63:O63)</f>
        <v>128165</v>
      </c>
      <c r="Q63" s="16" t="s">
        <v>30</v>
      </c>
      <c r="R63" s="16">
        <v>200000</v>
      </c>
      <c r="S63" s="16">
        <f t="shared" ref="S63:S66" si="71">R63*$S$6</f>
        <v>4000</v>
      </c>
      <c r="T63" s="16">
        <f>R63-S63</f>
        <v>196000</v>
      </c>
      <c r="U63" s="12" t="s">
        <v>32</v>
      </c>
      <c r="V63" s="16">
        <f>SUM(P63:P78)-SUM(T63:T78)</f>
        <v>7122.4459999999963</v>
      </c>
    </row>
    <row r="64" spans="1:24" ht="31.5" x14ac:dyDescent="0.25">
      <c r="A64" s="73">
        <v>59514</v>
      </c>
      <c r="B64" s="13" t="s">
        <v>448</v>
      </c>
      <c r="C64" s="155">
        <v>45221</v>
      </c>
      <c r="D64" s="20">
        <v>22</v>
      </c>
      <c r="E64" s="16">
        <v>275626</v>
      </c>
      <c r="F64" s="16">
        <v>26705</v>
      </c>
      <c r="G64" s="16">
        <f t="shared" ref="G64" si="72">E64-F64</f>
        <v>248921</v>
      </c>
      <c r="H64" s="16">
        <f>ROUND(G64*18%,)</f>
        <v>44806</v>
      </c>
      <c r="I64" s="16">
        <f>ROUND(G64+H64,)</f>
        <v>293727</v>
      </c>
      <c r="J64" s="16">
        <f t="shared" ref="J64:J65" si="73">ROUND(G64*$J$6,)</f>
        <v>4978</v>
      </c>
      <c r="K64" s="16">
        <f>ROUND(G64*5%,)</f>
        <v>12446</v>
      </c>
      <c r="L64" s="16"/>
      <c r="M64" s="16"/>
      <c r="N64" s="122">
        <f>H64</f>
        <v>44806</v>
      </c>
      <c r="O64" s="16">
        <v>0</v>
      </c>
      <c r="P64" s="61">
        <f t="shared" ref="P64" si="74">I64-SUM(J64:O64)</f>
        <v>231497</v>
      </c>
      <c r="Q64" s="16" t="s">
        <v>55</v>
      </c>
      <c r="R64" s="16">
        <v>200000</v>
      </c>
      <c r="S64" s="16">
        <f t="shared" si="71"/>
        <v>4000</v>
      </c>
      <c r="T64" s="16">
        <f t="shared" ref="T64:T69" si="75">R64-S64</f>
        <v>196000</v>
      </c>
      <c r="U64" s="12" t="s">
        <v>33</v>
      </c>
      <c r="V64" s="16"/>
    </row>
    <row r="65" spans="1:22" ht="31.5" x14ac:dyDescent="0.25">
      <c r="A65" s="73">
        <v>59514</v>
      </c>
      <c r="B65" s="13" t="s">
        <v>448</v>
      </c>
      <c r="C65" s="155">
        <v>45237</v>
      </c>
      <c r="D65" s="20">
        <v>25</v>
      </c>
      <c r="E65" s="16">
        <v>689062</v>
      </c>
      <c r="F65" s="16">
        <v>19075</v>
      </c>
      <c r="G65" s="16">
        <f t="shared" ref="G65" si="76">E65-F65</f>
        <v>669987</v>
      </c>
      <c r="H65" s="16">
        <f>ROUND(G65*18%,)</f>
        <v>120598</v>
      </c>
      <c r="I65" s="16">
        <f>ROUND(G65+H65,)</f>
        <v>790585</v>
      </c>
      <c r="J65" s="16">
        <f t="shared" si="73"/>
        <v>13400</v>
      </c>
      <c r="K65" s="16">
        <f>ROUND(G65*5%,)</f>
        <v>33499</v>
      </c>
      <c r="L65" s="77"/>
      <c r="M65" s="122">
        <f>G65*10%</f>
        <v>66998.7</v>
      </c>
      <c r="N65" s="122">
        <f>H65</f>
        <v>120598</v>
      </c>
      <c r="O65" s="16">
        <v>0</v>
      </c>
      <c r="P65" s="61">
        <f t="shared" ref="P65" si="77">I65-SUM(J65:O65)</f>
        <v>556089.30000000005</v>
      </c>
      <c r="Q65" s="16" t="s">
        <v>56</v>
      </c>
      <c r="R65" s="16">
        <v>200000</v>
      </c>
      <c r="S65" s="16">
        <f t="shared" si="71"/>
        <v>4000</v>
      </c>
      <c r="T65" s="16">
        <f t="shared" si="75"/>
        <v>196000</v>
      </c>
      <c r="U65" s="12" t="s">
        <v>405</v>
      </c>
      <c r="V65" s="16"/>
    </row>
    <row r="66" spans="1:22" x14ac:dyDescent="0.25">
      <c r="A66" s="73">
        <v>59514</v>
      </c>
      <c r="B66" s="16" t="s">
        <v>117</v>
      </c>
      <c r="C66" s="153">
        <v>45276</v>
      </c>
      <c r="D66" s="20">
        <v>14</v>
      </c>
      <c r="E66" s="16">
        <v>24806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2">
        <f t="shared" ref="P66:P67" si="78">E66</f>
        <v>24806</v>
      </c>
      <c r="Q66" s="16" t="s">
        <v>57</v>
      </c>
      <c r="R66" s="16">
        <v>400000</v>
      </c>
      <c r="S66" s="16">
        <f t="shared" si="71"/>
        <v>8000</v>
      </c>
      <c r="T66" s="16">
        <f t="shared" si="75"/>
        <v>392000</v>
      </c>
      <c r="U66" s="12" t="s">
        <v>46</v>
      </c>
      <c r="V66" s="16"/>
    </row>
    <row r="67" spans="1:22" ht="31.5" x14ac:dyDescent="0.25">
      <c r="A67" s="73">
        <v>59514</v>
      </c>
      <c r="B67" s="13" t="s">
        <v>153</v>
      </c>
      <c r="C67" s="153">
        <v>45276</v>
      </c>
      <c r="D67" s="20">
        <v>22</v>
      </c>
      <c r="E67" s="16">
        <v>44806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22">
        <f t="shared" si="78"/>
        <v>44806</v>
      </c>
      <c r="Q67" s="16" t="s">
        <v>74</v>
      </c>
      <c r="R67" s="16">
        <v>300000</v>
      </c>
      <c r="S67" s="16">
        <f t="shared" ref="S67:S69" si="79">R67*$S$6</f>
        <v>6000</v>
      </c>
      <c r="T67" s="16">
        <f t="shared" si="75"/>
        <v>294000</v>
      </c>
      <c r="U67" s="12" t="s">
        <v>73</v>
      </c>
      <c r="V67" s="16"/>
    </row>
    <row r="68" spans="1:22" x14ac:dyDescent="0.25">
      <c r="A68" s="73">
        <v>59514</v>
      </c>
      <c r="B68" s="13"/>
      <c r="C68" s="153">
        <v>45324</v>
      </c>
      <c r="D68" s="20">
        <v>50</v>
      </c>
      <c r="E68" s="16">
        <v>689062</v>
      </c>
      <c r="F68" s="16">
        <v>0</v>
      </c>
      <c r="G68" s="16">
        <f t="shared" ref="G68" si="80">E68-F68</f>
        <v>689062</v>
      </c>
      <c r="H68" s="16">
        <f>ROUND(G68*18%,)</f>
        <v>124031</v>
      </c>
      <c r="I68" s="16">
        <f>ROUND(G68+H68,)</f>
        <v>813093</v>
      </c>
      <c r="J68" s="16">
        <f>ROUND(G68*$J$6,)</f>
        <v>13781</v>
      </c>
      <c r="K68" s="16">
        <f>ROUND(G68*5%,)</f>
        <v>34453</v>
      </c>
      <c r="L68" s="16"/>
      <c r="M68" s="16"/>
      <c r="N68" s="122">
        <f>H68</f>
        <v>124031</v>
      </c>
      <c r="O68" s="16"/>
      <c r="P68" s="61">
        <f t="shared" ref="P68:P69" si="81">I68-SUM(J68:O68)</f>
        <v>640828</v>
      </c>
      <c r="Q68" s="16" t="s">
        <v>126</v>
      </c>
      <c r="R68" s="16">
        <v>100000</v>
      </c>
      <c r="S68" s="16">
        <f t="shared" si="79"/>
        <v>2000</v>
      </c>
      <c r="T68" s="16">
        <f t="shared" si="75"/>
        <v>98000</v>
      </c>
      <c r="U68" s="12" t="s">
        <v>125</v>
      </c>
      <c r="V68" s="16"/>
    </row>
    <row r="69" spans="1:22" ht="31.5" x14ac:dyDescent="0.25">
      <c r="A69" s="73">
        <v>59514</v>
      </c>
      <c r="B69" s="13" t="s">
        <v>448</v>
      </c>
      <c r="C69" s="153">
        <v>45345</v>
      </c>
      <c r="D69" s="20">
        <v>61</v>
      </c>
      <c r="E69" s="16">
        <v>358312.5</v>
      </c>
      <c r="F69" s="16"/>
      <c r="G69" s="16">
        <f t="shared" ref="G69" si="82">E69-F69</f>
        <v>358312.5</v>
      </c>
      <c r="H69" s="16">
        <f>ROUND(G69*18%,)</f>
        <v>64496</v>
      </c>
      <c r="I69" s="16">
        <f>ROUND(G69+H69,)</f>
        <v>422809</v>
      </c>
      <c r="J69" s="16">
        <f>ROUND(G69*$J$6,)</f>
        <v>7166</v>
      </c>
      <c r="K69" s="16">
        <f>ROUND(G69*5%,)</f>
        <v>17916</v>
      </c>
      <c r="L69" s="16"/>
      <c r="M69" s="16"/>
      <c r="N69" s="122">
        <f>H69</f>
        <v>64496</v>
      </c>
      <c r="O69" s="16"/>
      <c r="P69" s="61">
        <f t="shared" si="81"/>
        <v>333231</v>
      </c>
      <c r="Q69" s="16" t="s">
        <v>128</v>
      </c>
      <c r="R69" s="16">
        <v>400000</v>
      </c>
      <c r="S69" s="16">
        <f t="shared" si="79"/>
        <v>8000</v>
      </c>
      <c r="T69" s="16">
        <f t="shared" si="75"/>
        <v>392000</v>
      </c>
      <c r="U69" s="12" t="s">
        <v>127</v>
      </c>
      <c r="V69" s="16"/>
    </row>
    <row r="70" spans="1:22" x14ac:dyDescent="0.25">
      <c r="A70" s="73">
        <v>59514</v>
      </c>
      <c r="B70" s="13" t="s">
        <v>202</v>
      </c>
      <c r="C70" s="156"/>
      <c r="D70" s="20">
        <v>25</v>
      </c>
      <c r="E70" s="16">
        <f>M65</f>
        <v>66998.7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22">
        <f>E70</f>
        <v>66998.7</v>
      </c>
      <c r="Q70" s="16" t="s">
        <v>218</v>
      </c>
      <c r="R70" s="16">
        <v>400000</v>
      </c>
      <c r="S70" s="16">
        <f t="shared" ref="S70:S71" si="83">R70*$S$6</f>
        <v>8000</v>
      </c>
      <c r="T70" s="16">
        <f t="shared" ref="T70:T71" si="84">R70-S70</f>
        <v>392000</v>
      </c>
      <c r="U70" s="12" t="s">
        <v>132</v>
      </c>
      <c r="V70" s="16"/>
    </row>
    <row r="71" spans="1:22" x14ac:dyDescent="0.25">
      <c r="A71" s="73">
        <v>59514</v>
      </c>
      <c r="B71" s="16" t="s">
        <v>42</v>
      </c>
      <c r="C71" s="153"/>
      <c r="D71" s="20">
        <v>50</v>
      </c>
      <c r="E71" s="16">
        <f>N68</f>
        <v>124031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22">
        <f>E71</f>
        <v>124031</v>
      </c>
      <c r="Q71" s="16" t="s">
        <v>217</v>
      </c>
      <c r="R71" s="16">
        <v>100000</v>
      </c>
      <c r="S71" s="16">
        <f t="shared" si="83"/>
        <v>2000</v>
      </c>
      <c r="T71" s="16">
        <f t="shared" si="84"/>
        <v>98000</v>
      </c>
      <c r="U71" s="12" t="s">
        <v>216</v>
      </c>
      <c r="V71" s="16"/>
    </row>
    <row r="72" spans="1:22" x14ac:dyDescent="0.25">
      <c r="A72" s="73">
        <v>59514</v>
      </c>
      <c r="B72" s="16" t="s">
        <v>117</v>
      </c>
      <c r="C72" s="153"/>
      <c r="D72" s="20">
        <v>61</v>
      </c>
      <c r="E72" s="16">
        <f>N69</f>
        <v>64496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22">
        <f>E72</f>
        <v>64496</v>
      </c>
      <c r="Q72" s="16"/>
      <c r="R72" s="16">
        <v>400000</v>
      </c>
      <c r="S72" s="16">
        <v>8000</v>
      </c>
      <c r="T72" s="16">
        <v>392000</v>
      </c>
      <c r="U72" s="12" t="s">
        <v>406</v>
      </c>
      <c r="V72" s="16"/>
    </row>
    <row r="73" spans="1:22" x14ac:dyDescent="0.25">
      <c r="A73" s="73">
        <v>59514</v>
      </c>
      <c r="B73" s="16" t="s">
        <v>117</v>
      </c>
      <c r="C73" s="153"/>
      <c r="D73" s="20">
        <v>25</v>
      </c>
      <c r="E73" s="16">
        <f>N65</f>
        <v>120598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22">
        <f>E73</f>
        <v>120598</v>
      </c>
      <c r="Q73" s="16"/>
      <c r="R73" s="16"/>
      <c r="S73" s="16"/>
      <c r="T73" s="16"/>
      <c r="U73" s="78"/>
      <c r="V73" s="16"/>
    </row>
    <row r="74" spans="1:22" ht="31.5" x14ac:dyDescent="0.25">
      <c r="A74" s="73">
        <v>59514</v>
      </c>
      <c r="B74" s="13" t="s">
        <v>448</v>
      </c>
      <c r="C74" s="153">
        <v>45565</v>
      </c>
      <c r="D74" s="20">
        <v>57</v>
      </c>
      <c r="E74" s="16">
        <v>358312.5</v>
      </c>
      <c r="F74" s="16">
        <v>208785.9</v>
      </c>
      <c r="G74" s="16">
        <f t="shared" ref="G74" si="85">E74-F74</f>
        <v>149526.6</v>
      </c>
      <c r="H74" s="16">
        <f>ROUND(G74*18%,)</f>
        <v>26915</v>
      </c>
      <c r="I74" s="16">
        <f>ROUND(G74+H74,)</f>
        <v>176442</v>
      </c>
      <c r="J74" s="16">
        <f>ROUND(G74*$J$6,)</f>
        <v>2991</v>
      </c>
      <c r="K74" s="16">
        <f>ROUND(G74*5%,)</f>
        <v>7476</v>
      </c>
      <c r="L74" s="16"/>
      <c r="M74" s="16"/>
      <c r="N74" s="122">
        <f>H74</f>
        <v>26915</v>
      </c>
      <c r="O74" s="16"/>
      <c r="P74" s="61">
        <f t="shared" ref="P74" si="86">I74-SUM(J74:O74)</f>
        <v>139060</v>
      </c>
      <c r="Q74" s="16"/>
      <c r="R74" s="16"/>
      <c r="S74" s="16"/>
      <c r="T74" s="16"/>
      <c r="U74" s="78"/>
      <c r="V74" s="16"/>
    </row>
    <row r="75" spans="1:22" ht="15" customHeight="1" x14ac:dyDescent="0.25">
      <c r="A75" s="73">
        <v>59514</v>
      </c>
      <c r="B75" s="16" t="s">
        <v>118</v>
      </c>
      <c r="C75" s="153"/>
      <c r="D75" s="20">
        <v>57</v>
      </c>
      <c r="E75" s="16">
        <f>N74</f>
        <v>26915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2">
        <f>E75</f>
        <v>26915</v>
      </c>
      <c r="Q75" s="16"/>
      <c r="R75" s="16"/>
      <c r="S75" s="16"/>
      <c r="T75" s="16"/>
      <c r="U75" s="78"/>
      <c r="V75" s="16"/>
    </row>
    <row r="76" spans="1:22" x14ac:dyDescent="0.25">
      <c r="A76" s="73">
        <v>59514</v>
      </c>
      <c r="B76" s="13" t="s">
        <v>392</v>
      </c>
      <c r="C76" s="156">
        <v>45352</v>
      </c>
      <c r="D76" s="20">
        <v>68</v>
      </c>
      <c r="E76" s="16">
        <v>136577.70000000001</v>
      </c>
      <c r="F76" s="16">
        <v>0</v>
      </c>
      <c r="G76" s="16">
        <f t="shared" ref="G76" si="87">E76-F76</f>
        <v>136577.70000000001</v>
      </c>
      <c r="H76" s="16">
        <f>ROUND(G76*18%,)</f>
        <v>24584</v>
      </c>
      <c r="I76" s="16">
        <f>ROUND(G76+H76,)</f>
        <v>161162</v>
      </c>
      <c r="J76" s="16">
        <f>G76*2%</f>
        <v>2731.5540000000001</v>
      </c>
      <c r="K76" s="16">
        <f>ROUND(G76*5%,)</f>
        <v>6829</v>
      </c>
      <c r="L76" s="16"/>
      <c r="M76" s="16"/>
      <c r="N76" s="122">
        <f>H76</f>
        <v>24584</v>
      </c>
      <c r="O76" s="16"/>
      <c r="P76" s="16">
        <f t="shared" ref="P76" si="88">I76-SUM(J76:O76)</f>
        <v>127017.446</v>
      </c>
      <c r="Q76" s="16"/>
      <c r="R76" s="16"/>
      <c r="S76" s="16"/>
      <c r="T76" s="16"/>
      <c r="U76" s="78"/>
      <c r="V76" s="16"/>
    </row>
    <row r="77" spans="1:22" ht="15" customHeight="1" x14ac:dyDescent="0.25">
      <c r="A77" s="73">
        <v>59514</v>
      </c>
      <c r="B77" s="13" t="s">
        <v>42</v>
      </c>
      <c r="C77" s="156"/>
      <c r="D77" s="20">
        <v>68</v>
      </c>
      <c r="E77" s="16">
        <f>N76</f>
        <v>24584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22">
        <f>E77</f>
        <v>24584</v>
      </c>
      <c r="Q77" s="16"/>
      <c r="R77" s="16"/>
      <c r="S77" s="16"/>
      <c r="T77" s="16"/>
      <c r="U77" s="78"/>
      <c r="V77" s="16"/>
    </row>
    <row r="78" spans="1:22" x14ac:dyDescent="0.25">
      <c r="A78" s="73">
        <v>59514</v>
      </c>
      <c r="B78" s="16"/>
      <c r="C78" s="153"/>
      <c r="D78" s="20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78"/>
      <c r="V78" s="16"/>
    </row>
    <row r="79" spans="1:22" x14ac:dyDescent="0.25">
      <c r="A79" s="73">
        <v>59515</v>
      </c>
      <c r="B79" s="74"/>
      <c r="C79" s="154"/>
      <c r="D79" s="116"/>
      <c r="E79" s="74"/>
      <c r="F79" s="74"/>
      <c r="G79" s="74"/>
      <c r="H79" s="75"/>
      <c r="I79" s="74"/>
      <c r="J79" s="75"/>
      <c r="K79" s="75"/>
      <c r="L79" s="75"/>
      <c r="M79" s="75"/>
      <c r="N79" s="75"/>
      <c r="O79" s="75"/>
      <c r="P79" s="74"/>
      <c r="Q79" s="74"/>
      <c r="R79" s="74"/>
      <c r="S79" s="75"/>
      <c r="T79" s="74"/>
      <c r="U79" s="74"/>
      <c r="V79" s="74"/>
    </row>
    <row r="80" spans="1:22" x14ac:dyDescent="0.25">
      <c r="A80" s="73">
        <v>59515</v>
      </c>
      <c r="B80" s="13" t="s">
        <v>465</v>
      </c>
      <c r="C80" s="155">
        <v>45210</v>
      </c>
      <c r="D80" s="20">
        <v>15</v>
      </c>
      <c r="E80" s="16">
        <v>130500</v>
      </c>
      <c r="F80" s="16">
        <v>0</v>
      </c>
      <c r="G80" s="16">
        <f t="shared" ref="G80" si="89">E80-F80</f>
        <v>130500</v>
      </c>
      <c r="H80" s="16">
        <f>ROUND(G80*18%,)</f>
        <v>23490</v>
      </c>
      <c r="I80" s="16">
        <f>ROUND(G80+H80,)</f>
        <v>153990</v>
      </c>
      <c r="J80" s="16">
        <f>ROUND(G80*$J$6,)</f>
        <v>2610</v>
      </c>
      <c r="K80" s="16">
        <f>ROUND(G80*5%,)</f>
        <v>6525</v>
      </c>
      <c r="L80" s="16"/>
      <c r="M80" s="16"/>
      <c r="N80" s="16">
        <f>H80</f>
        <v>23490</v>
      </c>
      <c r="O80" s="16">
        <v>0</v>
      </c>
      <c r="P80" s="61">
        <f t="shared" ref="P80" si="90">I80-SUM(J80:O80)</f>
        <v>121365</v>
      </c>
      <c r="Q80" s="16" t="s">
        <v>114</v>
      </c>
      <c r="R80" s="16">
        <v>200000</v>
      </c>
      <c r="S80" s="16">
        <f t="shared" ref="S80:S81" si="91">R80*$S$6</f>
        <v>4000</v>
      </c>
      <c r="T80" s="16">
        <f>R80-S80</f>
        <v>196000</v>
      </c>
      <c r="U80" s="78" t="s">
        <v>113</v>
      </c>
      <c r="V80" s="16">
        <f>SUM(P80:P87)-SUM(T80:T87)</f>
        <v>-965215</v>
      </c>
    </row>
    <row r="81" spans="1:22" x14ac:dyDescent="0.25">
      <c r="A81" s="73">
        <v>59515</v>
      </c>
      <c r="B81" s="13"/>
      <c r="C81" s="155">
        <v>45293</v>
      </c>
      <c r="D81" s="20">
        <v>35</v>
      </c>
      <c r="E81" s="16">
        <v>261000</v>
      </c>
      <c r="F81" s="16">
        <v>0</v>
      </c>
      <c r="G81" s="16">
        <f t="shared" ref="G81" si="92">E81-F81</f>
        <v>261000</v>
      </c>
      <c r="H81" s="16">
        <f>ROUND(G81*18%,)</f>
        <v>46980</v>
      </c>
      <c r="I81" s="16">
        <f>ROUND(G81+H81,)</f>
        <v>307980</v>
      </c>
      <c r="J81" s="16">
        <f t="shared" ref="J81:J82" si="93">ROUND(G81*$J$6,)</f>
        <v>5220</v>
      </c>
      <c r="K81" s="16">
        <f>ROUND(G81*5%,)</f>
        <v>13050</v>
      </c>
      <c r="L81" s="12"/>
      <c r="M81" s="122">
        <f>G81*10%</f>
        <v>26100</v>
      </c>
      <c r="N81" s="122">
        <f>H81</f>
        <v>46980</v>
      </c>
      <c r="O81" s="16">
        <v>0</v>
      </c>
      <c r="P81" s="61">
        <f t="shared" ref="P81" si="94">I81-SUM(J81:O81)</f>
        <v>216630</v>
      </c>
      <c r="Q81" s="16" t="s">
        <v>75</v>
      </c>
      <c r="R81" s="16">
        <v>100000</v>
      </c>
      <c r="S81" s="16">
        <f t="shared" si="91"/>
        <v>2000</v>
      </c>
      <c r="T81" s="16">
        <f t="shared" ref="T81:T84" si="95">R81-S81</f>
        <v>98000</v>
      </c>
      <c r="U81" s="12" t="s">
        <v>407</v>
      </c>
      <c r="V81" s="16"/>
    </row>
    <row r="82" spans="1:22" x14ac:dyDescent="0.25">
      <c r="A82" s="73">
        <v>59515</v>
      </c>
      <c r="B82" s="13"/>
      <c r="C82" s="155">
        <v>45312</v>
      </c>
      <c r="D82" s="20">
        <v>37</v>
      </c>
      <c r="E82" s="16">
        <v>261000</v>
      </c>
      <c r="F82" s="16">
        <v>0</v>
      </c>
      <c r="G82" s="16">
        <f t="shared" ref="G82" si="96">E82-F82</f>
        <v>261000</v>
      </c>
      <c r="H82" s="16">
        <f>ROUND(G82*18%,)</f>
        <v>46980</v>
      </c>
      <c r="I82" s="16">
        <f>ROUND(G82+H82,)</f>
        <v>307980</v>
      </c>
      <c r="J82" s="16">
        <f t="shared" si="93"/>
        <v>5220</v>
      </c>
      <c r="K82" s="16">
        <f>ROUND(G82*5%,)</f>
        <v>13050</v>
      </c>
      <c r="L82" s="77"/>
      <c r="M82" s="122">
        <f>G82*10%</f>
        <v>26100</v>
      </c>
      <c r="N82" s="122">
        <f>H82</f>
        <v>46980</v>
      </c>
      <c r="O82" s="16">
        <v>0</v>
      </c>
      <c r="P82" s="61">
        <f t="shared" ref="P82" si="97">I82-SUM(J82:O82)</f>
        <v>216630</v>
      </c>
      <c r="Q82" s="16" t="s">
        <v>88</v>
      </c>
      <c r="R82" s="16">
        <v>100000</v>
      </c>
      <c r="S82" s="16">
        <f t="shared" ref="S82:S85" si="98">R82*$S$6</f>
        <v>2000</v>
      </c>
      <c r="T82" s="16">
        <f t="shared" si="95"/>
        <v>98000</v>
      </c>
      <c r="U82" s="12" t="s">
        <v>86</v>
      </c>
      <c r="V82" s="16"/>
    </row>
    <row r="83" spans="1:22" x14ac:dyDescent="0.25">
      <c r="A83" s="73">
        <v>59515</v>
      </c>
      <c r="B83" s="13" t="s">
        <v>156</v>
      </c>
      <c r="C83" s="155">
        <v>45335</v>
      </c>
      <c r="D83" s="20">
        <v>37</v>
      </c>
      <c r="E83" s="16">
        <f>H81+H82</f>
        <v>93960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22">
        <f>E83</f>
        <v>93960</v>
      </c>
      <c r="Q83" s="16" t="s">
        <v>89</v>
      </c>
      <c r="R83" s="16">
        <v>200000</v>
      </c>
      <c r="S83" s="16">
        <f t="shared" si="98"/>
        <v>4000</v>
      </c>
      <c r="T83" s="16">
        <f t="shared" si="95"/>
        <v>196000</v>
      </c>
      <c r="U83" s="12" t="s">
        <v>87</v>
      </c>
      <c r="V83" s="16"/>
    </row>
    <row r="84" spans="1:22" x14ac:dyDescent="0.25">
      <c r="A84" s="73">
        <v>59515</v>
      </c>
      <c r="B84" s="13" t="s">
        <v>247</v>
      </c>
      <c r="C84" s="155"/>
      <c r="D84" s="20" t="s">
        <v>145</v>
      </c>
      <c r="E84" s="16">
        <f>M81+M82</f>
        <v>52200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22">
        <f>E84</f>
        <v>52200</v>
      </c>
      <c r="Q84" s="16" t="s">
        <v>116</v>
      </c>
      <c r="R84" s="16">
        <v>100000</v>
      </c>
      <c r="S84" s="16">
        <f t="shared" si="98"/>
        <v>2000</v>
      </c>
      <c r="T84" s="16">
        <f t="shared" si="95"/>
        <v>98000</v>
      </c>
      <c r="U84" s="12" t="s">
        <v>115</v>
      </c>
      <c r="V84" s="16"/>
    </row>
    <row r="85" spans="1:22" x14ac:dyDescent="0.25">
      <c r="A85" s="73">
        <v>59515</v>
      </c>
      <c r="B85" s="13"/>
      <c r="C85" s="155"/>
      <c r="D85" s="20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>
        <v>500000</v>
      </c>
      <c r="S85" s="16">
        <f t="shared" si="98"/>
        <v>10000</v>
      </c>
      <c r="T85" s="16">
        <v>490000</v>
      </c>
      <c r="U85" s="12" t="s">
        <v>285</v>
      </c>
      <c r="V85" s="16"/>
    </row>
    <row r="86" spans="1:22" x14ac:dyDescent="0.25">
      <c r="A86" s="73">
        <v>59515</v>
      </c>
      <c r="B86" s="13"/>
      <c r="C86" s="155"/>
      <c r="D86" s="20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>
        <v>500000</v>
      </c>
      <c r="S86" s="16">
        <f t="shared" ref="S86" si="99">R86*$S$6</f>
        <v>10000</v>
      </c>
      <c r="T86" s="16">
        <v>490000</v>
      </c>
      <c r="U86" s="12" t="s">
        <v>318</v>
      </c>
      <c r="V86" s="16"/>
    </row>
    <row r="87" spans="1:22" x14ac:dyDescent="0.25">
      <c r="A87" s="73">
        <v>59515</v>
      </c>
      <c r="B87" s="13"/>
      <c r="C87" s="155"/>
      <c r="D87" s="20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2"/>
      <c r="V87" s="16"/>
    </row>
    <row r="88" spans="1:22" x14ac:dyDescent="0.25">
      <c r="A88" s="73">
        <v>60549</v>
      </c>
      <c r="B88" s="74"/>
      <c r="C88" s="154"/>
      <c r="D88" s="116"/>
      <c r="E88" s="74"/>
      <c r="F88" s="74"/>
      <c r="G88" s="74"/>
      <c r="H88" s="75"/>
      <c r="I88" s="74"/>
      <c r="J88" s="75"/>
      <c r="K88" s="75"/>
      <c r="L88" s="75"/>
      <c r="M88" s="75"/>
      <c r="N88" s="75"/>
      <c r="O88" s="75"/>
      <c r="P88" s="74"/>
      <c r="Q88" s="74"/>
      <c r="R88" s="74"/>
      <c r="S88" s="75"/>
      <c r="T88" s="74"/>
      <c r="U88" s="74"/>
      <c r="V88" s="74"/>
    </row>
    <row r="89" spans="1:22" x14ac:dyDescent="0.25">
      <c r="A89" s="73">
        <v>60549</v>
      </c>
      <c r="B89" s="13" t="s">
        <v>470</v>
      </c>
      <c r="C89" s="155">
        <v>45293</v>
      </c>
      <c r="D89" s="20">
        <v>34</v>
      </c>
      <c r="E89" s="16">
        <v>315000</v>
      </c>
      <c r="F89" s="16">
        <v>0</v>
      </c>
      <c r="G89" s="16">
        <f t="shared" ref="G89" si="100">E89-F89</f>
        <v>315000</v>
      </c>
      <c r="H89" s="16">
        <f>ROUND(G89*18%,)</f>
        <v>56700</v>
      </c>
      <c r="I89" s="16">
        <f>ROUND(G89+H89,)</f>
        <v>371700</v>
      </c>
      <c r="J89" s="16">
        <f>ROUND(G89*$J$6,)</f>
        <v>6300</v>
      </c>
      <c r="K89" s="16">
        <f>ROUND(G89*5%,)</f>
        <v>15750</v>
      </c>
      <c r="L89" s="16"/>
      <c r="M89" s="122">
        <f>G89*10%</f>
        <v>31500</v>
      </c>
      <c r="N89" s="122">
        <f>H89</f>
        <v>56700</v>
      </c>
      <c r="O89" s="16"/>
      <c r="P89" s="61">
        <f>I89-SUM(J89:O89)</f>
        <v>261450</v>
      </c>
      <c r="Q89" s="16" t="s">
        <v>68</v>
      </c>
      <c r="R89" s="16">
        <v>400000</v>
      </c>
      <c r="S89" s="16">
        <f t="shared" ref="S89" si="101">R89*$S$6</f>
        <v>8000</v>
      </c>
      <c r="T89" s="16">
        <f>R89-S89</f>
        <v>392000</v>
      </c>
      <c r="U89" s="12" t="s">
        <v>67</v>
      </c>
      <c r="V89" s="16">
        <f>SUM(P89:P101)-SUM(T89:T101)</f>
        <v>362137.83999999985</v>
      </c>
    </row>
    <row r="90" spans="1:22" x14ac:dyDescent="0.25">
      <c r="A90" s="73">
        <v>60549</v>
      </c>
      <c r="B90" s="13" t="s">
        <v>470</v>
      </c>
      <c r="C90" s="155">
        <v>45293</v>
      </c>
      <c r="D90" s="20">
        <v>33</v>
      </c>
      <c r="E90" s="16">
        <v>472500</v>
      </c>
      <c r="F90" s="16">
        <v>0</v>
      </c>
      <c r="G90" s="16">
        <f t="shared" ref="G90" si="102">E90-F90</f>
        <v>472500</v>
      </c>
      <c r="H90" s="16">
        <f>ROUND(G90*18%,)</f>
        <v>85050</v>
      </c>
      <c r="I90" s="16">
        <f>ROUND(G90+H90,)</f>
        <v>557550</v>
      </c>
      <c r="J90" s="16">
        <f t="shared" ref="J90:J91" si="103">ROUND(G90*$J$6,)</f>
        <v>9450</v>
      </c>
      <c r="K90" s="16">
        <f>ROUND(G90*5%,)</f>
        <v>23625</v>
      </c>
      <c r="L90" s="16"/>
      <c r="M90" s="16"/>
      <c r="N90" s="122">
        <f>H90</f>
        <v>85050</v>
      </c>
      <c r="O90" s="16"/>
      <c r="P90" s="61">
        <f>I90-SUM(J90:O90)</f>
        <v>439425</v>
      </c>
      <c r="Q90" s="16" t="s">
        <v>93</v>
      </c>
      <c r="R90" s="16">
        <v>500000</v>
      </c>
      <c r="S90" s="16">
        <f t="shared" ref="S90" si="104">R90*$S$6</f>
        <v>10000</v>
      </c>
      <c r="T90" s="16">
        <f t="shared" ref="T90:T91" si="105">R90-S90</f>
        <v>490000</v>
      </c>
      <c r="U90" s="16" t="s">
        <v>92</v>
      </c>
      <c r="V90" s="16"/>
    </row>
    <row r="91" spans="1:22" x14ac:dyDescent="0.25">
      <c r="A91" s="73">
        <v>60549</v>
      </c>
      <c r="B91" s="13" t="s">
        <v>470</v>
      </c>
      <c r="C91" s="155">
        <v>45312</v>
      </c>
      <c r="D91" s="20">
        <v>38</v>
      </c>
      <c r="E91" s="16">
        <v>472500</v>
      </c>
      <c r="F91" s="16">
        <v>0</v>
      </c>
      <c r="G91" s="16">
        <f t="shared" ref="G91" si="106">E91-F91</f>
        <v>472500</v>
      </c>
      <c r="H91" s="16">
        <f>ROUND(G91*18%,)</f>
        <v>85050</v>
      </c>
      <c r="I91" s="16">
        <f>ROUND(G91+H91,)</f>
        <v>557550</v>
      </c>
      <c r="J91" s="16">
        <f t="shared" si="103"/>
        <v>9450</v>
      </c>
      <c r="K91" s="16">
        <f>ROUND(G91*5%,)</f>
        <v>23625</v>
      </c>
      <c r="L91" s="16"/>
      <c r="M91" s="122">
        <f>G91*10%</f>
        <v>47250</v>
      </c>
      <c r="N91" s="122">
        <f>H91</f>
        <v>85050</v>
      </c>
      <c r="O91" s="16"/>
      <c r="P91" s="61">
        <f t="shared" ref="P91" si="107">I91-SUM(J91:O91)</f>
        <v>392175</v>
      </c>
      <c r="Q91" s="16" t="s">
        <v>253</v>
      </c>
      <c r="R91" s="16">
        <v>500000</v>
      </c>
      <c r="S91" s="16">
        <f t="shared" ref="S91" si="108">R91*$S$6</f>
        <v>10000</v>
      </c>
      <c r="T91" s="16">
        <f t="shared" si="105"/>
        <v>490000</v>
      </c>
      <c r="U91" s="16" t="s">
        <v>90</v>
      </c>
      <c r="V91" s="16"/>
    </row>
    <row r="92" spans="1:22" x14ac:dyDescent="0.25">
      <c r="A92" s="73">
        <v>60549</v>
      </c>
      <c r="B92" s="13" t="s">
        <v>156</v>
      </c>
      <c r="C92" s="155" t="s">
        <v>143</v>
      </c>
      <c r="D92" s="20">
        <v>38</v>
      </c>
      <c r="E92" s="16">
        <f>H89+H90+H91</f>
        <v>226800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2">
        <f>E92</f>
        <v>226800</v>
      </c>
      <c r="Q92" s="16" t="s">
        <v>254</v>
      </c>
      <c r="R92" s="16">
        <v>500000</v>
      </c>
      <c r="S92" s="16">
        <f t="shared" ref="S92:S93" si="109">R92*$S$6</f>
        <v>10000</v>
      </c>
      <c r="T92" s="16">
        <f t="shared" ref="T92:T93" si="110">R92-S92</f>
        <v>490000</v>
      </c>
      <c r="U92" s="16" t="s">
        <v>235</v>
      </c>
      <c r="V92" s="16"/>
    </row>
    <row r="93" spans="1:22" x14ac:dyDescent="0.25">
      <c r="A93" s="73">
        <v>60549</v>
      </c>
      <c r="B93" s="13" t="s">
        <v>470</v>
      </c>
      <c r="C93" s="155">
        <v>45362</v>
      </c>
      <c r="D93" s="20">
        <v>73</v>
      </c>
      <c r="E93" s="16">
        <v>315000</v>
      </c>
      <c r="F93" s="16">
        <v>0</v>
      </c>
      <c r="G93" s="16">
        <f t="shared" ref="G93:G94" si="111">E93-F93</f>
        <v>315000</v>
      </c>
      <c r="H93" s="16">
        <f>ROUND(G93*18%,)</f>
        <v>56700</v>
      </c>
      <c r="I93" s="16">
        <f>ROUND(G93+H93,)</f>
        <v>371700</v>
      </c>
      <c r="J93" s="16">
        <f>G93*2%</f>
        <v>6300</v>
      </c>
      <c r="K93" s="16">
        <f>ROUND(G93*5%,)</f>
        <v>15750</v>
      </c>
      <c r="L93" s="16"/>
      <c r="M93" s="16"/>
      <c r="N93" s="122">
        <f>H93</f>
        <v>56700</v>
      </c>
      <c r="O93" s="16"/>
      <c r="P93" s="122">
        <f>I93-SUM(J93:O93)</f>
        <v>292950</v>
      </c>
      <c r="Q93" s="16" t="s">
        <v>252</v>
      </c>
      <c r="R93" s="16">
        <v>300000</v>
      </c>
      <c r="S93" s="16">
        <f t="shared" si="109"/>
        <v>6000</v>
      </c>
      <c r="T93" s="16">
        <f t="shared" si="110"/>
        <v>294000</v>
      </c>
      <c r="U93" s="16" t="s">
        <v>251</v>
      </c>
      <c r="V93" s="16"/>
    </row>
    <row r="94" spans="1:22" x14ac:dyDescent="0.25">
      <c r="A94" s="73">
        <v>60549</v>
      </c>
      <c r="B94" s="13" t="s">
        <v>470</v>
      </c>
      <c r="C94" s="155">
        <v>45370</v>
      </c>
      <c r="D94" s="20">
        <v>78</v>
      </c>
      <c r="E94" s="16">
        <v>472500</v>
      </c>
      <c r="F94" s="16">
        <v>0</v>
      </c>
      <c r="G94" s="16">
        <f t="shared" si="111"/>
        <v>472500</v>
      </c>
      <c r="H94" s="16">
        <f>ROUND(G94*18%,)</f>
        <v>85050</v>
      </c>
      <c r="I94" s="16">
        <f>ROUND(G94+H94,)</f>
        <v>557550</v>
      </c>
      <c r="J94" s="16">
        <f>G94*2%</f>
        <v>9450</v>
      </c>
      <c r="K94" s="16">
        <f>ROUND(G94*5%,)</f>
        <v>23625</v>
      </c>
      <c r="L94" s="16"/>
      <c r="M94" s="16"/>
      <c r="N94" s="122">
        <f>H94</f>
        <v>85050</v>
      </c>
      <c r="O94" s="16"/>
      <c r="P94" s="61">
        <f>I94-SUM(J94:O94)</f>
        <v>439425</v>
      </c>
      <c r="Q94" s="16"/>
      <c r="R94" s="16">
        <v>300000</v>
      </c>
      <c r="S94" s="16">
        <v>6000</v>
      </c>
      <c r="T94" s="16">
        <v>294000</v>
      </c>
      <c r="U94" s="16" t="s">
        <v>260</v>
      </c>
      <c r="V94" s="16"/>
    </row>
    <row r="95" spans="1:22" x14ac:dyDescent="0.25">
      <c r="A95" s="73">
        <v>60549</v>
      </c>
      <c r="B95" s="13" t="s">
        <v>156</v>
      </c>
      <c r="C95" s="155"/>
      <c r="D95" s="20">
        <v>78</v>
      </c>
      <c r="E95" s="16">
        <f>N93+N94</f>
        <v>141750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22">
        <f>E95</f>
        <v>141750</v>
      </c>
      <c r="Q95" s="16"/>
      <c r="R95" s="16"/>
      <c r="S95" s="16"/>
      <c r="T95" s="16"/>
      <c r="U95" s="16"/>
      <c r="V95" s="16"/>
    </row>
    <row r="96" spans="1:22" x14ac:dyDescent="0.25">
      <c r="A96" s="73">
        <v>60549</v>
      </c>
      <c r="B96" s="13" t="s">
        <v>249</v>
      </c>
      <c r="C96" s="155"/>
      <c r="D96" s="20" t="s">
        <v>250</v>
      </c>
      <c r="E96" s="16">
        <f>M89+M91</f>
        <v>78750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61">
        <f>E96</f>
        <v>78750</v>
      </c>
      <c r="Q96" s="16"/>
      <c r="R96" s="16"/>
      <c r="S96" s="16"/>
      <c r="T96" s="16"/>
      <c r="U96" s="16"/>
      <c r="V96" s="16"/>
    </row>
    <row r="97" spans="1:22" x14ac:dyDescent="0.25">
      <c r="A97" s="73">
        <v>60549</v>
      </c>
      <c r="B97" s="13" t="s">
        <v>470</v>
      </c>
      <c r="C97" s="155">
        <v>45422</v>
      </c>
      <c r="D97" s="20" t="s">
        <v>284</v>
      </c>
      <c r="E97" s="16">
        <v>157500</v>
      </c>
      <c r="F97" s="16">
        <v>0</v>
      </c>
      <c r="G97" s="16">
        <f t="shared" ref="G97" si="112">E97-F97</f>
        <v>157500</v>
      </c>
      <c r="H97" s="16">
        <f>ROUND(G97*18%,)</f>
        <v>28350</v>
      </c>
      <c r="I97" s="16">
        <f>ROUND(G97+H97,)</f>
        <v>185850</v>
      </c>
      <c r="J97" s="16">
        <f>G97*2%</f>
        <v>3150</v>
      </c>
      <c r="K97" s="16">
        <f>ROUND(G97*5%,)</f>
        <v>7875</v>
      </c>
      <c r="L97" s="16"/>
      <c r="M97" s="16"/>
      <c r="N97" s="122">
        <f>H97</f>
        <v>28350</v>
      </c>
      <c r="O97" s="16"/>
      <c r="P97" s="61">
        <f>I97-SUM(J97:O97)</f>
        <v>146475</v>
      </c>
      <c r="Q97" s="16"/>
      <c r="R97" s="16"/>
      <c r="S97" s="16"/>
      <c r="T97" s="16"/>
      <c r="U97" s="16"/>
      <c r="V97" s="16"/>
    </row>
    <row r="98" spans="1:22" x14ac:dyDescent="0.25">
      <c r="A98" s="73">
        <v>60549</v>
      </c>
      <c r="B98" s="13" t="s">
        <v>156</v>
      </c>
      <c r="C98" s="155"/>
      <c r="D98" s="20" t="s">
        <v>284</v>
      </c>
      <c r="E98" s="16">
        <f>N97</f>
        <v>28350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22">
        <f>E98</f>
        <v>28350</v>
      </c>
      <c r="Q98" s="16"/>
      <c r="R98" s="16"/>
      <c r="S98" s="16"/>
      <c r="T98" s="16"/>
      <c r="U98" s="16"/>
      <c r="V98" s="16"/>
    </row>
    <row r="99" spans="1:22" x14ac:dyDescent="0.25">
      <c r="A99" s="73">
        <v>60549</v>
      </c>
      <c r="B99" s="13" t="s">
        <v>470</v>
      </c>
      <c r="C99" s="155">
        <v>45581</v>
      </c>
      <c r="D99" s="20">
        <v>63</v>
      </c>
      <c r="E99" s="16">
        <v>504000</v>
      </c>
      <c r="F99" s="16">
        <v>175542</v>
      </c>
      <c r="G99" s="16">
        <f t="shared" ref="G99" si="113">E99-F99</f>
        <v>328458</v>
      </c>
      <c r="H99" s="16">
        <f>ROUND(G99*18%,)</f>
        <v>59122</v>
      </c>
      <c r="I99" s="16">
        <f>ROUND(G99+H99,)</f>
        <v>387580</v>
      </c>
      <c r="J99" s="16">
        <f>G99*2%</f>
        <v>6569.16</v>
      </c>
      <c r="K99" s="16">
        <f>ROUND(G99*5%,)</f>
        <v>16423</v>
      </c>
      <c r="L99" s="16"/>
      <c r="M99" s="16"/>
      <c r="N99" s="122">
        <f>H99</f>
        <v>59122</v>
      </c>
      <c r="O99" s="16"/>
      <c r="P99" s="61">
        <f>I99-SUM(J99:O99)</f>
        <v>305465.83999999997</v>
      </c>
      <c r="Q99" s="16"/>
      <c r="R99" s="16"/>
      <c r="S99" s="16"/>
      <c r="T99" s="16"/>
      <c r="U99" s="16"/>
      <c r="V99" s="16"/>
    </row>
    <row r="100" spans="1:22" x14ac:dyDescent="0.25">
      <c r="A100" s="73">
        <v>60549</v>
      </c>
      <c r="B100" s="13" t="s">
        <v>156</v>
      </c>
      <c r="C100" s="155"/>
      <c r="D100" s="20">
        <v>63</v>
      </c>
      <c r="E100" s="16">
        <f>N99</f>
        <v>59122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22">
        <f>E100</f>
        <v>59122</v>
      </c>
      <c r="Q100" s="16"/>
      <c r="R100" s="16"/>
      <c r="S100" s="16"/>
      <c r="T100" s="16"/>
      <c r="U100" s="16"/>
      <c r="V100" s="16"/>
    </row>
    <row r="101" spans="1:22" x14ac:dyDescent="0.25">
      <c r="A101" s="73">
        <v>60549</v>
      </c>
      <c r="B101" s="13"/>
      <c r="C101" s="155"/>
      <c r="D101" s="20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x14ac:dyDescent="0.25">
      <c r="A102" s="73">
        <v>60550</v>
      </c>
      <c r="B102" s="74"/>
      <c r="C102" s="154"/>
      <c r="D102" s="116"/>
      <c r="E102" s="74"/>
      <c r="F102" s="74"/>
      <c r="G102" s="74"/>
      <c r="H102" s="75"/>
      <c r="I102" s="74"/>
      <c r="J102" s="75"/>
      <c r="K102" s="75"/>
      <c r="L102" s="75"/>
      <c r="M102" s="75"/>
      <c r="N102" s="75"/>
      <c r="O102" s="75"/>
      <c r="P102" s="74"/>
      <c r="Q102" s="74"/>
      <c r="R102" s="74"/>
      <c r="S102" s="75"/>
      <c r="T102" s="74"/>
      <c r="U102" s="74"/>
      <c r="V102" s="74"/>
    </row>
    <row r="103" spans="1:22" x14ac:dyDescent="0.25">
      <c r="A103" s="73">
        <v>60550</v>
      </c>
      <c r="B103" s="13" t="s">
        <v>449</v>
      </c>
      <c r="C103" s="155">
        <v>45422</v>
      </c>
      <c r="D103" s="20">
        <v>15</v>
      </c>
      <c r="E103" s="16">
        <v>551250</v>
      </c>
      <c r="F103" s="16">
        <v>0</v>
      </c>
      <c r="G103" s="16">
        <f t="shared" ref="G103" si="114">E103-F103</f>
        <v>551250</v>
      </c>
      <c r="H103" s="16">
        <f>ROUND(G103*18%,)</f>
        <v>99225</v>
      </c>
      <c r="I103" s="16">
        <f>ROUND(G103+H103,)</f>
        <v>650475</v>
      </c>
      <c r="J103" s="16">
        <f>G103*2%</f>
        <v>11025</v>
      </c>
      <c r="K103" s="16">
        <f>ROUND(G103*5%,)</f>
        <v>27563</v>
      </c>
      <c r="L103" s="16"/>
      <c r="M103" s="16">
        <v>0</v>
      </c>
      <c r="N103" s="122">
        <f>H103</f>
        <v>99225</v>
      </c>
      <c r="O103" s="16"/>
      <c r="P103" s="61">
        <f>I103-SUM(J103:O103)</f>
        <v>512662</v>
      </c>
      <c r="Q103" s="16" t="s">
        <v>66</v>
      </c>
      <c r="R103" s="16">
        <v>400000</v>
      </c>
      <c r="S103" s="16">
        <f t="shared" ref="S103" si="115">R103*$S$6</f>
        <v>8000</v>
      </c>
      <c r="T103" s="16">
        <f>R103-S103</f>
        <v>392000</v>
      </c>
      <c r="U103" s="12" t="s">
        <v>65</v>
      </c>
      <c r="V103" s="16">
        <f>SUM(P103:P109)-SUM(T103:T109)</f>
        <v>415394.39999999991</v>
      </c>
    </row>
    <row r="104" spans="1:22" x14ac:dyDescent="0.25">
      <c r="A104" s="73">
        <v>60550</v>
      </c>
      <c r="B104" s="13" t="s">
        <v>449</v>
      </c>
      <c r="C104" s="153">
        <v>45454</v>
      </c>
      <c r="D104" s="115">
        <v>24</v>
      </c>
      <c r="E104" s="16">
        <v>918750</v>
      </c>
      <c r="F104" s="16"/>
      <c r="G104" s="16">
        <f t="shared" ref="G104" si="116">E104-F104</f>
        <v>918750</v>
      </c>
      <c r="H104" s="16">
        <f>ROUND(G104*18%,)</f>
        <v>165375</v>
      </c>
      <c r="I104" s="16">
        <f>ROUND(G104+H104,)</f>
        <v>1084125</v>
      </c>
      <c r="J104" s="16">
        <f>G104*2%</f>
        <v>18375</v>
      </c>
      <c r="K104" s="16">
        <f>ROUND(G104*5%,)</f>
        <v>45938</v>
      </c>
      <c r="L104" s="16"/>
      <c r="M104" s="16">
        <v>0</v>
      </c>
      <c r="N104" s="122">
        <f>H104</f>
        <v>165375</v>
      </c>
      <c r="O104" s="16"/>
      <c r="P104" s="61">
        <f>I104-SUM(J104:O104)</f>
        <v>854437</v>
      </c>
      <c r="Q104" s="16" t="s">
        <v>374</v>
      </c>
      <c r="R104" s="16">
        <v>500000</v>
      </c>
      <c r="S104" s="16">
        <v>10000</v>
      </c>
      <c r="T104" s="16">
        <v>490000</v>
      </c>
      <c r="U104" s="12" t="s">
        <v>272</v>
      </c>
      <c r="V104" s="16"/>
    </row>
    <row r="105" spans="1:22" x14ac:dyDescent="0.25">
      <c r="A105" s="73">
        <v>60550</v>
      </c>
      <c r="B105" s="13" t="s">
        <v>229</v>
      </c>
      <c r="C105" s="155"/>
      <c r="D105" s="115" t="s">
        <v>276</v>
      </c>
      <c r="E105" s="16">
        <f>N103+N104</f>
        <v>264600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22">
        <f>E105</f>
        <v>264600</v>
      </c>
      <c r="Q105" s="16" t="s">
        <v>375</v>
      </c>
      <c r="R105" s="16">
        <v>400000</v>
      </c>
      <c r="S105" s="16">
        <v>80000</v>
      </c>
      <c r="T105" s="16">
        <v>392000</v>
      </c>
      <c r="U105" s="16" t="s">
        <v>283</v>
      </c>
      <c r="V105" s="16"/>
    </row>
    <row r="106" spans="1:22" x14ac:dyDescent="0.25">
      <c r="A106" s="73">
        <v>60550</v>
      </c>
      <c r="B106" s="13" t="s">
        <v>449</v>
      </c>
      <c r="C106" s="155">
        <v>45565</v>
      </c>
      <c r="D106" s="115">
        <v>55</v>
      </c>
      <c r="E106" s="16">
        <v>1102500</v>
      </c>
      <c r="F106" s="16"/>
      <c r="G106" s="16">
        <f t="shared" ref="G106" si="117">E106-F106</f>
        <v>1102500</v>
      </c>
      <c r="H106" s="16">
        <f>ROUND(G106*18%,)</f>
        <v>198450</v>
      </c>
      <c r="I106" s="16">
        <f>ROUND(G106+H106,)</f>
        <v>1300950</v>
      </c>
      <c r="J106" s="16">
        <f>G106*2%</f>
        <v>22050</v>
      </c>
      <c r="K106" s="16">
        <f>ROUND(G106*5%,)</f>
        <v>55125</v>
      </c>
      <c r="L106" s="16"/>
      <c r="M106" s="16">
        <v>0</v>
      </c>
      <c r="N106" s="122">
        <f>H106</f>
        <v>198450</v>
      </c>
      <c r="O106" s="16"/>
      <c r="P106" s="61">
        <f>I106-SUM(J106:O106)</f>
        <v>1025325</v>
      </c>
      <c r="Q106" s="16" t="s">
        <v>376</v>
      </c>
      <c r="R106" s="16">
        <v>200000</v>
      </c>
      <c r="S106" s="16">
        <v>4000</v>
      </c>
      <c r="T106" s="16">
        <v>196000</v>
      </c>
      <c r="U106" s="16" t="s">
        <v>310</v>
      </c>
      <c r="V106" s="16"/>
    </row>
    <row r="107" spans="1:22" x14ac:dyDescent="0.25">
      <c r="A107" s="73">
        <v>60550</v>
      </c>
      <c r="B107" s="16" t="s">
        <v>229</v>
      </c>
      <c r="C107" s="153"/>
      <c r="D107" s="115">
        <v>55</v>
      </c>
      <c r="E107" s="16">
        <f>N106</f>
        <v>198450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22">
        <f>E107</f>
        <v>198450</v>
      </c>
      <c r="Q107" s="16"/>
      <c r="R107" s="16"/>
      <c r="S107" s="16"/>
      <c r="T107" s="16">
        <v>400000</v>
      </c>
      <c r="U107" s="16" t="s">
        <v>410</v>
      </c>
      <c r="V107" s="16"/>
    </row>
    <row r="108" spans="1:22" x14ac:dyDescent="0.25">
      <c r="A108" s="73">
        <v>60550</v>
      </c>
      <c r="B108" s="13" t="s">
        <v>449</v>
      </c>
      <c r="C108" s="155">
        <v>45744</v>
      </c>
      <c r="D108" s="115">
        <v>120</v>
      </c>
      <c r="E108" s="16">
        <v>588000</v>
      </c>
      <c r="F108" s="16">
        <v>213770</v>
      </c>
      <c r="G108" s="16">
        <f t="shared" ref="G108" si="118">E108-F108</f>
        <v>374230</v>
      </c>
      <c r="H108" s="16">
        <f>ROUND(G108*18%,)</f>
        <v>67361</v>
      </c>
      <c r="I108" s="16">
        <f>ROUND(G108+H108,)</f>
        <v>441591</v>
      </c>
      <c r="J108" s="16">
        <f>G108*2%</f>
        <v>7484.6</v>
      </c>
      <c r="K108" s="16">
        <f>ROUND(G108*5%,)</f>
        <v>18712</v>
      </c>
      <c r="L108" s="16"/>
      <c r="M108" s="16">
        <v>0</v>
      </c>
      <c r="N108" s="122">
        <f>H108</f>
        <v>67361</v>
      </c>
      <c r="O108" s="16"/>
      <c r="P108" s="61">
        <f>I108-SUM(J108:O108)</f>
        <v>348033.4</v>
      </c>
      <c r="Q108" s="16"/>
      <c r="R108" s="16"/>
      <c r="S108" s="16"/>
      <c r="T108" s="16">
        <v>985474</v>
      </c>
      <c r="U108" s="16" t="s">
        <v>414</v>
      </c>
      <c r="V108" s="16"/>
    </row>
    <row r="109" spans="1:22" x14ac:dyDescent="0.25">
      <c r="A109" s="73">
        <v>60550</v>
      </c>
      <c r="B109" s="16" t="s">
        <v>229</v>
      </c>
      <c r="C109" s="153"/>
      <c r="D109" s="115">
        <v>120</v>
      </c>
      <c r="E109" s="16">
        <f>N108</f>
        <v>67361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22">
        <f>E109</f>
        <v>67361</v>
      </c>
      <c r="Q109" s="16"/>
      <c r="R109" s="16"/>
      <c r="S109" s="16"/>
      <c r="T109" s="16"/>
      <c r="U109" s="16"/>
      <c r="V109" s="16"/>
    </row>
    <row r="110" spans="1:22" x14ac:dyDescent="0.25">
      <c r="A110" s="73">
        <v>60705</v>
      </c>
      <c r="B110" s="74"/>
      <c r="C110" s="154"/>
      <c r="D110" s="116"/>
      <c r="E110" s="74"/>
      <c r="F110" s="74"/>
      <c r="G110" s="74"/>
      <c r="H110" s="75"/>
      <c r="I110" s="74"/>
      <c r="J110" s="75"/>
      <c r="K110" s="75"/>
      <c r="L110" s="75"/>
      <c r="M110" s="75"/>
      <c r="N110" s="75"/>
      <c r="O110" s="75"/>
      <c r="P110" s="74"/>
      <c r="Q110" s="74"/>
      <c r="R110" s="74"/>
      <c r="S110" s="75"/>
      <c r="T110" s="74"/>
      <c r="U110" s="74"/>
      <c r="V110" s="74"/>
    </row>
    <row r="111" spans="1:22" ht="31.5" x14ac:dyDescent="0.25">
      <c r="A111" s="73">
        <v>60705</v>
      </c>
      <c r="B111" s="13" t="s">
        <v>471</v>
      </c>
      <c r="C111" s="155">
        <v>45422</v>
      </c>
      <c r="D111" s="20">
        <v>17</v>
      </c>
      <c r="E111" s="16">
        <v>396000</v>
      </c>
      <c r="F111" s="16">
        <v>0</v>
      </c>
      <c r="G111" s="16">
        <f t="shared" ref="G111:G112" si="119">E111-F111</f>
        <v>396000</v>
      </c>
      <c r="H111" s="16">
        <f>ROUND(G111*18%,)</f>
        <v>71280</v>
      </c>
      <c r="I111" s="16">
        <f>ROUND(G111+H111,)</f>
        <v>467280</v>
      </c>
      <c r="J111" s="16">
        <f>G111*2%</f>
        <v>7920</v>
      </c>
      <c r="K111" s="16">
        <f>ROUND(G111*5%,)</f>
        <v>19800</v>
      </c>
      <c r="L111" s="16"/>
      <c r="M111" s="16">
        <v>0</v>
      </c>
      <c r="N111" s="122">
        <f>H111</f>
        <v>71280</v>
      </c>
      <c r="O111" s="16"/>
      <c r="P111" s="61">
        <f>I111-SUM(J111:O111)</f>
        <v>368280</v>
      </c>
      <c r="Q111" s="16" t="s">
        <v>64</v>
      </c>
      <c r="R111" s="16">
        <v>400000</v>
      </c>
      <c r="S111" s="16">
        <f t="shared" ref="S111" si="120">R111*$S$6</f>
        <v>8000</v>
      </c>
      <c r="T111" s="16">
        <f>R111-S111</f>
        <v>392000</v>
      </c>
      <c r="U111" s="12" t="s">
        <v>63</v>
      </c>
      <c r="V111" s="16">
        <f>SUM(P111:P116)-SUM(T111:T116)</f>
        <v>44680</v>
      </c>
    </row>
    <row r="112" spans="1:22" ht="31.5" x14ac:dyDescent="0.25">
      <c r="A112" s="73">
        <v>60705</v>
      </c>
      <c r="B112" s="13" t="s">
        <v>471</v>
      </c>
      <c r="C112" s="155">
        <v>45453</v>
      </c>
      <c r="D112" s="115">
        <v>23</v>
      </c>
      <c r="E112" s="16">
        <v>594000</v>
      </c>
      <c r="F112" s="16"/>
      <c r="G112" s="16">
        <f t="shared" si="119"/>
        <v>594000</v>
      </c>
      <c r="H112" s="16">
        <f>ROUND(G112*18%,)</f>
        <v>106920</v>
      </c>
      <c r="I112" s="16">
        <f>ROUND(G112+H112,)</f>
        <v>700920</v>
      </c>
      <c r="J112" s="16">
        <f>G112*2%</f>
        <v>11880</v>
      </c>
      <c r="K112" s="16">
        <f>ROUND(G112*5%,)</f>
        <v>29700</v>
      </c>
      <c r="L112" s="16"/>
      <c r="M112" s="16">
        <v>0</v>
      </c>
      <c r="N112" s="122">
        <f>H112</f>
        <v>106920</v>
      </c>
      <c r="O112" s="16"/>
      <c r="P112" s="61">
        <f>I112-SUM(J112:O112)</f>
        <v>552420</v>
      </c>
      <c r="Q112" s="16"/>
      <c r="R112" s="16">
        <v>400000</v>
      </c>
      <c r="S112" s="16">
        <v>8000</v>
      </c>
      <c r="T112" s="16">
        <v>392000</v>
      </c>
      <c r="U112" s="16" t="s">
        <v>270</v>
      </c>
      <c r="V112" s="16"/>
    </row>
    <row r="113" spans="1:22" x14ac:dyDescent="0.25">
      <c r="A113" s="73">
        <v>60705</v>
      </c>
      <c r="B113" s="13" t="s">
        <v>229</v>
      </c>
      <c r="C113" s="155"/>
      <c r="D113" s="115" t="s">
        <v>275</v>
      </c>
      <c r="E113" s="16">
        <f>N111+N112</f>
        <v>178200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22">
        <f>E113</f>
        <v>178200</v>
      </c>
      <c r="Q113" s="16"/>
      <c r="R113" s="16">
        <v>300000</v>
      </c>
      <c r="S113" s="16">
        <v>600</v>
      </c>
      <c r="T113" s="16">
        <v>294000</v>
      </c>
      <c r="U113" s="16" t="s">
        <v>292</v>
      </c>
      <c r="V113" s="16"/>
    </row>
    <row r="114" spans="1:22" ht="31.5" x14ac:dyDescent="0.25">
      <c r="A114" s="73">
        <v>60705</v>
      </c>
      <c r="B114" s="13" t="s">
        <v>471</v>
      </c>
      <c r="C114" s="155">
        <v>45509</v>
      </c>
      <c r="D114" s="115">
        <v>41</v>
      </c>
      <c r="E114" s="16">
        <v>198000</v>
      </c>
      <c r="F114" s="16"/>
      <c r="G114" s="16">
        <f t="shared" ref="G114" si="121">E114-F114</f>
        <v>198000</v>
      </c>
      <c r="H114" s="16">
        <f>ROUND(G114*18%,)</f>
        <v>35640</v>
      </c>
      <c r="I114" s="16">
        <f>ROUND(G114+H114,)</f>
        <v>233640</v>
      </c>
      <c r="J114" s="16">
        <f>G114*2%</f>
        <v>3960</v>
      </c>
      <c r="K114" s="16">
        <f>ROUND(G114*5%,)</f>
        <v>9900</v>
      </c>
      <c r="L114" s="16"/>
      <c r="M114" s="16">
        <v>0</v>
      </c>
      <c r="N114" s="122">
        <f>H114</f>
        <v>35640</v>
      </c>
      <c r="O114" s="16"/>
      <c r="P114" s="61">
        <f>I114-SUM(J114:O114)</f>
        <v>184140</v>
      </c>
      <c r="Q114" s="16"/>
      <c r="R114" s="16">
        <v>200000</v>
      </c>
      <c r="S114" s="16">
        <v>4000</v>
      </c>
      <c r="T114" s="16">
        <v>196000</v>
      </c>
      <c r="U114" s="16" t="s">
        <v>309</v>
      </c>
      <c r="V114" s="16"/>
    </row>
    <row r="115" spans="1:22" x14ac:dyDescent="0.25">
      <c r="A115" s="73">
        <v>60705</v>
      </c>
      <c r="B115" s="13" t="s">
        <v>340</v>
      </c>
      <c r="C115" s="155"/>
      <c r="D115" s="115">
        <v>41</v>
      </c>
      <c r="E115" s="16">
        <f>N114</f>
        <v>35640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22">
        <f>E115</f>
        <v>35640</v>
      </c>
      <c r="Q115" s="16"/>
      <c r="R115" s="16"/>
      <c r="S115" s="16"/>
      <c r="T115" s="16"/>
      <c r="U115" s="16"/>
      <c r="V115" s="16"/>
    </row>
    <row r="116" spans="1:22" x14ac:dyDescent="0.25">
      <c r="A116" s="73">
        <v>60705</v>
      </c>
      <c r="B116" s="13"/>
      <c r="C116" s="155"/>
      <c r="D116" s="1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22"/>
      <c r="Q116" s="16"/>
      <c r="R116" s="16"/>
      <c r="S116" s="16"/>
      <c r="T116" s="16"/>
      <c r="U116" s="16"/>
      <c r="V116" s="16"/>
    </row>
    <row r="117" spans="1:22" x14ac:dyDescent="0.25">
      <c r="A117" s="73">
        <v>60706</v>
      </c>
      <c r="B117" s="74"/>
      <c r="C117" s="154"/>
      <c r="D117" s="116"/>
      <c r="E117" s="74"/>
      <c r="F117" s="74"/>
      <c r="G117" s="74"/>
      <c r="H117" s="75"/>
      <c r="I117" s="74"/>
      <c r="J117" s="75"/>
      <c r="K117" s="75"/>
      <c r="L117" s="75"/>
      <c r="M117" s="75"/>
      <c r="N117" s="75"/>
      <c r="O117" s="75"/>
      <c r="P117" s="74"/>
      <c r="Q117" s="74"/>
      <c r="R117" s="74"/>
      <c r="S117" s="75"/>
      <c r="T117" s="74"/>
      <c r="U117" s="74"/>
      <c r="V117" s="74"/>
    </row>
    <row r="118" spans="1:22" x14ac:dyDescent="0.25">
      <c r="A118" s="73">
        <v>60706</v>
      </c>
      <c r="B118" s="13" t="s">
        <v>472</v>
      </c>
      <c r="C118" s="155">
        <v>45293</v>
      </c>
      <c r="D118" s="20">
        <v>32</v>
      </c>
      <c r="E118" s="16">
        <v>525000</v>
      </c>
      <c r="F118" s="16">
        <v>0</v>
      </c>
      <c r="G118" s="16">
        <f t="shared" ref="G118:G119" si="122">E118-F118</f>
        <v>525000</v>
      </c>
      <c r="H118" s="16">
        <f>ROUND(G118*18%,)</f>
        <v>94500</v>
      </c>
      <c r="I118" s="16">
        <f>ROUND(G118+H118,)</f>
        <v>619500</v>
      </c>
      <c r="J118" s="16">
        <f>G118*2%</f>
        <v>10500</v>
      </c>
      <c r="K118" s="16">
        <f>ROUND(G118*5%,)</f>
        <v>26250</v>
      </c>
      <c r="L118" s="16"/>
      <c r="M118" s="122">
        <f>G118*10%</f>
        <v>52500</v>
      </c>
      <c r="N118" s="122">
        <f>H118</f>
        <v>94500</v>
      </c>
      <c r="O118" s="16"/>
      <c r="P118" s="61">
        <f>I118-SUM(J118:O118)</f>
        <v>435750</v>
      </c>
      <c r="Q118" s="16" t="s">
        <v>79</v>
      </c>
      <c r="R118" s="16">
        <v>400000</v>
      </c>
      <c r="S118" s="16">
        <f t="shared" ref="S118:S120" si="123">R118*$S$6</f>
        <v>8000</v>
      </c>
      <c r="T118" s="16">
        <f>R118-S118</f>
        <v>392000</v>
      </c>
      <c r="U118" s="12" t="s">
        <v>78</v>
      </c>
      <c r="V118" s="16">
        <f>SUM(P118:P125)-SUM(T118:T125)</f>
        <v>-279332.29600000009</v>
      </c>
    </row>
    <row r="119" spans="1:22" x14ac:dyDescent="0.25">
      <c r="A119" s="73">
        <v>60706</v>
      </c>
      <c r="B119" s="13" t="s">
        <v>472</v>
      </c>
      <c r="C119" s="155">
        <v>45312</v>
      </c>
      <c r="D119" s="20">
        <v>39</v>
      </c>
      <c r="E119" s="16">
        <v>350000</v>
      </c>
      <c r="F119" s="16">
        <v>0</v>
      </c>
      <c r="G119" s="16">
        <f t="shared" si="122"/>
        <v>350000</v>
      </c>
      <c r="H119" s="16">
        <f>ROUND(G119*18%,)</f>
        <v>63000</v>
      </c>
      <c r="I119" s="16">
        <f>ROUND(G119+H119,)</f>
        <v>413000</v>
      </c>
      <c r="J119" s="16">
        <f t="shared" ref="J119:J120" si="124">G119*2%</f>
        <v>7000</v>
      </c>
      <c r="K119" s="16">
        <f>ROUND(G119*5%,)</f>
        <v>17500</v>
      </c>
      <c r="L119" s="16"/>
      <c r="M119" s="122">
        <f>G119*10%</f>
        <v>35000</v>
      </c>
      <c r="N119" s="122">
        <f>H119</f>
        <v>63000</v>
      </c>
      <c r="O119" s="16"/>
      <c r="P119" s="61">
        <f>I119-SUM(J119:O119)</f>
        <v>290500</v>
      </c>
      <c r="Q119" s="16" t="s">
        <v>101</v>
      </c>
      <c r="R119" s="16">
        <v>400000</v>
      </c>
      <c r="S119" s="16">
        <f t="shared" ref="S119:S121" si="125">R119*$S$6</f>
        <v>8000</v>
      </c>
      <c r="T119" s="16">
        <f t="shared" ref="T119:T121" si="126">R119-S119</f>
        <v>392000</v>
      </c>
      <c r="U119" s="16" t="s">
        <v>100</v>
      </c>
      <c r="V119" s="16"/>
    </row>
    <row r="120" spans="1:22" x14ac:dyDescent="0.25">
      <c r="A120" s="73">
        <v>60706</v>
      </c>
      <c r="B120" s="13" t="s">
        <v>472</v>
      </c>
      <c r="C120" s="155">
        <v>45334</v>
      </c>
      <c r="D120" s="20">
        <v>56</v>
      </c>
      <c r="E120" s="16">
        <v>525000</v>
      </c>
      <c r="F120" s="16">
        <v>0</v>
      </c>
      <c r="G120" s="16">
        <f t="shared" ref="G120" si="127">E120-F120</f>
        <v>525000</v>
      </c>
      <c r="H120" s="16">
        <f>ROUND(G120*18%,)</f>
        <v>94500</v>
      </c>
      <c r="I120" s="16">
        <f>ROUND(G120+H120,)</f>
        <v>619500</v>
      </c>
      <c r="J120" s="16">
        <f t="shared" si="124"/>
        <v>10500</v>
      </c>
      <c r="K120" s="16">
        <f>ROUND(G120*5%,)</f>
        <v>26250</v>
      </c>
      <c r="L120" s="16"/>
      <c r="M120" s="16"/>
      <c r="N120" s="122">
        <f>H120</f>
        <v>94500</v>
      </c>
      <c r="O120" s="16"/>
      <c r="P120" s="61">
        <f>I120-SUM(J120:O120)</f>
        <v>488250</v>
      </c>
      <c r="Q120" s="16" t="s">
        <v>222</v>
      </c>
      <c r="R120" s="16">
        <v>400000</v>
      </c>
      <c r="S120" s="16">
        <f t="shared" si="123"/>
        <v>8000</v>
      </c>
      <c r="T120" s="16">
        <f t="shared" si="126"/>
        <v>392000</v>
      </c>
      <c r="U120" s="16" t="s">
        <v>400</v>
      </c>
      <c r="V120" s="16"/>
    </row>
    <row r="121" spans="1:22" x14ac:dyDescent="0.25">
      <c r="A121" s="73">
        <v>60706</v>
      </c>
      <c r="B121" s="13" t="s">
        <v>118</v>
      </c>
      <c r="C121" s="153">
        <v>45335</v>
      </c>
      <c r="D121" s="115" t="s">
        <v>138</v>
      </c>
      <c r="E121" s="16">
        <f>H118+H119</f>
        <v>157500</v>
      </c>
      <c r="F121" s="16">
        <v>0</v>
      </c>
      <c r="G121" s="16"/>
      <c r="H121" s="16">
        <f t="shared" ref="H121" si="128">ROUND(G121*18%,)</f>
        <v>0</v>
      </c>
      <c r="I121" s="16">
        <f t="shared" ref="I121" si="129">ROUND(G121+H121,)</f>
        <v>0</v>
      </c>
      <c r="J121" s="16">
        <f t="shared" ref="J121" si="130">G121*2%</f>
        <v>0</v>
      </c>
      <c r="K121" s="16">
        <f t="shared" ref="K121" si="131">ROUND(G121*5%,)</f>
        <v>0</v>
      </c>
      <c r="L121" s="16"/>
      <c r="M121" s="16">
        <f t="shared" ref="M121" si="132">G121*10%</f>
        <v>0</v>
      </c>
      <c r="N121" s="16">
        <f t="shared" ref="N121" si="133">H121</f>
        <v>0</v>
      </c>
      <c r="O121" s="16"/>
      <c r="P121" s="122">
        <f>E121</f>
        <v>157500</v>
      </c>
      <c r="Q121" s="16" t="s">
        <v>221</v>
      </c>
      <c r="R121" s="16">
        <v>400000</v>
      </c>
      <c r="S121" s="16">
        <f t="shared" si="125"/>
        <v>8000</v>
      </c>
      <c r="T121" s="16">
        <f t="shared" si="126"/>
        <v>392000</v>
      </c>
      <c r="U121" s="16" t="s">
        <v>137</v>
      </c>
      <c r="V121" s="16"/>
    </row>
    <row r="122" spans="1:22" x14ac:dyDescent="0.25">
      <c r="A122" s="73">
        <v>60706</v>
      </c>
      <c r="B122" s="13" t="s">
        <v>202</v>
      </c>
      <c r="C122" s="156"/>
      <c r="D122" s="115" t="s">
        <v>138</v>
      </c>
      <c r="E122" s="16">
        <f>M119+M118</f>
        <v>87500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22">
        <f>E122</f>
        <v>87500</v>
      </c>
      <c r="Q122" s="16" t="s">
        <v>220</v>
      </c>
      <c r="R122" s="16">
        <v>100000</v>
      </c>
      <c r="S122" s="16">
        <f t="shared" ref="S122" si="134">R122*$S$6</f>
        <v>2000</v>
      </c>
      <c r="T122" s="16">
        <f t="shared" ref="T122" si="135">R122-S122</f>
        <v>98000</v>
      </c>
      <c r="U122" s="16" t="s">
        <v>219</v>
      </c>
      <c r="V122" s="16"/>
    </row>
    <row r="123" spans="1:22" x14ac:dyDescent="0.25">
      <c r="A123" s="73">
        <v>60706</v>
      </c>
      <c r="B123" s="13" t="s">
        <v>118</v>
      </c>
      <c r="C123" s="156"/>
      <c r="D123" s="115">
        <v>56</v>
      </c>
      <c r="E123" s="16">
        <f>N120</f>
        <v>94500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22">
        <f>E123</f>
        <v>94500</v>
      </c>
      <c r="Q123" s="16"/>
      <c r="R123" s="16">
        <v>300000</v>
      </c>
      <c r="S123" s="16">
        <v>6000</v>
      </c>
      <c r="T123" s="16">
        <v>294000</v>
      </c>
      <c r="U123" s="16" t="s">
        <v>282</v>
      </c>
      <c r="V123" s="16"/>
    </row>
    <row r="124" spans="1:22" x14ac:dyDescent="0.25">
      <c r="A124" s="73">
        <v>60706</v>
      </c>
      <c r="B124" s="13" t="s">
        <v>392</v>
      </c>
      <c r="C124" s="156">
        <v>45352</v>
      </c>
      <c r="D124" s="20">
        <v>69</v>
      </c>
      <c r="E124" s="16">
        <v>114114.8</v>
      </c>
      <c r="F124" s="16">
        <v>0</v>
      </c>
      <c r="G124" s="16">
        <f t="shared" ref="G124" si="136">E124-F124</f>
        <v>114114.8</v>
      </c>
      <c r="H124" s="16">
        <f>ROUND(G124*18%,)</f>
        <v>20541</v>
      </c>
      <c r="I124" s="16">
        <f>ROUND(G124+H124,)</f>
        <v>134656</v>
      </c>
      <c r="J124" s="16">
        <f>G124*2%</f>
        <v>2282.2960000000003</v>
      </c>
      <c r="K124" s="16">
        <f>ROUND(G124*5%,)</f>
        <v>5706</v>
      </c>
      <c r="L124" s="16"/>
      <c r="M124" s="16"/>
      <c r="N124" s="122">
        <f>H124</f>
        <v>20541</v>
      </c>
      <c r="O124" s="16"/>
      <c r="P124" s="16">
        <f t="shared" ref="P124" si="137">I124-SUM(J124:O124)</f>
        <v>106126.704</v>
      </c>
      <c r="Q124" s="16"/>
      <c r="R124" s="16"/>
      <c r="S124" s="16"/>
      <c r="T124" s="16"/>
      <c r="U124" s="16"/>
      <c r="V124" s="16"/>
    </row>
    <row r="125" spans="1:22" x14ac:dyDescent="0.25">
      <c r="A125" s="73">
        <v>60706</v>
      </c>
      <c r="B125" s="13" t="s">
        <v>42</v>
      </c>
      <c r="C125" s="156"/>
      <c r="D125" s="20">
        <v>69</v>
      </c>
      <c r="E125" s="16">
        <f>N124</f>
        <v>20541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22">
        <f>E125</f>
        <v>20541</v>
      </c>
      <c r="Q125" s="16"/>
      <c r="R125" s="16"/>
      <c r="S125" s="16"/>
      <c r="T125" s="16"/>
      <c r="U125" s="16"/>
      <c r="V125" s="16"/>
    </row>
    <row r="126" spans="1:22" x14ac:dyDescent="0.25">
      <c r="A126" s="73">
        <v>60707</v>
      </c>
      <c r="B126" s="74"/>
      <c r="C126" s="154"/>
      <c r="D126" s="116"/>
      <c r="E126" s="74"/>
      <c r="F126" s="74"/>
      <c r="G126" s="74"/>
      <c r="H126" s="75"/>
      <c r="I126" s="74"/>
      <c r="J126" s="75"/>
      <c r="K126" s="75"/>
      <c r="L126" s="75"/>
      <c r="M126" s="75"/>
      <c r="N126" s="75"/>
      <c r="O126" s="75"/>
      <c r="P126" s="74"/>
      <c r="Q126" s="74"/>
      <c r="R126" s="74"/>
      <c r="S126" s="75"/>
      <c r="T126" s="74"/>
      <c r="U126" s="74"/>
      <c r="V126" s="74"/>
    </row>
    <row r="127" spans="1:22" ht="31.5" x14ac:dyDescent="0.25">
      <c r="A127" s="73">
        <v>60707</v>
      </c>
      <c r="B127" s="13" t="s">
        <v>450</v>
      </c>
      <c r="C127" s="155"/>
      <c r="D127" s="2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2"/>
      <c r="V127" s="16">
        <f>SUM(P127:P129)-SUM(T127:T129)</f>
        <v>0</v>
      </c>
    </row>
    <row r="128" spans="1:22" x14ac:dyDescent="0.25">
      <c r="A128" s="73">
        <v>60707</v>
      </c>
      <c r="B128" s="16"/>
      <c r="C128" s="153"/>
      <c r="D128" s="1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x14ac:dyDescent="0.25">
      <c r="A129" s="73">
        <v>60707</v>
      </c>
      <c r="B129" s="16"/>
      <c r="C129" s="153"/>
      <c r="D129" s="1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x14ac:dyDescent="0.25">
      <c r="A130" s="73">
        <v>60708</v>
      </c>
      <c r="B130" s="74"/>
      <c r="C130" s="154"/>
      <c r="D130" s="116"/>
      <c r="E130" s="74"/>
      <c r="F130" s="74"/>
      <c r="G130" s="74"/>
      <c r="H130" s="75"/>
      <c r="I130" s="74"/>
      <c r="J130" s="75"/>
      <c r="K130" s="75"/>
      <c r="L130" s="75"/>
      <c r="M130" s="75"/>
      <c r="N130" s="75"/>
      <c r="O130" s="75"/>
      <c r="P130" s="74"/>
      <c r="Q130" s="74"/>
      <c r="R130" s="74"/>
      <c r="S130" s="75"/>
      <c r="T130" s="74"/>
      <c r="U130" s="74"/>
      <c r="V130" s="74"/>
    </row>
    <row r="131" spans="1:22" ht="31.5" x14ac:dyDescent="0.25">
      <c r="A131" s="73">
        <v>60708</v>
      </c>
      <c r="B131" s="13" t="s">
        <v>451</v>
      </c>
      <c r="C131" s="155">
        <v>45345</v>
      </c>
      <c r="D131" s="20">
        <v>58</v>
      </c>
      <c r="E131" s="16">
        <v>198000</v>
      </c>
      <c r="F131" s="16"/>
      <c r="G131" s="16">
        <f t="shared" ref="G131" si="138">E131-F131</f>
        <v>198000</v>
      </c>
      <c r="H131" s="16">
        <f>ROUND(G131*18%,)</f>
        <v>35640</v>
      </c>
      <c r="I131" s="16">
        <f>ROUND(G131+H131,)</f>
        <v>233640</v>
      </c>
      <c r="J131" s="16">
        <f>G131*2%</f>
        <v>3960</v>
      </c>
      <c r="K131" s="16">
        <f>ROUND(G131*5%,)</f>
        <v>9900</v>
      </c>
      <c r="L131" s="16"/>
      <c r="M131" s="16"/>
      <c r="N131" s="122">
        <f>H131</f>
        <v>35640</v>
      </c>
      <c r="O131" s="16"/>
      <c r="P131" s="61">
        <f>I131-SUM(J131:O131)</f>
        <v>184140</v>
      </c>
      <c r="Q131" s="16"/>
      <c r="R131" s="16">
        <v>500000</v>
      </c>
      <c r="S131" s="16">
        <v>10000</v>
      </c>
      <c r="T131" s="16">
        <f>R131-S131</f>
        <v>490000</v>
      </c>
      <c r="U131" s="16" t="s">
        <v>399</v>
      </c>
      <c r="V131" s="16">
        <f>SUM(P131:P145)-SUM(T131:T145)</f>
        <v>422458.37999999989</v>
      </c>
    </row>
    <row r="132" spans="1:22" x14ac:dyDescent="0.25">
      <c r="A132" s="73">
        <v>60708</v>
      </c>
      <c r="B132" s="13" t="s">
        <v>164</v>
      </c>
      <c r="C132" s="155">
        <v>45370</v>
      </c>
      <c r="D132" s="20">
        <v>75</v>
      </c>
      <c r="E132" s="16">
        <v>396000</v>
      </c>
      <c r="F132" s="16"/>
      <c r="G132" s="16">
        <f t="shared" ref="G132" si="139">E132-F132</f>
        <v>396000</v>
      </c>
      <c r="H132" s="16">
        <f>ROUND(G132*18%,)</f>
        <v>71280</v>
      </c>
      <c r="I132" s="16">
        <f>ROUND(G132+H132,)</f>
        <v>467280</v>
      </c>
      <c r="J132" s="16">
        <f>G132*2%</f>
        <v>7920</v>
      </c>
      <c r="K132" s="16">
        <f>ROUND(G132*5%,)</f>
        <v>19800</v>
      </c>
      <c r="L132" s="16"/>
      <c r="M132" s="16"/>
      <c r="N132" s="122">
        <f>H132</f>
        <v>71280</v>
      </c>
      <c r="O132" s="16"/>
      <c r="P132" s="61">
        <f>I132-SUM(J132:O132)</f>
        <v>368280</v>
      </c>
      <c r="Q132" s="16"/>
      <c r="R132" s="16">
        <v>500000</v>
      </c>
      <c r="S132" s="16">
        <v>10000</v>
      </c>
      <c r="T132" s="16">
        <f>R132-S132</f>
        <v>490000</v>
      </c>
      <c r="U132" s="16" t="s">
        <v>241</v>
      </c>
      <c r="V132" s="16"/>
    </row>
    <row r="133" spans="1:22" x14ac:dyDescent="0.25">
      <c r="A133" s="73">
        <v>60708</v>
      </c>
      <c r="B133" s="13" t="s">
        <v>229</v>
      </c>
      <c r="C133" s="155"/>
      <c r="D133" s="20" t="s">
        <v>259</v>
      </c>
      <c r="E133" s="16">
        <f>N131+N132</f>
        <v>106920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22">
        <f>E133</f>
        <v>106920</v>
      </c>
      <c r="Q133" s="16"/>
      <c r="R133" s="16">
        <v>400000</v>
      </c>
      <c r="S133" s="16">
        <f>R133*2%</f>
        <v>8000</v>
      </c>
      <c r="T133" s="16">
        <v>392000</v>
      </c>
      <c r="U133" s="16" t="s">
        <v>281</v>
      </c>
      <c r="V133" s="16"/>
    </row>
    <row r="134" spans="1:22" ht="31.5" x14ac:dyDescent="0.25">
      <c r="A134" s="73">
        <v>60708</v>
      </c>
      <c r="B134" s="13" t="s">
        <v>451</v>
      </c>
      <c r="C134" s="155">
        <v>45400</v>
      </c>
      <c r="D134" s="20">
        <v>8</v>
      </c>
      <c r="E134" s="16">
        <v>396000</v>
      </c>
      <c r="F134" s="16"/>
      <c r="G134" s="16">
        <f t="shared" ref="G134" si="140">E134-F134</f>
        <v>396000</v>
      </c>
      <c r="H134" s="16">
        <f>ROUND(G134*18%,)</f>
        <v>71280</v>
      </c>
      <c r="I134" s="16">
        <f>ROUND(G134+H134,)</f>
        <v>467280</v>
      </c>
      <c r="J134" s="16">
        <f>G134*2%</f>
        <v>7920</v>
      </c>
      <c r="K134" s="16">
        <f>ROUND(G134*5%,)</f>
        <v>19800</v>
      </c>
      <c r="L134" s="16"/>
      <c r="M134" s="16"/>
      <c r="N134" s="122">
        <f>H134</f>
        <v>71280</v>
      </c>
      <c r="O134" s="16"/>
      <c r="P134" s="61">
        <f>I134-SUM(J134:O134)</f>
        <v>368280</v>
      </c>
      <c r="Q134" s="16"/>
      <c r="R134" s="16">
        <v>250000</v>
      </c>
      <c r="S134" s="16">
        <f>R134*2%</f>
        <v>5000</v>
      </c>
      <c r="T134" s="16">
        <v>245000</v>
      </c>
      <c r="U134" s="16" t="s">
        <v>314</v>
      </c>
      <c r="V134" s="16"/>
    </row>
    <row r="135" spans="1:22" x14ac:dyDescent="0.25">
      <c r="A135" s="73">
        <v>60708</v>
      </c>
      <c r="B135" s="13" t="s">
        <v>229</v>
      </c>
      <c r="C135" s="155"/>
      <c r="D135" s="20">
        <v>8</v>
      </c>
      <c r="E135" s="16">
        <f>N134</f>
        <v>71280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22">
        <f>E135</f>
        <v>71280</v>
      </c>
      <c r="Q135" s="16"/>
      <c r="R135" s="16">
        <v>200000</v>
      </c>
      <c r="S135" s="16">
        <v>0</v>
      </c>
      <c r="T135" s="16">
        <v>200000</v>
      </c>
      <c r="U135" s="16" t="s">
        <v>390</v>
      </c>
      <c r="V135" s="16"/>
    </row>
    <row r="136" spans="1:22" ht="31.5" x14ac:dyDescent="0.25">
      <c r="A136" s="73">
        <v>60708</v>
      </c>
      <c r="B136" s="13" t="s">
        <v>451</v>
      </c>
      <c r="C136" s="155">
        <v>45454</v>
      </c>
      <c r="D136" s="20">
        <v>26</v>
      </c>
      <c r="E136" s="16">
        <v>594000</v>
      </c>
      <c r="F136" s="16"/>
      <c r="G136" s="16">
        <f t="shared" ref="G136" si="141">E136-F136</f>
        <v>594000</v>
      </c>
      <c r="H136" s="16">
        <f>ROUND(G136*18%,)</f>
        <v>106920</v>
      </c>
      <c r="I136" s="16">
        <f>ROUND(G136+H136,)</f>
        <v>700920</v>
      </c>
      <c r="J136" s="16">
        <f>G136*2%</f>
        <v>11880</v>
      </c>
      <c r="K136" s="16">
        <f>ROUND(G136*5%,)</f>
        <v>29700</v>
      </c>
      <c r="L136" s="16"/>
      <c r="M136" s="16"/>
      <c r="N136" s="122">
        <f>H136</f>
        <v>106920</v>
      </c>
      <c r="O136" s="16"/>
      <c r="P136" s="61">
        <f>I136-SUM(J136:O136)</f>
        <v>552420</v>
      </c>
      <c r="Q136" s="16"/>
      <c r="R136" s="16">
        <v>500000</v>
      </c>
      <c r="S136" s="16"/>
      <c r="T136" s="16">
        <v>500000</v>
      </c>
      <c r="U136" s="16" t="s">
        <v>413</v>
      </c>
      <c r="V136" s="16"/>
    </row>
    <row r="137" spans="1:22" x14ac:dyDescent="0.25">
      <c r="A137" s="73">
        <v>60708</v>
      </c>
      <c r="B137" s="13" t="s">
        <v>229</v>
      </c>
      <c r="C137" s="155"/>
      <c r="D137" s="20">
        <v>26</v>
      </c>
      <c r="E137" s="16">
        <f>N136</f>
        <v>106920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22">
        <f>E137</f>
        <v>106920</v>
      </c>
      <c r="Q137" s="16"/>
      <c r="R137" s="16"/>
      <c r="S137" s="16"/>
      <c r="T137" s="16">
        <v>500000</v>
      </c>
      <c r="U137" s="16" t="s">
        <v>415</v>
      </c>
      <c r="V137" s="16"/>
    </row>
    <row r="138" spans="1:22" ht="27.75" customHeight="1" x14ac:dyDescent="0.25">
      <c r="A138" s="73">
        <v>60708</v>
      </c>
      <c r="B138" s="13" t="s">
        <v>451</v>
      </c>
      <c r="C138" s="155">
        <v>45672</v>
      </c>
      <c r="D138" s="20">
        <v>103</v>
      </c>
      <c r="E138" s="16">
        <v>396000</v>
      </c>
      <c r="F138" s="16"/>
      <c r="G138" s="16">
        <f t="shared" ref="G138:G139" si="142">E138-F138</f>
        <v>396000</v>
      </c>
      <c r="H138" s="16">
        <f>ROUND(G138*18%,)</f>
        <v>71280</v>
      </c>
      <c r="I138" s="16">
        <f>ROUND(G138+H138,)</f>
        <v>467280</v>
      </c>
      <c r="J138" s="16">
        <f>G138*2%</f>
        <v>7920</v>
      </c>
      <c r="K138" s="16">
        <f>ROUND(G138*5%,)</f>
        <v>19800</v>
      </c>
      <c r="L138" s="16"/>
      <c r="M138" s="16"/>
      <c r="N138" s="122">
        <f>H138</f>
        <v>71280</v>
      </c>
      <c r="O138" s="16"/>
      <c r="P138" s="61">
        <f>I138-SUM(J138:O138)</f>
        <v>368280</v>
      </c>
      <c r="Q138" s="16"/>
      <c r="R138" s="16"/>
      <c r="S138" s="16"/>
      <c r="T138" s="16"/>
      <c r="U138" s="16"/>
      <c r="V138" s="16"/>
    </row>
    <row r="139" spans="1:22" x14ac:dyDescent="0.25">
      <c r="A139" s="73">
        <v>60708</v>
      </c>
      <c r="B139" s="13" t="s">
        <v>392</v>
      </c>
      <c r="C139" s="156">
        <v>45352</v>
      </c>
      <c r="D139" s="20">
        <v>66</v>
      </c>
      <c r="E139" s="16">
        <v>146431</v>
      </c>
      <c r="F139" s="16">
        <v>0</v>
      </c>
      <c r="G139" s="16">
        <f t="shared" si="142"/>
        <v>146431</v>
      </c>
      <c r="H139" s="16">
        <f>ROUND(G139*18%,)</f>
        <v>26358</v>
      </c>
      <c r="I139" s="16">
        <f>ROUND(G139+H139,)</f>
        <v>172789</v>
      </c>
      <c r="J139" s="16">
        <f>G139*2%</f>
        <v>2928.62</v>
      </c>
      <c r="K139" s="16">
        <f>ROUND(G139*5%,)</f>
        <v>7322</v>
      </c>
      <c r="L139" s="16"/>
      <c r="M139" s="16"/>
      <c r="N139" s="122">
        <f>H139</f>
        <v>26358</v>
      </c>
      <c r="O139" s="16"/>
      <c r="P139" s="16">
        <f t="shared" ref="P139" si="143">I139-SUM(J139:O139)</f>
        <v>136180.38</v>
      </c>
      <c r="Q139" s="16"/>
      <c r="R139" s="16"/>
      <c r="S139" s="16"/>
      <c r="T139" s="16"/>
      <c r="U139" s="16"/>
      <c r="V139" s="16"/>
    </row>
    <row r="140" spans="1:22" x14ac:dyDescent="0.25">
      <c r="A140" s="73">
        <v>60708</v>
      </c>
      <c r="B140" s="13" t="s">
        <v>42</v>
      </c>
      <c r="C140" s="156"/>
      <c r="D140" s="20">
        <v>66</v>
      </c>
      <c r="E140" s="16">
        <f>N139</f>
        <v>26358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22">
        <f>E140</f>
        <v>26358</v>
      </c>
      <c r="Q140" s="16"/>
      <c r="R140" s="16"/>
      <c r="S140" s="16"/>
      <c r="T140" s="16"/>
      <c r="U140" s="16"/>
      <c r="V140" s="16"/>
    </row>
    <row r="141" spans="1:22" x14ac:dyDescent="0.25">
      <c r="A141" s="73">
        <v>60708</v>
      </c>
      <c r="B141" s="13" t="s">
        <v>42</v>
      </c>
      <c r="C141" s="156"/>
      <c r="D141" s="20">
        <v>103</v>
      </c>
      <c r="E141" s="16">
        <f>N138</f>
        <v>71280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22">
        <f>E141</f>
        <v>71280</v>
      </c>
      <c r="Q141" s="16"/>
      <c r="R141" s="16"/>
      <c r="S141" s="16"/>
      <c r="T141" s="16"/>
      <c r="U141" s="16"/>
      <c r="V141" s="16"/>
    </row>
    <row r="142" spans="1:22" ht="31.5" x14ac:dyDescent="0.25">
      <c r="A142" s="73">
        <v>60708</v>
      </c>
      <c r="B142" s="13" t="s">
        <v>451</v>
      </c>
      <c r="C142" s="155">
        <v>45707</v>
      </c>
      <c r="D142" s="20">
        <v>110</v>
      </c>
      <c r="E142" s="16">
        <v>594000</v>
      </c>
      <c r="F142" s="16"/>
      <c r="G142" s="16">
        <f t="shared" ref="G142" si="144">E142-F142</f>
        <v>594000</v>
      </c>
      <c r="H142" s="16">
        <f>ROUND(G142*18%,)</f>
        <v>106920</v>
      </c>
      <c r="I142" s="16">
        <f>ROUND(G142+H142,)</f>
        <v>700920</v>
      </c>
      <c r="J142" s="16">
        <f>G142*2%</f>
        <v>11880</v>
      </c>
      <c r="K142" s="16">
        <f>ROUND(G142*5%,)</f>
        <v>29700</v>
      </c>
      <c r="L142" s="16"/>
      <c r="M142" s="16"/>
      <c r="N142" s="122">
        <f>H142</f>
        <v>106920</v>
      </c>
      <c r="O142" s="16"/>
      <c r="P142" s="61">
        <f>I142-SUM(J142:O142)</f>
        <v>552420</v>
      </c>
      <c r="Q142" s="16"/>
      <c r="R142" s="16"/>
      <c r="S142" s="16"/>
      <c r="T142" s="16"/>
      <c r="U142" s="16"/>
      <c r="V142" s="16"/>
    </row>
    <row r="143" spans="1:22" x14ac:dyDescent="0.25">
      <c r="A143" s="73">
        <v>60708</v>
      </c>
      <c r="B143" s="13" t="s">
        <v>340</v>
      </c>
      <c r="C143" s="155"/>
      <c r="D143" s="20">
        <v>110</v>
      </c>
      <c r="E143" s="16">
        <f>N142</f>
        <v>106920</v>
      </c>
      <c r="F143" s="16"/>
      <c r="G143" s="16"/>
      <c r="H143" s="16"/>
      <c r="I143" s="16"/>
      <c r="J143" s="16"/>
      <c r="K143" s="16"/>
      <c r="L143" s="16"/>
      <c r="M143" s="16"/>
      <c r="N143" s="127"/>
      <c r="O143" s="16"/>
      <c r="P143" s="122">
        <f>E143</f>
        <v>106920</v>
      </c>
      <c r="Q143" s="16"/>
      <c r="R143" s="16"/>
      <c r="S143" s="16"/>
      <c r="T143" s="16"/>
      <c r="U143" s="16"/>
      <c r="V143" s="16"/>
    </row>
    <row r="144" spans="1:22" ht="31.5" x14ac:dyDescent="0.25">
      <c r="A144" s="73">
        <v>60708</v>
      </c>
      <c r="B144" s="13" t="s">
        <v>451</v>
      </c>
      <c r="C144" s="155">
        <v>45744</v>
      </c>
      <c r="D144" s="20">
        <v>119</v>
      </c>
      <c r="E144" s="16">
        <v>198000</v>
      </c>
      <c r="F144" s="16"/>
      <c r="G144" s="16">
        <f t="shared" ref="G144" si="145">E144-F144</f>
        <v>198000</v>
      </c>
      <c r="H144" s="16">
        <f>ROUND(G144*18%,)</f>
        <v>35640</v>
      </c>
      <c r="I144" s="16">
        <f>ROUND(G144+H144,)</f>
        <v>233640</v>
      </c>
      <c r="J144" s="16">
        <f>G144*2%</f>
        <v>3960</v>
      </c>
      <c r="K144" s="16">
        <f>ROUND(G144*5%,)</f>
        <v>9900</v>
      </c>
      <c r="L144" s="16"/>
      <c r="M144" s="16"/>
      <c r="N144" s="122">
        <f>H144</f>
        <v>35640</v>
      </c>
      <c r="O144" s="16"/>
      <c r="P144" s="61">
        <f>I144-SUM(J144:O144)</f>
        <v>184140</v>
      </c>
      <c r="Q144" s="16"/>
      <c r="R144" s="16"/>
      <c r="S144" s="16"/>
      <c r="T144" s="16"/>
      <c r="U144" s="16"/>
      <c r="V144" s="16"/>
    </row>
    <row r="145" spans="1:22" x14ac:dyDescent="0.25">
      <c r="A145" s="73">
        <v>60708</v>
      </c>
      <c r="B145" s="13" t="s">
        <v>340</v>
      </c>
      <c r="C145" s="155"/>
      <c r="D145" s="20">
        <v>119</v>
      </c>
      <c r="E145" s="16">
        <f>N144</f>
        <v>35640</v>
      </c>
      <c r="F145" s="16"/>
      <c r="G145" s="16"/>
      <c r="H145" s="16"/>
      <c r="I145" s="16"/>
      <c r="J145" s="16"/>
      <c r="K145" s="16"/>
      <c r="L145" s="16"/>
      <c r="M145" s="16"/>
      <c r="N145" s="127"/>
      <c r="O145" s="16"/>
      <c r="P145" s="122">
        <f>E145</f>
        <v>35640</v>
      </c>
      <c r="Q145" s="16"/>
      <c r="R145" s="16"/>
      <c r="S145" s="16"/>
      <c r="T145" s="16"/>
      <c r="U145" s="16"/>
      <c r="V145" s="16"/>
    </row>
    <row r="146" spans="1:22" x14ac:dyDescent="0.25">
      <c r="A146" s="73">
        <v>60709</v>
      </c>
      <c r="B146" s="74"/>
      <c r="C146" s="154"/>
      <c r="D146" s="116"/>
      <c r="E146" s="74"/>
      <c r="F146" s="74"/>
      <c r="G146" s="74"/>
      <c r="H146" s="75"/>
      <c r="I146" s="74"/>
      <c r="J146" s="75"/>
      <c r="K146" s="75"/>
      <c r="L146" s="75"/>
      <c r="M146" s="75"/>
      <c r="N146" s="75"/>
      <c r="O146" s="75"/>
      <c r="P146" s="74"/>
      <c r="Q146" s="74"/>
      <c r="R146" s="74"/>
      <c r="S146" s="75"/>
      <c r="T146" s="74"/>
      <c r="U146" s="74"/>
      <c r="V146" s="74"/>
    </row>
    <row r="147" spans="1:22" x14ac:dyDescent="0.25">
      <c r="A147" s="73">
        <v>60709</v>
      </c>
      <c r="B147" s="13" t="s">
        <v>473</v>
      </c>
      <c r="C147" s="155">
        <v>45565</v>
      </c>
      <c r="D147" s="20">
        <v>56</v>
      </c>
      <c r="E147" s="16">
        <v>656250</v>
      </c>
      <c r="F147" s="16"/>
      <c r="G147" s="16">
        <f t="shared" ref="G147" si="146">E147-F147</f>
        <v>656250</v>
      </c>
      <c r="H147" s="16">
        <f>ROUND(G147*18%,)</f>
        <v>118125</v>
      </c>
      <c r="I147" s="16">
        <f>ROUND(G147+H147,)</f>
        <v>774375</v>
      </c>
      <c r="J147" s="16">
        <f>G147*2%</f>
        <v>13125</v>
      </c>
      <c r="K147" s="16">
        <f>ROUND(G147*5%,)</f>
        <v>32813</v>
      </c>
      <c r="L147" s="16"/>
      <c r="M147" s="16"/>
      <c r="N147" s="122">
        <f>H147</f>
        <v>118125</v>
      </c>
      <c r="O147" s="16"/>
      <c r="P147" s="61">
        <f>I147-SUM(J147:O147)</f>
        <v>610312</v>
      </c>
      <c r="Q147" s="16" t="s">
        <v>81</v>
      </c>
      <c r="R147" s="16">
        <v>400000</v>
      </c>
      <c r="S147" s="16">
        <f t="shared" ref="S147" si="147">R147*$S$6</f>
        <v>8000</v>
      </c>
      <c r="T147" s="16">
        <f>R147-S147</f>
        <v>392000</v>
      </c>
      <c r="U147" s="12" t="s">
        <v>80</v>
      </c>
      <c r="V147" s="16">
        <f>SUM(P147:P152)-SUM(T147:T152)</f>
        <v>27686.020000000019</v>
      </c>
    </row>
    <row r="148" spans="1:22" x14ac:dyDescent="0.25">
      <c r="A148" s="73">
        <v>60709</v>
      </c>
      <c r="B148" s="13" t="s">
        <v>229</v>
      </c>
      <c r="C148" s="155"/>
      <c r="D148" s="20">
        <v>56</v>
      </c>
      <c r="E148" s="16">
        <f>N147</f>
        <v>118125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22">
        <f>E148</f>
        <v>118125</v>
      </c>
      <c r="Q148" s="16" t="s">
        <v>243</v>
      </c>
      <c r="R148" s="16">
        <v>500000</v>
      </c>
      <c r="S148" s="16">
        <f t="shared" ref="S148" si="148">R148*$S$6</f>
        <v>10000</v>
      </c>
      <c r="T148" s="16">
        <f>R148-S148</f>
        <v>490000</v>
      </c>
      <c r="U148" s="12" t="s">
        <v>242</v>
      </c>
      <c r="V148" s="16"/>
    </row>
    <row r="149" spans="1:22" x14ac:dyDescent="0.25">
      <c r="A149" s="73">
        <v>60709</v>
      </c>
      <c r="B149" s="13" t="s">
        <v>473</v>
      </c>
      <c r="C149" s="155">
        <v>45583</v>
      </c>
      <c r="D149" s="20">
        <v>64</v>
      </c>
      <c r="E149" s="16">
        <v>437500</v>
      </c>
      <c r="F149" s="16"/>
      <c r="G149" s="16">
        <f t="shared" ref="G149" si="149">E149-F149</f>
        <v>437500</v>
      </c>
      <c r="H149" s="16">
        <f>ROUND(G149*18%,)</f>
        <v>78750</v>
      </c>
      <c r="I149" s="16">
        <f>ROUND(G149+H149,)</f>
        <v>516250</v>
      </c>
      <c r="J149" s="16">
        <f>G149*2%</f>
        <v>8750</v>
      </c>
      <c r="K149" s="16">
        <f>ROUND(G149*5%,)</f>
        <v>21875</v>
      </c>
      <c r="L149" s="16"/>
      <c r="M149" s="16"/>
      <c r="N149" s="122">
        <f>H149</f>
        <v>78750</v>
      </c>
      <c r="O149" s="16"/>
      <c r="P149" s="61">
        <f>I149-SUM(J149:O149)</f>
        <v>406875</v>
      </c>
      <c r="Q149" s="16"/>
      <c r="R149" s="16">
        <v>500001</v>
      </c>
      <c r="S149" s="16">
        <f t="shared" ref="S149" si="150">R149*$S$6</f>
        <v>10000.02</v>
      </c>
      <c r="T149" s="16">
        <f>R149-S149</f>
        <v>490000.98</v>
      </c>
      <c r="U149" s="12" t="s">
        <v>351</v>
      </c>
      <c r="V149" s="16"/>
    </row>
    <row r="150" spans="1:22" x14ac:dyDescent="0.25">
      <c r="A150" s="73">
        <v>60709</v>
      </c>
      <c r="B150" s="13" t="s">
        <v>229</v>
      </c>
      <c r="C150" s="155"/>
      <c r="D150" s="20">
        <v>64</v>
      </c>
      <c r="E150" s="16">
        <f>N149</f>
        <v>78750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22">
        <f>E150</f>
        <v>78750</v>
      </c>
      <c r="Q150" s="16"/>
      <c r="R150" s="16">
        <v>300000</v>
      </c>
      <c r="S150" s="16"/>
      <c r="T150" s="140">
        <v>300000</v>
      </c>
      <c r="U150" s="141" t="s">
        <v>412</v>
      </c>
      <c r="V150" s="16"/>
    </row>
    <row r="151" spans="1:22" x14ac:dyDescent="0.25">
      <c r="A151" s="73">
        <v>60709</v>
      </c>
      <c r="B151" s="13" t="s">
        <v>473</v>
      </c>
      <c r="C151" s="155">
        <v>45651</v>
      </c>
      <c r="D151" s="20">
        <v>99</v>
      </c>
      <c r="E151" s="16">
        <v>437500</v>
      </c>
      <c r="F151" s="16"/>
      <c r="G151" s="16">
        <f t="shared" ref="G151" si="151">E151-F151</f>
        <v>437500</v>
      </c>
      <c r="H151" s="16">
        <f>ROUND(G151*18%,)</f>
        <v>78750</v>
      </c>
      <c r="I151" s="16">
        <f>ROUND(G151+H151,)</f>
        <v>516250</v>
      </c>
      <c r="J151" s="16">
        <f>G151*2%</f>
        <v>8750</v>
      </c>
      <c r="K151" s="16">
        <f>ROUND(G151*5%,)</f>
        <v>21875</v>
      </c>
      <c r="L151" s="16"/>
      <c r="M151" s="16"/>
      <c r="N151" s="122">
        <f>H151</f>
        <v>78750</v>
      </c>
      <c r="O151" s="16"/>
      <c r="P151" s="61">
        <f>I151-SUM(J151:O151)</f>
        <v>406875</v>
      </c>
      <c r="Q151" s="16"/>
      <c r="R151" s="16"/>
      <c r="S151" s="16"/>
      <c r="T151" s="16"/>
      <c r="U151" s="12"/>
      <c r="V151" s="16"/>
    </row>
    <row r="152" spans="1:22" x14ac:dyDescent="0.25">
      <c r="A152" s="73">
        <v>60709</v>
      </c>
      <c r="B152" s="13" t="s">
        <v>229</v>
      </c>
      <c r="C152" s="155"/>
      <c r="D152" s="20">
        <v>99</v>
      </c>
      <c r="E152" s="16">
        <f>N151</f>
        <v>78750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22">
        <f>E152</f>
        <v>78750</v>
      </c>
      <c r="Q152" s="16"/>
      <c r="R152" s="16"/>
      <c r="S152" s="16"/>
      <c r="T152" s="16"/>
      <c r="U152" s="12"/>
      <c r="V152" s="16"/>
    </row>
    <row r="153" spans="1:22" x14ac:dyDescent="0.25">
      <c r="A153" s="73">
        <v>60931</v>
      </c>
      <c r="B153" s="74"/>
      <c r="C153" s="154"/>
      <c r="D153" s="116"/>
      <c r="E153" s="74"/>
      <c r="F153" s="74"/>
      <c r="G153" s="74"/>
      <c r="H153" s="75"/>
      <c r="I153" s="74"/>
      <c r="J153" s="75"/>
      <c r="K153" s="75"/>
      <c r="L153" s="75"/>
      <c r="M153" s="75"/>
      <c r="N153" s="75"/>
      <c r="O153" s="75"/>
      <c r="P153" s="74"/>
      <c r="Q153" s="74"/>
      <c r="R153" s="74"/>
      <c r="S153" s="75"/>
      <c r="T153" s="74"/>
      <c r="U153" s="74"/>
      <c r="V153" s="74"/>
    </row>
    <row r="154" spans="1:22" ht="31.5" x14ac:dyDescent="0.25">
      <c r="A154" s="73">
        <v>60931</v>
      </c>
      <c r="B154" s="13" t="s">
        <v>474</v>
      </c>
      <c r="C154" s="155">
        <v>45312</v>
      </c>
      <c r="D154" s="20">
        <v>41</v>
      </c>
      <c r="E154" s="16">
        <v>221550</v>
      </c>
      <c r="F154" s="16">
        <v>0</v>
      </c>
      <c r="G154" s="16">
        <v>221250</v>
      </c>
      <c r="H154" s="16">
        <f>ROUND(G154*18%,)</f>
        <v>39825</v>
      </c>
      <c r="I154" s="16">
        <f>ROUND(G154+H154,)</f>
        <v>261075</v>
      </c>
      <c r="J154" s="16">
        <f>G154*2%</f>
        <v>4425</v>
      </c>
      <c r="K154" s="16">
        <f>ROUND(G154*5%,)</f>
        <v>11063</v>
      </c>
      <c r="L154" s="16"/>
      <c r="M154" s="16">
        <f>G154*10%</f>
        <v>22125</v>
      </c>
      <c r="N154" s="122">
        <f>H154</f>
        <v>39825</v>
      </c>
      <c r="O154" s="16"/>
      <c r="P154" s="61">
        <f>I154-SUM(J154:O154)</f>
        <v>183637</v>
      </c>
      <c r="Q154" s="16" t="s">
        <v>95</v>
      </c>
      <c r="R154" s="16">
        <v>400000</v>
      </c>
      <c r="S154" s="16">
        <f t="shared" ref="S154" si="152">R154*$S$6</f>
        <v>8000</v>
      </c>
      <c r="T154" s="16">
        <f>R154-S154</f>
        <v>392000</v>
      </c>
      <c r="U154" s="12" t="s">
        <v>96</v>
      </c>
      <c r="V154" s="16">
        <f>SUM(P154:P166)-SUM(T154:T166)</f>
        <v>-557432.10300000012</v>
      </c>
    </row>
    <row r="155" spans="1:22" ht="31.5" x14ac:dyDescent="0.25">
      <c r="A155" s="73">
        <v>60931</v>
      </c>
      <c r="B155" s="13" t="s">
        <v>474</v>
      </c>
      <c r="C155" s="153">
        <v>44959</v>
      </c>
      <c r="D155" s="20">
        <v>44</v>
      </c>
      <c r="E155" s="16">
        <v>442500</v>
      </c>
      <c r="F155" s="16">
        <v>0</v>
      </c>
      <c r="G155" s="16">
        <f t="shared" ref="G155:G156" si="153">E155-F155</f>
        <v>442500</v>
      </c>
      <c r="H155" s="16">
        <f>ROUND(G155*18%,)</f>
        <v>79650</v>
      </c>
      <c r="I155" s="16">
        <f>ROUND(G155+H155,)</f>
        <v>522150</v>
      </c>
      <c r="J155" s="16">
        <f t="shared" ref="J155:J156" si="154">G155*2%</f>
        <v>8850</v>
      </c>
      <c r="K155" s="16">
        <f>ROUND(G155*5%,)</f>
        <v>22125</v>
      </c>
      <c r="L155" s="16"/>
      <c r="M155" s="16"/>
      <c r="N155" s="122">
        <f>H155</f>
        <v>79650</v>
      </c>
      <c r="O155" s="16"/>
      <c r="P155" s="61">
        <f>I155-SUM(J155:O155)</f>
        <v>411525</v>
      </c>
      <c r="Q155" s="16" t="s">
        <v>130</v>
      </c>
      <c r="R155" s="16">
        <v>300000</v>
      </c>
      <c r="S155" s="16">
        <v>6000</v>
      </c>
      <c r="T155" s="16">
        <f t="shared" ref="T155:T156" si="155">R155-S155</f>
        <v>294000</v>
      </c>
      <c r="U155" s="12" t="s">
        <v>129</v>
      </c>
      <c r="V155" s="16"/>
    </row>
    <row r="156" spans="1:22" ht="31.5" x14ac:dyDescent="0.25">
      <c r="A156" s="73">
        <v>60931</v>
      </c>
      <c r="B156" s="13" t="s">
        <v>474</v>
      </c>
      <c r="C156" s="153">
        <v>45345</v>
      </c>
      <c r="D156" s="20">
        <v>59</v>
      </c>
      <c r="E156" s="16">
        <v>442500</v>
      </c>
      <c r="F156" s="16"/>
      <c r="G156" s="16">
        <f t="shared" si="153"/>
        <v>442500</v>
      </c>
      <c r="H156" s="16">
        <f>ROUND(G156*18%,)</f>
        <v>79650</v>
      </c>
      <c r="I156" s="16">
        <f>ROUND(G156+H156,)</f>
        <v>522150</v>
      </c>
      <c r="J156" s="16">
        <f t="shared" si="154"/>
        <v>8850</v>
      </c>
      <c r="K156" s="16">
        <f>ROUND(G156*5%,)</f>
        <v>22125</v>
      </c>
      <c r="L156" s="16"/>
      <c r="M156" s="16"/>
      <c r="N156" s="122">
        <f>H156</f>
        <v>79650</v>
      </c>
      <c r="O156" s="16"/>
      <c r="P156" s="61">
        <f>I156-SUM(J156:O156)</f>
        <v>411525</v>
      </c>
      <c r="Q156" s="16" t="s">
        <v>206</v>
      </c>
      <c r="R156" s="16">
        <v>400000</v>
      </c>
      <c r="S156" s="16">
        <v>8000</v>
      </c>
      <c r="T156" s="16">
        <f t="shared" si="155"/>
        <v>392000</v>
      </c>
      <c r="U156" s="12" t="s">
        <v>168</v>
      </c>
      <c r="V156" s="16"/>
    </row>
    <row r="157" spans="1:22" x14ac:dyDescent="0.25">
      <c r="A157" s="73">
        <v>60931</v>
      </c>
      <c r="B157" s="13" t="s">
        <v>202</v>
      </c>
      <c r="C157" s="156"/>
      <c r="D157" s="20">
        <v>41</v>
      </c>
      <c r="E157" s="16">
        <f>M154</f>
        <v>22125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61">
        <f>E157</f>
        <v>22125</v>
      </c>
      <c r="Q157" s="16" t="s">
        <v>207</v>
      </c>
      <c r="R157" s="16">
        <v>100000</v>
      </c>
      <c r="S157" s="16">
        <v>2000</v>
      </c>
      <c r="T157" s="16">
        <f t="shared" ref="T157:T158" si="156">R157-S157</f>
        <v>98000</v>
      </c>
      <c r="U157" s="12" t="s">
        <v>205</v>
      </c>
      <c r="V157" s="16"/>
    </row>
    <row r="158" spans="1:22" x14ac:dyDescent="0.25">
      <c r="A158" s="73">
        <v>60931</v>
      </c>
      <c r="B158" s="13" t="s">
        <v>156</v>
      </c>
      <c r="C158" s="156"/>
      <c r="D158" s="115" t="s">
        <v>226</v>
      </c>
      <c r="E158" s="16">
        <f>N154+N155</f>
        <v>119475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22">
        <f>E158</f>
        <v>119475</v>
      </c>
      <c r="Q158" s="16" t="s">
        <v>228</v>
      </c>
      <c r="R158" s="16">
        <v>500000</v>
      </c>
      <c r="S158" s="16">
        <v>10000</v>
      </c>
      <c r="T158" s="16">
        <f t="shared" si="156"/>
        <v>490000</v>
      </c>
      <c r="U158" s="12" t="s">
        <v>227</v>
      </c>
      <c r="V158" s="16"/>
    </row>
    <row r="159" spans="1:22" ht="31.5" x14ac:dyDescent="0.25">
      <c r="A159" s="73">
        <v>60931</v>
      </c>
      <c r="B159" s="13" t="s">
        <v>474</v>
      </c>
      <c r="C159" s="156">
        <v>45362</v>
      </c>
      <c r="D159" s="115">
        <v>72</v>
      </c>
      <c r="E159" s="16">
        <f>A154*15%</f>
        <v>9139.65</v>
      </c>
      <c r="F159" s="16"/>
      <c r="G159" s="16">
        <f t="shared" ref="G159" si="157">E159-F159</f>
        <v>9139.65</v>
      </c>
      <c r="H159" s="16">
        <f>ROUND(G159*18%,)</f>
        <v>1645</v>
      </c>
      <c r="I159" s="16">
        <f>ROUND(G159+H159,)</f>
        <v>10785</v>
      </c>
      <c r="J159" s="16">
        <f>G159*2%</f>
        <v>182.79300000000001</v>
      </c>
      <c r="K159" s="16">
        <f>ROUND(G159*5%,)</f>
        <v>457</v>
      </c>
      <c r="L159" s="16"/>
      <c r="M159" s="16"/>
      <c r="N159" s="122">
        <f>H159</f>
        <v>1645</v>
      </c>
      <c r="O159" s="16"/>
      <c r="P159" s="61">
        <f>I159-SUM(J159:O159)</f>
        <v>8500.2070000000003</v>
      </c>
      <c r="Q159" s="16"/>
      <c r="R159" s="16">
        <v>200000</v>
      </c>
      <c r="S159" s="16">
        <v>4000</v>
      </c>
      <c r="T159" s="16">
        <v>196000</v>
      </c>
      <c r="U159" s="12" t="s">
        <v>266</v>
      </c>
      <c r="V159" s="16"/>
    </row>
    <row r="160" spans="1:22" x14ac:dyDescent="0.25">
      <c r="A160" s="73">
        <v>60931</v>
      </c>
      <c r="B160" s="13" t="s">
        <v>255</v>
      </c>
      <c r="C160" s="156"/>
      <c r="D160" s="115" t="s">
        <v>256</v>
      </c>
      <c r="E160" s="16">
        <f>N156+N159</f>
        <v>81295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22">
        <f>E160</f>
        <v>81295</v>
      </c>
      <c r="Q160" s="16"/>
      <c r="R160" s="16">
        <v>200000</v>
      </c>
      <c r="S160" s="16">
        <v>4000</v>
      </c>
      <c r="T160" s="16">
        <v>196000</v>
      </c>
      <c r="U160" s="126" t="s">
        <v>293</v>
      </c>
      <c r="V160" s="16"/>
    </row>
    <row r="161" spans="1:22" x14ac:dyDescent="0.25">
      <c r="A161" s="73">
        <v>60931</v>
      </c>
      <c r="B161" s="13" t="s">
        <v>392</v>
      </c>
      <c r="C161" s="156">
        <v>45352</v>
      </c>
      <c r="D161" s="20">
        <v>65</v>
      </c>
      <c r="E161" s="16">
        <v>143907.5</v>
      </c>
      <c r="F161" s="16">
        <v>0</v>
      </c>
      <c r="G161" s="16">
        <f t="shared" ref="G161" si="158">E161-F161</f>
        <v>143907.5</v>
      </c>
      <c r="H161" s="16">
        <f>ROUND(G161*18%,)</f>
        <v>25903</v>
      </c>
      <c r="I161" s="16">
        <f>ROUND(G161+H161,)</f>
        <v>169811</v>
      </c>
      <c r="J161" s="16">
        <f>G161*2%</f>
        <v>2878.15</v>
      </c>
      <c r="K161" s="16">
        <f>ROUND(G161*5%,)</f>
        <v>7195</v>
      </c>
      <c r="L161" s="16"/>
      <c r="M161" s="16"/>
      <c r="N161" s="122">
        <f>H161</f>
        <v>25903</v>
      </c>
      <c r="O161" s="16"/>
      <c r="P161" s="16">
        <f t="shared" ref="P161" si="159">I161-SUM(J161:O161)</f>
        <v>133834.85</v>
      </c>
      <c r="Q161" s="16"/>
      <c r="R161" s="16">
        <v>200000</v>
      </c>
      <c r="S161" s="16">
        <v>4000</v>
      </c>
      <c r="T161" s="16">
        <v>196000</v>
      </c>
      <c r="U161" s="126" t="s">
        <v>294</v>
      </c>
      <c r="V161" s="16"/>
    </row>
    <row r="162" spans="1:22" x14ac:dyDescent="0.25">
      <c r="A162" s="73">
        <v>60931</v>
      </c>
      <c r="B162" s="13" t="s">
        <v>42</v>
      </c>
      <c r="C162" s="156"/>
      <c r="D162" s="20">
        <v>65</v>
      </c>
      <c r="E162" s="16">
        <f>N161</f>
        <v>25903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22">
        <f>E162</f>
        <v>25903</v>
      </c>
      <c r="Q162" s="16"/>
      <c r="R162" s="16">
        <v>300000</v>
      </c>
      <c r="S162" s="16">
        <v>6000</v>
      </c>
      <c r="T162" s="16">
        <f t="shared" ref="T162" si="160">R162-S162</f>
        <v>294000</v>
      </c>
      <c r="U162" s="78" t="s">
        <v>394</v>
      </c>
      <c r="V162" s="16"/>
    </row>
    <row r="163" spans="1:22" ht="31.5" x14ac:dyDescent="0.25">
      <c r="A163" s="73">
        <v>60931</v>
      </c>
      <c r="B163" s="13" t="s">
        <v>474</v>
      </c>
      <c r="C163" s="156">
        <v>45707</v>
      </c>
      <c r="D163" s="115">
        <v>111</v>
      </c>
      <c r="E163" s="16">
        <v>442500</v>
      </c>
      <c r="F163" s="16"/>
      <c r="G163" s="16">
        <f t="shared" ref="G163" si="161">E163-F163</f>
        <v>442500</v>
      </c>
      <c r="H163" s="16">
        <f>ROUND(G163*18%,)</f>
        <v>79650</v>
      </c>
      <c r="I163" s="16">
        <f>ROUND(G163+H163,)</f>
        <v>522150</v>
      </c>
      <c r="J163" s="16">
        <f>G163*2%</f>
        <v>8850</v>
      </c>
      <c r="K163" s="16">
        <f>ROUND(G163*5%,)</f>
        <v>22125</v>
      </c>
      <c r="L163" s="16"/>
      <c r="M163" s="16"/>
      <c r="N163" s="122">
        <f>H163</f>
        <v>79650</v>
      </c>
      <c r="O163" s="16"/>
      <c r="P163" s="61">
        <f>I163-SUM(J163:O163)</f>
        <v>411525</v>
      </c>
      <c r="Q163" s="16"/>
      <c r="R163" s="16">
        <v>500000</v>
      </c>
      <c r="S163" s="16"/>
      <c r="T163" s="16">
        <v>500000</v>
      </c>
      <c r="U163" s="78" t="s">
        <v>420</v>
      </c>
      <c r="V163" s="16"/>
    </row>
    <row r="164" spans="1:22" x14ac:dyDescent="0.25">
      <c r="A164" s="73">
        <v>60931</v>
      </c>
      <c r="B164" s="13" t="s">
        <v>229</v>
      </c>
      <c r="C164" s="156"/>
      <c r="D164" s="115">
        <v>111</v>
      </c>
      <c r="E164" s="16">
        <f>N163</f>
        <v>79650</v>
      </c>
      <c r="F164" s="16"/>
      <c r="G164" s="16"/>
      <c r="H164" s="16"/>
      <c r="I164" s="16"/>
      <c r="J164" s="16"/>
      <c r="K164" s="16"/>
      <c r="L164" s="16"/>
      <c r="M164" s="16"/>
      <c r="N164" s="127"/>
      <c r="O164" s="16"/>
      <c r="P164" s="122">
        <f>E164</f>
        <v>79650</v>
      </c>
      <c r="Q164" s="16"/>
      <c r="R164" s="16"/>
      <c r="S164" s="16"/>
      <c r="T164" s="16"/>
      <c r="U164" s="78"/>
      <c r="V164" s="16"/>
    </row>
    <row r="165" spans="1:22" ht="31.5" x14ac:dyDescent="0.25">
      <c r="A165" s="73">
        <v>60931</v>
      </c>
      <c r="B165" s="13" t="s">
        <v>474</v>
      </c>
      <c r="C165" s="156">
        <v>45744</v>
      </c>
      <c r="D165" s="115">
        <v>122</v>
      </c>
      <c r="E165" s="16">
        <v>885000</v>
      </c>
      <c r="F165" s="16">
        <v>343042</v>
      </c>
      <c r="G165" s="16">
        <f t="shared" ref="G165" si="162">E165-F165</f>
        <v>541958</v>
      </c>
      <c r="H165" s="16">
        <f>ROUND(G165*18%,)</f>
        <v>97552</v>
      </c>
      <c r="I165" s="16">
        <f>ROUND(G165+H165,)</f>
        <v>639510</v>
      </c>
      <c r="J165" s="16">
        <f>G165*2%</f>
        <v>10839.16</v>
      </c>
      <c r="K165" s="16">
        <f>ROUND(G165*5%,)</f>
        <v>27098</v>
      </c>
      <c r="L165" s="16"/>
      <c r="M165" s="16"/>
      <c r="N165" s="122">
        <f>H165</f>
        <v>97552</v>
      </c>
      <c r="O165" s="16"/>
      <c r="P165" s="61">
        <f>I165-SUM(J165:O165)</f>
        <v>504020.83999999997</v>
      </c>
      <c r="Q165" s="16"/>
      <c r="R165" s="16"/>
      <c r="S165" s="16"/>
      <c r="T165" s="16"/>
      <c r="U165" s="78"/>
      <c r="V165" s="16"/>
    </row>
    <row r="166" spans="1:22" x14ac:dyDescent="0.25">
      <c r="A166" s="73">
        <v>60931</v>
      </c>
      <c r="B166" s="13" t="s">
        <v>229</v>
      </c>
      <c r="C166" s="156"/>
      <c r="D166" s="115">
        <v>122</v>
      </c>
      <c r="E166" s="16">
        <f>N165</f>
        <v>97552</v>
      </c>
      <c r="F166" s="16"/>
      <c r="G166" s="16"/>
      <c r="H166" s="16"/>
      <c r="I166" s="16"/>
      <c r="J166" s="16"/>
      <c r="K166" s="16"/>
      <c r="L166" s="16"/>
      <c r="M166" s="16"/>
      <c r="N166" s="127"/>
      <c r="O166" s="16"/>
      <c r="P166" s="122">
        <f>E166</f>
        <v>97552</v>
      </c>
      <c r="Q166" s="16"/>
      <c r="R166" s="16"/>
      <c r="S166" s="16"/>
      <c r="T166" s="16"/>
      <c r="U166" s="78"/>
      <c r="V166" s="16"/>
    </row>
    <row r="167" spans="1:22" x14ac:dyDescent="0.25">
      <c r="A167" s="73">
        <v>60933</v>
      </c>
      <c r="B167" s="74"/>
      <c r="C167" s="154"/>
      <c r="D167" s="116"/>
      <c r="E167" s="74"/>
      <c r="F167" s="74"/>
      <c r="G167" s="74"/>
      <c r="H167" s="75"/>
      <c r="I167" s="74"/>
      <c r="J167" s="75"/>
      <c r="K167" s="75"/>
      <c r="L167" s="75"/>
      <c r="M167" s="75"/>
      <c r="N167" s="75"/>
      <c r="O167" s="75"/>
      <c r="P167" s="74"/>
      <c r="Q167" s="74"/>
      <c r="R167" s="74"/>
      <c r="S167" s="75"/>
      <c r="T167" s="74"/>
      <c r="U167" s="74"/>
      <c r="V167" s="74"/>
    </row>
    <row r="168" spans="1:22" x14ac:dyDescent="0.25">
      <c r="A168" s="73">
        <v>60933</v>
      </c>
      <c r="B168" s="13" t="s">
        <v>475</v>
      </c>
      <c r="C168" s="155">
        <v>45324</v>
      </c>
      <c r="D168" s="20">
        <v>51</v>
      </c>
      <c r="E168" s="16">
        <v>129937</v>
      </c>
      <c r="F168" s="16">
        <v>0</v>
      </c>
      <c r="G168" s="16">
        <f t="shared" ref="G168" si="163">E168-F168</f>
        <v>129937</v>
      </c>
      <c r="H168" s="16">
        <f>ROUND(G168*18%,)</f>
        <v>23389</v>
      </c>
      <c r="I168" s="16">
        <f>ROUND(G168+H168,)</f>
        <v>153326</v>
      </c>
      <c r="J168" s="16">
        <f>G168*2%</f>
        <v>2598.7400000000002</v>
      </c>
      <c r="K168" s="16">
        <f>ROUND(G168*5%,)</f>
        <v>6497</v>
      </c>
      <c r="L168" s="16"/>
      <c r="M168" s="16"/>
      <c r="N168" s="122">
        <f>H168</f>
        <v>23389</v>
      </c>
      <c r="O168" s="16"/>
      <c r="P168" s="61">
        <f>I168-SUM(J168:O168)</f>
        <v>120841.26000000001</v>
      </c>
      <c r="Q168" s="16" t="s">
        <v>112</v>
      </c>
      <c r="R168" s="16">
        <v>400000</v>
      </c>
      <c r="S168" s="16">
        <v>8000</v>
      </c>
      <c r="T168" s="16">
        <f t="shared" ref="T168" si="164">R168-S168</f>
        <v>392000</v>
      </c>
      <c r="U168" s="16" t="s">
        <v>111</v>
      </c>
      <c r="V168" s="16">
        <f>SUM(P168:P179)-SUM(T168:T179)</f>
        <v>0.52000000001862645</v>
      </c>
    </row>
    <row r="169" spans="1:22" x14ac:dyDescent="0.25">
      <c r="A169" s="73">
        <v>60933</v>
      </c>
      <c r="B169" s="13" t="s">
        <v>229</v>
      </c>
      <c r="C169" s="156"/>
      <c r="D169" s="20">
        <v>51</v>
      </c>
      <c r="E169" s="16">
        <f>N168</f>
        <v>23389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22">
        <f>E169</f>
        <v>23389</v>
      </c>
      <c r="Q169" s="16" t="s">
        <v>240</v>
      </c>
      <c r="R169" s="16">
        <v>300000</v>
      </c>
      <c r="S169" s="16">
        <v>6000</v>
      </c>
      <c r="T169" s="16">
        <f t="shared" ref="T169" si="165">R169-S169</f>
        <v>294000</v>
      </c>
      <c r="U169" s="16" t="s">
        <v>239</v>
      </c>
      <c r="V169" s="16"/>
    </row>
    <row r="170" spans="1:22" x14ac:dyDescent="0.25">
      <c r="A170" s="73">
        <v>60933</v>
      </c>
      <c r="B170" s="13" t="s">
        <v>475</v>
      </c>
      <c r="C170" s="156">
        <v>45370</v>
      </c>
      <c r="D170" s="20">
        <v>77</v>
      </c>
      <c r="E170" s="16">
        <v>259875</v>
      </c>
      <c r="F170" s="16"/>
      <c r="G170" s="16">
        <f t="shared" ref="G170:G171" si="166">E170-F170</f>
        <v>259875</v>
      </c>
      <c r="H170" s="16">
        <f>ROUND(G170*18%,)</f>
        <v>46778</v>
      </c>
      <c r="I170" s="16">
        <f>ROUND(G170+H170,)</f>
        <v>306653</v>
      </c>
      <c r="J170" s="16">
        <f>G170*2%</f>
        <v>5197.5</v>
      </c>
      <c r="K170" s="16">
        <f>ROUND(G170*5%,)</f>
        <v>12994</v>
      </c>
      <c r="L170" s="16"/>
      <c r="M170" s="16"/>
      <c r="N170" s="122">
        <f>H170</f>
        <v>46778</v>
      </c>
      <c r="O170" s="16"/>
      <c r="P170" s="61">
        <f>I170-SUM(J170:O170)</f>
        <v>241683.5</v>
      </c>
      <c r="Q170" s="16"/>
      <c r="R170" s="16">
        <v>350000</v>
      </c>
      <c r="S170" s="16">
        <v>7000</v>
      </c>
      <c r="T170" s="16">
        <v>343000</v>
      </c>
      <c r="U170" s="16" t="s">
        <v>268</v>
      </c>
      <c r="V170" s="16"/>
    </row>
    <row r="171" spans="1:22" x14ac:dyDescent="0.25">
      <c r="A171" s="73">
        <v>60933</v>
      </c>
      <c r="B171" s="13" t="s">
        <v>475</v>
      </c>
      <c r="C171" s="155">
        <v>45484</v>
      </c>
      <c r="D171" s="20">
        <v>33</v>
      </c>
      <c r="E171" s="16">
        <v>649687</v>
      </c>
      <c r="F171" s="16">
        <v>0</v>
      </c>
      <c r="G171" s="16">
        <f t="shared" si="166"/>
        <v>649687</v>
      </c>
      <c r="H171" s="16">
        <f>ROUND(G171*18%,)</f>
        <v>116944</v>
      </c>
      <c r="I171" s="16">
        <f>ROUND(G171+H171,)</f>
        <v>766631</v>
      </c>
      <c r="J171" s="16">
        <f>G171*2%</f>
        <v>12993.74</v>
      </c>
      <c r="K171" s="16">
        <f>ROUND(G171*5%,)</f>
        <v>32484</v>
      </c>
      <c r="L171" s="16"/>
      <c r="M171" s="16"/>
      <c r="N171" s="122">
        <f>H171</f>
        <v>116944</v>
      </c>
      <c r="O171" s="16"/>
      <c r="P171" s="61">
        <f>I171-SUM(J171:O171)</f>
        <v>604209.26</v>
      </c>
      <c r="Q171" s="16"/>
      <c r="R171" s="16">
        <v>400000</v>
      </c>
      <c r="S171" s="16">
        <v>8000</v>
      </c>
      <c r="T171" s="16">
        <v>392000</v>
      </c>
      <c r="U171" s="16" t="s">
        <v>296</v>
      </c>
      <c r="V171" s="16"/>
    </row>
    <row r="172" spans="1:22" x14ac:dyDescent="0.25">
      <c r="A172" s="73">
        <v>60933</v>
      </c>
      <c r="B172" s="13" t="s">
        <v>229</v>
      </c>
      <c r="C172" s="156"/>
      <c r="D172" s="20">
        <v>33</v>
      </c>
      <c r="E172" s="16">
        <f>N171</f>
        <v>116944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22">
        <f>E172</f>
        <v>116944</v>
      </c>
      <c r="Q172" s="16"/>
      <c r="R172" s="16"/>
      <c r="S172" s="16"/>
      <c r="T172" s="16">
        <v>400000</v>
      </c>
      <c r="U172" s="16" t="s">
        <v>395</v>
      </c>
      <c r="V172" s="16"/>
    </row>
    <row r="173" spans="1:22" x14ac:dyDescent="0.25">
      <c r="A173" s="73">
        <v>60933</v>
      </c>
      <c r="B173" s="13" t="s">
        <v>229</v>
      </c>
      <c r="C173" s="156"/>
      <c r="D173" s="20">
        <v>77</v>
      </c>
      <c r="E173" s="16">
        <f>N170</f>
        <v>46778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22">
        <f>E173</f>
        <v>46778</v>
      </c>
      <c r="Q173" s="16"/>
      <c r="R173" s="16"/>
      <c r="S173" s="16"/>
      <c r="T173" s="16">
        <v>198228</v>
      </c>
      <c r="U173" s="16" t="s">
        <v>411</v>
      </c>
      <c r="V173" s="16"/>
    </row>
    <row r="174" spans="1:22" x14ac:dyDescent="0.25">
      <c r="A174" s="73">
        <v>60933</v>
      </c>
      <c r="B174" s="13" t="s">
        <v>475</v>
      </c>
      <c r="C174" s="155" t="s">
        <v>342</v>
      </c>
      <c r="D174" s="20">
        <v>47</v>
      </c>
      <c r="E174" s="16">
        <v>259875</v>
      </c>
      <c r="F174" s="16"/>
      <c r="G174" s="16">
        <f t="shared" ref="G174" si="167">E174-F174</f>
        <v>259875</v>
      </c>
      <c r="H174" s="16">
        <f>ROUND(G174*18%,)</f>
        <v>46778</v>
      </c>
      <c r="I174" s="16">
        <f>ROUND(G174+H174,)</f>
        <v>306653</v>
      </c>
      <c r="J174" s="16">
        <f>G174*2%</f>
        <v>5197.5</v>
      </c>
      <c r="K174" s="16">
        <f>ROUND(G174*5%,)</f>
        <v>12994</v>
      </c>
      <c r="L174" s="16"/>
      <c r="M174" s="16"/>
      <c r="N174" s="122">
        <f>H174</f>
        <v>46778</v>
      </c>
      <c r="O174" s="16"/>
      <c r="P174" s="61">
        <f>I174-SUM(J174:O174)</f>
        <v>241683.5</v>
      </c>
      <c r="Q174" s="16"/>
      <c r="R174" s="16"/>
      <c r="S174" s="16"/>
      <c r="T174" s="16"/>
      <c r="U174" s="16"/>
      <c r="V174" s="16"/>
    </row>
    <row r="175" spans="1:22" x14ac:dyDescent="0.25">
      <c r="A175" s="73">
        <v>60933</v>
      </c>
      <c r="B175" s="13" t="s">
        <v>229</v>
      </c>
      <c r="C175" s="155"/>
      <c r="D175" s="20">
        <v>47</v>
      </c>
      <c r="E175" s="16">
        <f>N174</f>
        <v>46778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22">
        <f>E175</f>
        <v>46778</v>
      </c>
      <c r="Q175" s="16"/>
      <c r="R175" s="16"/>
      <c r="S175" s="16"/>
      <c r="T175" s="16"/>
      <c r="U175" s="16"/>
      <c r="V175" s="16"/>
    </row>
    <row r="176" spans="1:22" x14ac:dyDescent="0.25">
      <c r="A176" s="73">
        <v>60933</v>
      </c>
      <c r="B176" s="13" t="s">
        <v>475</v>
      </c>
      <c r="C176" s="155">
        <v>45581</v>
      </c>
      <c r="D176" s="20">
        <v>61</v>
      </c>
      <c r="E176" s="16">
        <v>389812</v>
      </c>
      <c r="F176" s="16"/>
      <c r="G176" s="16">
        <f t="shared" ref="G176" si="168">E176-F176</f>
        <v>389812</v>
      </c>
      <c r="H176" s="16">
        <f>ROUND(G176*18%,)</f>
        <v>70166</v>
      </c>
      <c r="I176" s="16">
        <f>ROUND(G176+H176,)</f>
        <v>459978</v>
      </c>
      <c r="J176" s="16">
        <f>G176*2%</f>
        <v>7796.24</v>
      </c>
      <c r="K176" s="16">
        <f>ROUND(G176*5%,)</f>
        <v>19491</v>
      </c>
      <c r="L176" s="16"/>
      <c r="M176" s="16"/>
      <c r="N176" s="122">
        <f>H176</f>
        <v>70166</v>
      </c>
      <c r="O176" s="16"/>
      <c r="P176" s="61">
        <f>I176-SUM(J176:O176)</f>
        <v>362524.76</v>
      </c>
      <c r="Q176" s="16"/>
      <c r="R176" s="16"/>
      <c r="S176" s="16"/>
      <c r="T176" s="16"/>
      <c r="U176" s="16"/>
      <c r="V176" s="16"/>
    </row>
    <row r="177" spans="1:22" x14ac:dyDescent="0.25">
      <c r="A177" s="73">
        <v>60933</v>
      </c>
      <c r="B177" s="13" t="s">
        <v>475</v>
      </c>
      <c r="C177" s="155">
        <v>45602</v>
      </c>
      <c r="D177" s="20">
        <v>85</v>
      </c>
      <c r="E177" s="16">
        <v>129938</v>
      </c>
      <c r="F177" s="16"/>
      <c r="G177" s="16">
        <f t="shared" ref="G177" si="169">E177-F177</f>
        <v>129938</v>
      </c>
      <c r="H177" s="16">
        <f>ROUND(G177*18%,)</f>
        <v>23389</v>
      </c>
      <c r="I177" s="16">
        <f>ROUND(G177+H177,)</f>
        <v>153327</v>
      </c>
      <c r="J177" s="16">
        <f>G177*2%</f>
        <v>2598.7600000000002</v>
      </c>
      <c r="K177" s="16">
        <f>ROUND(G177*5%,)</f>
        <v>6497</v>
      </c>
      <c r="L177" s="16"/>
      <c r="M177" s="16"/>
      <c r="N177" s="122">
        <f>H177</f>
        <v>23389</v>
      </c>
      <c r="O177" s="16"/>
      <c r="P177" s="61">
        <f>I177-SUM(J177:O177)</f>
        <v>120842.23999999999</v>
      </c>
      <c r="Q177" s="16"/>
      <c r="R177" s="16"/>
      <c r="S177" s="16"/>
      <c r="T177" s="16"/>
      <c r="U177" s="16"/>
      <c r="V177" s="16"/>
    </row>
    <row r="178" spans="1:22" x14ac:dyDescent="0.25">
      <c r="A178" s="73">
        <v>60933</v>
      </c>
      <c r="B178" s="13" t="s">
        <v>229</v>
      </c>
      <c r="C178" s="155"/>
      <c r="D178" s="20">
        <v>61</v>
      </c>
      <c r="E178" s="16">
        <f>N176</f>
        <v>70166</v>
      </c>
      <c r="F178" s="16"/>
      <c r="G178" s="16"/>
      <c r="H178" s="16"/>
      <c r="I178" s="16"/>
      <c r="J178" s="16"/>
      <c r="K178" s="16"/>
      <c r="L178" s="16"/>
      <c r="M178" s="16"/>
      <c r="N178" s="122"/>
      <c r="O178" s="16"/>
      <c r="P178" s="122">
        <f>E178</f>
        <v>70166</v>
      </c>
      <c r="Q178" s="16"/>
      <c r="R178" s="16"/>
      <c r="S178" s="16"/>
      <c r="T178" s="16"/>
      <c r="U178" s="16"/>
      <c r="V178" s="16"/>
    </row>
    <row r="179" spans="1:22" x14ac:dyDescent="0.25">
      <c r="A179" s="73">
        <v>60933</v>
      </c>
      <c r="B179" s="13" t="s">
        <v>229</v>
      </c>
      <c r="C179" s="155"/>
      <c r="D179" s="20">
        <v>85</v>
      </c>
      <c r="E179" s="16">
        <f>N177</f>
        <v>23389</v>
      </c>
      <c r="F179" s="16"/>
      <c r="G179" s="16"/>
      <c r="H179" s="16"/>
      <c r="I179" s="16"/>
      <c r="J179" s="16"/>
      <c r="K179" s="16"/>
      <c r="L179" s="16"/>
      <c r="M179" s="16"/>
      <c r="N179" s="122"/>
      <c r="O179" s="16"/>
      <c r="P179" s="122">
        <f>E179</f>
        <v>23389</v>
      </c>
      <c r="Q179" s="16"/>
      <c r="R179" s="16"/>
      <c r="S179" s="16"/>
      <c r="T179" s="16"/>
      <c r="U179" s="16"/>
      <c r="V179" s="16"/>
    </row>
    <row r="180" spans="1:22" x14ac:dyDescent="0.25">
      <c r="A180" s="73">
        <v>60934</v>
      </c>
      <c r="B180" s="74"/>
      <c r="C180" s="154"/>
      <c r="D180" s="116"/>
      <c r="E180" s="74"/>
      <c r="F180" s="74"/>
      <c r="G180" s="74"/>
      <c r="H180" s="75"/>
      <c r="I180" s="74"/>
      <c r="J180" s="75"/>
      <c r="K180" s="75"/>
      <c r="L180" s="75"/>
      <c r="M180" s="75"/>
      <c r="N180" s="75"/>
      <c r="O180" s="75"/>
      <c r="P180" s="74"/>
      <c r="Q180" s="74"/>
      <c r="R180" s="74"/>
      <c r="S180" s="75"/>
      <c r="T180" s="74"/>
      <c r="U180" s="74"/>
      <c r="V180" s="74"/>
    </row>
    <row r="181" spans="1:22" ht="31.5" x14ac:dyDescent="0.25">
      <c r="A181" s="73">
        <v>60934</v>
      </c>
      <c r="B181" s="13" t="s">
        <v>476</v>
      </c>
      <c r="C181" s="155">
        <v>45324</v>
      </c>
      <c r="D181" s="20">
        <v>52</v>
      </c>
      <c r="E181" s="16">
        <v>129937</v>
      </c>
      <c r="F181" s="16">
        <v>0</v>
      </c>
      <c r="G181" s="16">
        <f t="shared" ref="G181" si="170">E181-F181</f>
        <v>129937</v>
      </c>
      <c r="H181" s="16">
        <f>ROUND(G181*18%,)</f>
        <v>23389</v>
      </c>
      <c r="I181" s="16">
        <f>ROUND(G181+H181,)</f>
        <v>153326</v>
      </c>
      <c r="J181" s="16">
        <f>G181*2%</f>
        <v>2598.7400000000002</v>
      </c>
      <c r="K181" s="16">
        <f>ROUND(G181*5%,)</f>
        <v>6497</v>
      </c>
      <c r="L181" s="16"/>
      <c r="M181" s="16"/>
      <c r="N181" s="122">
        <f>H181</f>
        <v>23389</v>
      </c>
      <c r="O181" s="16"/>
      <c r="P181" s="61">
        <f>I181-SUM(J181:O181)</f>
        <v>120841.26000000001</v>
      </c>
      <c r="Q181" s="16" t="s">
        <v>109</v>
      </c>
      <c r="R181" s="16">
        <v>400000</v>
      </c>
      <c r="S181" s="16">
        <v>8000</v>
      </c>
      <c r="T181" s="16">
        <f t="shared" ref="T181:T182" si="171">R181-S181</f>
        <v>392000</v>
      </c>
      <c r="U181" s="16" t="s">
        <v>396</v>
      </c>
      <c r="V181" s="16">
        <f>SUM(P181:P185)-SUM(T181:T185)</f>
        <v>-988308.24</v>
      </c>
    </row>
    <row r="182" spans="1:22" ht="31.5" x14ac:dyDescent="0.25">
      <c r="A182" s="73">
        <v>60934</v>
      </c>
      <c r="B182" s="13" t="s">
        <v>476</v>
      </c>
      <c r="C182" s="155">
        <v>45345</v>
      </c>
      <c r="D182" s="20">
        <v>60</v>
      </c>
      <c r="E182" s="16">
        <v>259875</v>
      </c>
      <c r="F182" s="16"/>
      <c r="G182" s="16">
        <f t="shared" ref="G182" si="172">E182-F182</f>
        <v>259875</v>
      </c>
      <c r="H182" s="16">
        <f>ROUND(G182*18%,)</f>
        <v>46778</v>
      </c>
      <c r="I182" s="16">
        <f>ROUND(G182+H182,)</f>
        <v>306653</v>
      </c>
      <c r="J182" s="16">
        <f>G182*2%</f>
        <v>5197.5</v>
      </c>
      <c r="K182" s="16">
        <f>ROUND(G182*5%,)</f>
        <v>12994</v>
      </c>
      <c r="L182" s="16"/>
      <c r="M182" s="16"/>
      <c r="N182" s="122">
        <f>H182</f>
        <v>46778</v>
      </c>
      <c r="O182" s="16"/>
      <c r="P182" s="16">
        <f>I182-SUM(J182:O182)</f>
        <v>241683.5</v>
      </c>
      <c r="Q182" s="16"/>
      <c r="R182" s="16">
        <v>300000</v>
      </c>
      <c r="S182" s="16">
        <v>6000</v>
      </c>
      <c r="T182" s="16">
        <f t="shared" si="171"/>
        <v>294000</v>
      </c>
      <c r="U182" s="16" t="s">
        <v>397</v>
      </c>
      <c r="V182" s="16"/>
    </row>
    <row r="183" spans="1:22" x14ac:dyDescent="0.25">
      <c r="A183" s="73">
        <v>60934</v>
      </c>
      <c r="B183" s="16" t="s">
        <v>229</v>
      </c>
      <c r="C183" s="155"/>
      <c r="D183" s="20">
        <v>52</v>
      </c>
      <c r="E183" s="16">
        <f>N181</f>
        <v>23389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22">
        <f>E183</f>
        <v>23389</v>
      </c>
      <c r="Q183" s="16"/>
      <c r="R183" s="16">
        <v>350000</v>
      </c>
      <c r="S183" s="16">
        <v>7000</v>
      </c>
      <c r="T183" s="16">
        <v>343000</v>
      </c>
      <c r="U183" s="16" t="s">
        <v>267</v>
      </c>
      <c r="V183" s="16"/>
    </row>
    <row r="184" spans="1:22" x14ac:dyDescent="0.25">
      <c r="A184" s="73">
        <v>60934</v>
      </c>
      <c r="B184" s="16" t="s">
        <v>255</v>
      </c>
      <c r="C184" s="155"/>
      <c r="D184" s="20">
        <v>60</v>
      </c>
      <c r="E184" s="16">
        <f>N182</f>
        <v>46778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22">
        <f>E184</f>
        <v>46778</v>
      </c>
      <c r="Q184" s="16"/>
      <c r="R184" s="16">
        <v>400000</v>
      </c>
      <c r="S184" s="16">
        <v>8000</v>
      </c>
      <c r="T184" s="16">
        <v>392000</v>
      </c>
      <c r="U184" s="16" t="s">
        <v>301</v>
      </c>
      <c r="V184" s="16"/>
    </row>
    <row r="185" spans="1:22" x14ac:dyDescent="0.25">
      <c r="A185" s="73">
        <v>60934</v>
      </c>
      <c r="B185" s="16"/>
      <c r="C185" s="155"/>
      <c r="D185" s="20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x14ac:dyDescent="0.25">
      <c r="A186" s="73">
        <v>60935</v>
      </c>
      <c r="B186" s="74"/>
      <c r="C186" s="154"/>
      <c r="D186" s="116"/>
      <c r="E186" s="74"/>
      <c r="F186" s="74"/>
      <c r="G186" s="74"/>
      <c r="H186" s="75"/>
      <c r="I186" s="74"/>
      <c r="J186" s="75"/>
      <c r="K186" s="75"/>
      <c r="L186" s="75"/>
      <c r="M186" s="75"/>
      <c r="N186" s="75"/>
      <c r="O186" s="75"/>
      <c r="P186" s="74"/>
      <c r="Q186" s="74"/>
      <c r="R186" s="74"/>
      <c r="S186" s="75"/>
      <c r="T186" s="74"/>
      <c r="U186" s="74"/>
      <c r="V186" s="74"/>
    </row>
    <row r="187" spans="1:22" x14ac:dyDescent="0.25">
      <c r="A187" s="73">
        <v>60935</v>
      </c>
      <c r="B187" s="13" t="s">
        <v>477</v>
      </c>
      <c r="C187" s="155"/>
      <c r="D187" s="20"/>
      <c r="E187" s="16"/>
      <c r="F187" s="16">
        <v>0</v>
      </c>
      <c r="G187" s="16">
        <f t="shared" ref="G187" si="173">E187-F187</f>
        <v>0</v>
      </c>
      <c r="H187" s="16">
        <f>ROUND(G187*18%,)</f>
        <v>0</v>
      </c>
      <c r="I187" s="16">
        <f>ROUND(G187+H187,)</f>
        <v>0</v>
      </c>
      <c r="J187" s="16">
        <f>G187*2%</f>
        <v>0</v>
      </c>
      <c r="K187" s="16">
        <f>ROUND(G187*5%,)</f>
        <v>0</v>
      </c>
      <c r="L187" s="16"/>
      <c r="M187" s="16">
        <f>G187*10%</f>
        <v>0</v>
      </c>
      <c r="N187" s="16">
        <f>H187</f>
        <v>0</v>
      </c>
      <c r="O187" s="16"/>
      <c r="P187" s="16">
        <f>I187-SUM(J187:O187)</f>
        <v>0</v>
      </c>
      <c r="Q187" s="16" t="s">
        <v>108</v>
      </c>
      <c r="R187" s="16">
        <v>400000</v>
      </c>
      <c r="S187" s="16">
        <v>8000</v>
      </c>
      <c r="T187" s="16">
        <f t="shared" ref="T187" si="174">R187-S187</f>
        <v>392000</v>
      </c>
      <c r="U187" s="16" t="s">
        <v>398</v>
      </c>
      <c r="V187" s="16">
        <f>SUM(P187:P190)-SUM(T187:T190)</f>
        <v>-1078000</v>
      </c>
    </row>
    <row r="188" spans="1:22" x14ac:dyDescent="0.25">
      <c r="A188" s="73">
        <v>60935</v>
      </c>
      <c r="B188" s="16"/>
      <c r="C188" s="153"/>
      <c r="D188" s="115"/>
      <c r="E188" s="16"/>
      <c r="F188" s="16"/>
      <c r="G188" s="16">
        <f t="shared" ref="G188" si="175">E188-F188</f>
        <v>0</v>
      </c>
      <c r="H188" s="16">
        <f>ROUND(G188*18%,)</f>
        <v>0</v>
      </c>
      <c r="I188" s="16">
        <f>ROUND(G188+H188,)</f>
        <v>0</v>
      </c>
      <c r="J188" s="16">
        <f>G188*2%</f>
        <v>0</v>
      </c>
      <c r="K188" s="16">
        <f>ROUND(G188*5%,)</f>
        <v>0</v>
      </c>
      <c r="L188" s="16"/>
      <c r="M188" s="16">
        <f>G188*10%</f>
        <v>0</v>
      </c>
      <c r="N188" s="16">
        <f>H188</f>
        <v>0</v>
      </c>
      <c r="O188" s="16"/>
      <c r="P188" s="16">
        <f>I188-SUM(J188:O188)</f>
        <v>0</v>
      </c>
      <c r="Q188" s="16"/>
      <c r="R188" s="16">
        <v>400000</v>
      </c>
      <c r="S188" s="16">
        <v>8000</v>
      </c>
      <c r="T188" s="16">
        <f t="shared" ref="T188" si="176">R188-S188</f>
        <v>392000</v>
      </c>
      <c r="U188" s="16" t="s">
        <v>280</v>
      </c>
      <c r="V188" s="16"/>
    </row>
    <row r="189" spans="1:22" x14ac:dyDescent="0.25">
      <c r="A189" s="73">
        <v>60935</v>
      </c>
      <c r="B189" s="16"/>
      <c r="C189" s="153"/>
      <c r="D189" s="1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>
        <v>300000</v>
      </c>
      <c r="S189" s="16">
        <v>6000</v>
      </c>
      <c r="T189" s="16">
        <v>294000</v>
      </c>
      <c r="U189" s="16" t="s">
        <v>335</v>
      </c>
      <c r="V189" s="16"/>
    </row>
    <row r="190" spans="1:22" x14ac:dyDescent="0.25">
      <c r="A190" s="73">
        <v>60935</v>
      </c>
      <c r="B190" s="16"/>
      <c r="C190" s="153"/>
      <c r="D190" s="11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x14ac:dyDescent="0.25">
      <c r="A191" s="120">
        <v>61017</v>
      </c>
      <c r="B191" s="74"/>
      <c r="C191" s="154"/>
      <c r="D191" s="116"/>
      <c r="E191" s="74"/>
      <c r="F191" s="74"/>
      <c r="G191" s="74"/>
      <c r="H191" s="75"/>
      <c r="I191" s="74"/>
      <c r="J191" s="75"/>
      <c r="K191" s="75"/>
      <c r="L191" s="75"/>
      <c r="M191" s="75"/>
      <c r="N191" s="75"/>
      <c r="O191" s="75"/>
      <c r="P191" s="74"/>
      <c r="Q191" s="74"/>
      <c r="R191" s="74"/>
      <c r="S191" s="75"/>
      <c r="T191" s="74"/>
      <c r="U191" s="74"/>
      <c r="V191" s="74"/>
    </row>
    <row r="192" spans="1:22" ht="31.5" x14ac:dyDescent="0.25">
      <c r="A192" s="120">
        <v>61017</v>
      </c>
      <c r="B192" s="13" t="s">
        <v>478</v>
      </c>
      <c r="C192" s="155">
        <v>45325</v>
      </c>
      <c r="D192" s="20">
        <v>43</v>
      </c>
      <c r="E192" s="16">
        <v>389812</v>
      </c>
      <c r="F192" s="16">
        <v>0</v>
      </c>
      <c r="G192" s="16">
        <f t="shared" ref="G192" si="177">E192-F192</f>
        <v>389812</v>
      </c>
      <c r="H192" s="16">
        <f>ROUND(G192*18%,)</f>
        <v>70166</v>
      </c>
      <c r="I192" s="16">
        <f>ROUND(G192+H192,)</f>
        <v>459978</v>
      </c>
      <c r="J192" s="16">
        <f>G192*2%</f>
        <v>7796.24</v>
      </c>
      <c r="K192" s="16">
        <f>ROUND(G192*5%,)</f>
        <v>19491</v>
      </c>
      <c r="L192" s="16"/>
      <c r="M192" s="16"/>
      <c r="N192" s="122">
        <f>H192</f>
        <v>70166</v>
      </c>
      <c r="O192" s="16"/>
      <c r="P192" s="61">
        <f>I192-SUM(J192:O192)</f>
        <v>362524.76</v>
      </c>
      <c r="Q192" s="78" t="s">
        <v>122</v>
      </c>
      <c r="R192" s="16">
        <v>400000</v>
      </c>
      <c r="S192" s="16">
        <v>8000</v>
      </c>
      <c r="T192" s="16">
        <f t="shared" ref="T192" si="178">R192-S192</f>
        <v>392000</v>
      </c>
      <c r="U192" s="16" t="s">
        <v>121</v>
      </c>
      <c r="V192" s="16">
        <f>SUM(P192:P198)-SUM(T192:T198)</f>
        <v>-610156.98</v>
      </c>
    </row>
    <row r="193" spans="1:22" x14ac:dyDescent="0.25">
      <c r="A193" s="120">
        <v>61017</v>
      </c>
      <c r="B193" s="13"/>
      <c r="C193" s="153"/>
      <c r="D193" s="20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61"/>
      <c r="Q193" s="78" t="s">
        <v>238</v>
      </c>
      <c r="R193" s="16">
        <v>300000</v>
      </c>
      <c r="S193" s="16">
        <v>6000</v>
      </c>
      <c r="T193" s="16">
        <f t="shared" ref="T193" si="179">R193-S193</f>
        <v>294000</v>
      </c>
      <c r="U193" s="16" t="s">
        <v>237</v>
      </c>
      <c r="V193" s="16"/>
    </row>
    <row r="194" spans="1:22" x14ac:dyDescent="0.25">
      <c r="A194" s="120">
        <v>61017</v>
      </c>
      <c r="B194" s="16" t="s">
        <v>229</v>
      </c>
      <c r="C194" s="153"/>
      <c r="D194" s="20">
        <v>43</v>
      </c>
      <c r="E194" s="16">
        <f>N192</f>
        <v>70166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22">
        <f>E194</f>
        <v>70166</v>
      </c>
      <c r="Q194" s="16"/>
      <c r="R194" s="16">
        <v>300000</v>
      </c>
      <c r="S194" s="16">
        <v>6000</v>
      </c>
      <c r="T194" s="16">
        <v>294000</v>
      </c>
      <c r="U194" s="16" t="s">
        <v>257</v>
      </c>
      <c r="V194" s="16"/>
    </row>
    <row r="195" spans="1:22" ht="31.5" x14ac:dyDescent="0.25">
      <c r="A195" s="120">
        <v>61017</v>
      </c>
      <c r="B195" s="13" t="s">
        <v>478</v>
      </c>
      <c r="C195" s="153">
        <v>45345</v>
      </c>
      <c r="D195" s="20">
        <v>62</v>
      </c>
      <c r="E195" s="16">
        <v>259875</v>
      </c>
      <c r="F195" s="16"/>
      <c r="G195" s="16">
        <f t="shared" ref="G195" si="180">E195-F195</f>
        <v>259875</v>
      </c>
      <c r="H195" s="16">
        <f>ROUND(G195*18%,)</f>
        <v>46778</v>
      </c>
      <c r="I195" s="16">
        <f>ROUND(G195+H195,)</f>
        <v>306653</v>
      </c>
      <c r="J195" s="16">
        <f>G195*2%</f>
        <v>5197.5</v>
      </c>
      <c r="K195" s="16">
        <f>ROUND(G195*5%,)</f>
        <v>12994</v>
      </c>
      <c r="L195" s="16"/>
      <c r="M195" s="16"/>
      <c r="N195" s="122">
        <f>H195</f>
        <v>46778</v>
      </c>
      <c r="O195" s="16"/>
      <c r="P195" s="61">
        <f>I195-SUM(J195:O195)</f>
        <v>241683.5</v>
      </c>
      <c r="Q195" s="16"/>
      <c r="R195" s="16">
        <v>400000</v>
      </c>
      <c r="S195" s="16">
        <f>R195*2%</f>
        <v>8000</v>
      </c>
      <c r="T195" s="16">
        <v>392000</v>
      </c>
      <c r="U195" s="16" t="s">
        <v>263</v>
      </c>
      <c r="V195" s="16"/>
    </row>
    <row r="196" spans="1:22" x14ac:dyDescent="0.25">
      <c r="A196" s="120">
        <v>61017</v>
      </c>
      <c r="B196" s="13" t="s">
        <v>229</v>
      </c>
      <c r="C196" s="153"/>
      <c r="D196" s="20">
        <v>62</v>
      </c>
      <c r="E196" s="16">
        <f>N195</f>
        <v>46778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22">
        <f>E196</f>
        <v>46778</v>
      </c>
      <c r="Q196" s="16"/>
      <c r="R196" s="16">
        <v>400000</v>
      </c>
      <c r="S196" s="16">
        <v>8000</v>
      </c>
      <c r="T196" s="16">
        <v>392000</v>
      </c>
      <c r="U196" s="16" t="s">
        <v>279</v>
      </c>
      <c r="V196" s="16"/>
    </row>
    <row r="197" spans="1:22" ht="31.5" x14ac:dyDescent="0.25">
      <c r="A197" s="120">
        <v>61017</v>
      </c>
      <c r="B197" s="13" t="s">
        <v>478</v>
      </c>
      <c r="C197" s="153">
        <v>45390</v>
      </c>
      <c r="D197" s="20">
        <v>3</v>
      </c>
      <c r="E197" s="16">
        <v>389812</v>
      </c>
      <c r="F197" s="16"/>
      <c r="G197" s="16">
        <f t="shared" ref="G197" si="181">E197-F197</f>
        <v>389812</v>
      </c>
      <c r="H197" s="16">
        <f>ROUND(G197*18%,)</f>
        <v>70166</v>
      </c>
      <c r="I197" s="16">
        <f>ROUND(G197+H197,)</f>
        <v>459978</v>
      </c>
      <c r="J197" s="16">
        <f>G197*2%</f>
        <v>7796.24</v>
      </c>
      <c r="K197" s="16">
        <f>ROUND(G197*5%,)</f>
        <v>19491</v>
      </c>
      <c r="L197" s="16"/>
      <c r="M197" s="16"/>
      <c r="N197" s="122">
        <f>H197</f>
        <v>70166</v>
      </c>
      <c r="O197" s="16"/>
      <c r="P197" s="61">
        <f>I197-SUM(J197:O197)</f>
        <v>362524.76</v>
      </c>
      <c r="Q197" s="16"/>
      <c r="R197" s="16"/>
      <c r="S197" s="16"/>
      <c r="T197" s="16"/>
      <c r="U197" s="16"/>
      <c r="V197" s="16"/>
    </row>
    <row r="198" spans="1:22" x14ac:dyDescent="0.25">
      <c r="A198" s="120">
        <v>61017</v>
      </c>
      <c r="B198" s="13" t="s">
        <v>255</v>
      </c>
      <c r="C198" s="153"/>
      <c r="D198" s="20">
        <v>3</v>
      </c>
      <c r="E198" s="16">
        <f>N197</f>
        <v>70166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22">
        <f>E198</f>
        <v>70166</v>
      </c>
      <c r="Q198" s="16"/>
      <c r="R198" s="16"/>
      <c r="S198" s="16"/>
      <c r="T198" s="16"/>
      <c r="U198" s="16"/>
      <c r="V198" s="16"/>
    </row>
    <row r="199" spans="1:22" x14ac:dyDescent="0.25">
      <c r="A199" s="73">
        <v>61509</v>
      </c>
      <c r="B199" s="74"/>
      <c r="C199" s="154"/>
      <c r="D199" s="116"/>
      <c r="E199" s="74"/>
      <c r="F199" s="74"/>
      <c r="G199" s="74"/>
      <c r="H199" s="75"/>
      <c r="I199" s="74"/>
      <c r="J199" s="75"/>
      <c r="K199" s="75"/>
      <c r="L199" s="75"/>
      <c r="M199" s="75"/>
      <c r="N199" s="75"/>
      <c r="O199" s="75"/>
      <c r="P199" s="74"/>
      <c r="Q199" s="74"/>
      <c r="R199" s="74"/>
      <c r="S199" s="75"/>
      <c r="T199" s="74"/>
      <c r="U199" s="74"/>
      <c r="V199" s="74"/>
    </row>
    <row r="200" spans="1:22" x14ac:dyDescent="0.25">
      <c r="A200" s="73">
        <v>61509</v>
      </c>
      <c r="B200" s="13" t="s">
        <v>452</v>
      </c>
      <c r="C200" s="153">
        <v>45334</v>
      </c>
      <c r="D200" s="20">
        <v>45</v>
      </c>
      <c r="E200" s="16">
        <v>1512000</v>
      </c>
      <c r="F200" s="16">
        <v>567000</v>
      </c>
      <c r="G200" s="16">
        <f t="shared" ref="G200" si="182">E200-F200</f>
        <v>945000</v>
      </c>
      <c r="H200" s="16">
        <f>ROUND(G200*18%,)</f>
        <v>170100</v>
      </c>
      <c r="I200" s="16">
        <f>ROUND(G200+H200,)</f>
        <v>1115100</v>
      </c>
      <c r="J200" s="16">
        <f>G200*2%</f>
        <v>18900</v>
      </c>
      <c r="K200" s="16">
        <f>ROUND(G200*5%,)</f>
        <v>47250</v>
      </c>
      <c r="L200" s="16"/>
      <c r="M200" s="16"/>
      <c r="N200" s="122">
        <f>H200</f>
        <v>170100</v>
      </c>
      <c r="O200" s="16"/>
      <c r="P200" s="61">
        <f>I200-SUM(J200:O200)</f>
        <v>878850</v>
      </c>
      <c r="Q200" s="16" t="s">
        <v>106</v>
      </c>
      <c r="R200" s="16">
        <v>300000</v>
      </c>
      <c r="S200" s="16">
        <f t="shared" ref="S200:S201" si="183">R200*$S$6</f>
        <v>6000</v>
      </c>
      <c r="T200" s="16">
        <f t="shared" ref="T200:T202" si="184">R200-S200</f>
        <v>294000</v>
      </c>
      <c r="U200" s="12" t="s">
        <v>105</v>
      </c>
      <c r="V200" s="16">
        <f>SUM(P200:P207)-SUM(T200:T207)</f>
        <v>-641134.11979999999</v>
      </c>
    </row>
    <row r="201" spans="1:22" x14ac:dyDescent="0.25">
      <c r="A201" s="73">
        <v>61509</v>
      </c>
      <c r="B201" s="13" t="s">
        <v>229</v>
      </c>
      <c r="C201" s="153"/>
      <c r="D201" s="20">
        <v>45</v>
      </c>
      <c r="E201" s="16">
        <f>N200</f>
        <v>170100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22">
        <f>E201</f>
        <v>170100</v>
      </c>
      <c r="Q201" s="16" t="s">
        <v>101</v>
      </c>
      <c r="R201" s="16">
        <v>300000</v>
      </c>
      <c r="S201" s="16">
        <f t="shared" si="183"/>
        <v>6000</v>
      </c>
      <c r="T201" s="16">
        <f t="shared" si="184"/>
        <v>294000</v>
      </c>
      <c r="U201" s="12" t="s">
        <v>409</v>
      </c>
      <c r="V201" s="16"/>
    </row>
    <row r="202" spans="1:22" x14ac:dyDescent="0.25">
      <c r="A202" s="73">
        <v>61509</v>
      </c>
      <c r="B202" s="13" t="s">
        <v>452</v>
      </c>
      <c r="C202" s="153">
        <v>45509</v>
      </c>
      <c r="D202" s="115">
        <v>38</v>
      </c>
      <c r="E202" s="16">
        <v>1134000</v>
      </c>
      <c r="F202" s="16"/>
      <c r="G202" s="16">
        <f t="shared" ref="G202" si="185">E202-F202</f>
        <v>1134000</v>
      </c>
      <c r="H202" s="16">
        <f>ROUND(G202*18%,)</f>
        <v>204120</v>
      </c>
      <c r="I202" s="16">
        <f>ROUND(G202+H202,)</f>
        <v>1338120</v>
      </c>
      <c r="J202" s="16">
        <f>G202*2%</f>
        <v>22680</v>
      </c>
      <c r="K202" s="16">
        <f>ROUND(G202*5%,)</f>
        <v>56700</v>
      </c>
      <c r="L202" s="16"/>
      <c r="M202" s="16"/>
      <c r="N202" s="122">
        <f>H202</f>
        <v>204120</v>
      </c>
      <c r="O202" s="16"/>
      <c r="P202" s="61">
        <f>I202-SUM(J202:O202)</f>
        <v>1054620</v>
      </c>
      <c r="Q202" s="16" t="s">
        <v>224</v>
      </c>
      <c r="R202" s="16">
        <v>600000</v>
      </c>
      <c r="S202" s="16">
        <v>12000</v>
      </c>
      <c r="T202" s="16">
        <f t="shared" si="184"/>
        <v>588000</v>
      </c>
      <c r="U202" s="12" t="s">
        <v>134</v>
      </c>
      <c r="V202" s="16"/>
    </row>
    <row r="203" spans="1:22" x14ac:dyDescent="0.25">
      <c r="A203" s="73">
        <v>61509</v>
      </c>
      <c r="B203" s="13" t="s">
        <v>229</v>
      </c>
      <c r="C203" s="153"/>
      <c r="D203" s="115">
        <v>38</v>
      </c>
      <c r="E203" s="16">
        <f>N202</f>
        <v>204120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22">
        <f>E203</f>
        <v>204120</v>
      </c>
      <c r="Q203" s="16" t="s">
        <v>225</v>
      </c>
      <c r="R203" s="16">
        <v>200000</v>
      </c>
      <c r="S203" s="16">
        <v>4000</v>
      </c>
      <c r="T203" s="16">
        <f t="shared" ref="T203" si="186">R203-S203</f>
        <v>196000</v>
      </c>
      <c r="U203" s="12" t="s">
        <v>408</v>
      </c>
      <c r="V203" s="16"/>
    </row>
    <row r="204" spans="1:22" x14ac:dyDescent="0.25">
      <c r="A204" s="73">
        <v>61509</v>
      </c>
      <c r="B204" s="13" t="s">
        <v>452</v>
      </c>
      <c r="C204" s="153">
        <v>45551</v>
      </c>
      <c r="D204" s="115">
        <v>49</v>
      </c>
      <c r="E204" s="16">
        <v>189000</v>
      </c>
      <c r="F204" s="16"/>
      <c r="G204" s="16">
        <f t="shared" ref="G204" si="187">E204-F204</f>
        <v>189000</v>
      </c>
      <c r="H204" s="16">
        <f>ROUND(G204*18%,)</f>
        <v>34020</v>
      </c>
      <c r="I204" s="16">
        <f>ROUND(G204+H204,)</f>
        <v>223020</v>
      </c>
      <c r="J204" s="16">
        <f>G204*2%</f>
        <v>3780</v>
      </c>
      <c r="K204" s="16">
        <f>ROUND(G204*5%,)</f>
        <v>9450</v>
      </c>
      <c r="L204" s="16"/>
      <c r="M204" s="16"/>
      <c r="N204" s="122">
        <f>H204</f>
        <v>34020</v>
      </c>
      <c r="O204" s="16"/>
      <c r="P204" s="61">
        <f>I204-SUM(J204:O204)</f>
        <v>175770</v>
      </c>
      <c r="Q204" s="16"/>
      <c r="R204" s="16">
        <v>350000</v>
      </c>
      <c r="S204" s="16">
        <f>R204-T204</f>
        <v>7000</v>
      </c>
      <c r="T204" s="16">
        <v>343000</v>
      </c>
      <c r="U204" s="12" t="s">
        <v>357</v>
      </c>
      <c r="V204" s="16"/>
    </row>
    <row r="205" spans="1:22" x14ac:dyDescent="0.25">
      <c r="A205" s="73">
        <v>61509</v>
      </c>
      <c r="B205" s="13" t="s">
        <v>229</v>
      </c>
      <c r="C205" s="153"/>
      <c r="D205" s="115">
        <v>49</v>
      </c>
      <c r="E205" s="16">
        <f>N204</f>
        <v>34020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22">
        <f>E205</f>
        <v>34020</v>
      </c>
      <c r="Q205" s="16"/>
      <c r="R205" s="16">
        <v>400000</v>
      </c>
      <c r="S205" s="16">
        <f>R205*2%</f>
        <v>8000</v>
      </c>
      <c r="T205" s="16">
        <v>392000</v>
      </c>
      <c r="U205" s="12" t="s">
        <v>274</v>
      </c>
      <c r="V205" s="16"/>
    </row>
    <row r="206" spans="1:22" x14ac:dyDescent="0.25">
      <c r="A206" s="73">
        <v>61509</v>
      </c>
      <c r="B206" s="13" t="s">
        <v>452</v>
      </c>
      <c r="C206" s="153">
        <v>45602</v>
      </c>
      <c r="D206" s="115">
        <v>87</v>
      </c>
      <c r="E206" s="16">
        <f>A200*11%</f>
        <v>6765.99</v>
      </c>
      <c r="F206" s="16">
        <v>247860</v>
      </c>
      <c r="G206" s="16">
        <f t="shared" ref="G206" si="188">E206-F206</f>
        <v>-241094.01</v>
      </c>
      <c r="H206" s="16">
        <f>ROUND(G206*18%,)</f>
        <v>-43397</v>
      </c>
      <c r="I206" s="16">
        <f>ROUND(G206+H206,)</f>
        <v>-284491</v>
      </c>
      <c r="J206" s="16">
        <f>G206*2%</f>
        <v>-4821.8802000000005</v>
      </c>
      <c r="K206" s="16">
        <f>ROUND(G206*5%,)</f>
        <v>-12055</v>
      </c>
      <c r="L206" s="16"/>
      <c r="M206" s="16"/>
      <c r="N206" s="122">
        <f>H206</f>
        <v>-43397</v>
      </c>
      <c r="O206" s="16"/>
      <c r="P206" s="61">
        <f>I206-SUM(J206:O206)</f>
        <v>-224217.11979999999</v>
      </c>
      <c r="Q206" s="16"/>
      <c r="R206" s="16">
        <v>400000</v>
      </c>
      <c r="S206" s="16">
        <f>R206*2%</f>
        <v>8000</v>
      </c>
      <c r="T206" s="16">
        <v>392000</v>
      </c>
      <c r="U206" s="12" t="s">
        <v>300</v>
      </c>
      <c r="V206" s="16"/>
    </row>
    <row r="207" spans="1:22" x14ac:dyDescent="0.25">
      <c r="A207" s="73">
        <v>61509</v>
      </c>
      <c r="B207" s="13" t="s">
        <v>229</v>
      </c>
      <c r="C207" s="153"/>
      <c r="D207" s="115">
        <v>87</v>
      </c>
      <c r="E207" s="16">
        <f>N206</f>
        <v>-43397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22">
        <f>E207</f>
        <v>-43397</v>
      </c>
      <c r="Q207" s="16"/>
      <c r="R207" s="16">
        <v>400000</v>
      </c>
      <c r="S207" s="16">
        <f>R207*2%</f>
        <v>8000</v>
      </c>
      <c r="T207" s="16">
        <v>392000</v>
      </c>
      <c r="U207" s="12" t="s">
        <v>336</v>
      </c>
      <c r="V207" s="16"/>
    </row>
    <row r="208" spans="1:22" x14ac:dyDescent="0.25">
      <c r="A208" s="73">
        <v>61688</v>
      </c>
      <c r="B208" s="74"/>
      <c r="C208" s="154"/>
      <c r="D208" s="116"/>
      <c r="E208" s="74"/>
      <c r="F208" s="74"/>
      <c r="G208" s="74"/>
      <c r="H208" s="75"/>
      <c r="I208" s="74"/>
      <c r="J208" s="75"/>
      <c r="K208" s="75"/>
      <c r="L208" s="75"/>
      <c r="M208" s="75"/>
      <c r="N208" s="75"/>
      <c r="O208" s="75"/>
      <c r="P208" s="74"/>
      <c r="Q208" s="74"/>
      <c r="R208" s="74"/>
      <c r="S208" s="75"/>
      <c r="T208" s="74"/>
      <c r="U208" s="74"/>
      <c r="V208" s="74"/>
    </row>
    <row r="209" spans="1:22" ht="31.5" x14ac:dyDescent="0.25">
      <c r="A209" s="73">
        <v>61688</v>
      </c>
      <c r="B209" s="13" t="s">
        <v>453</v>
      </c>
      <c r="C209" s="155">
        <v>45422</v>
      </c>
      <c r="D209" s="20">
        <v>14</v>
      </c>
      <c r="E209" s="16">
        <v>350000</v>
      </c>
      <c r="F209" s="16">
        <v>0</v>
      </c>
      <c r="G209" s="16">
        <f t="shared" ref="G209" si="189">E209-F209</f>
        <v>350000</v>
      </c>
      <c r="H209" s="16">
        <f>ROUND(G209*18%,)</f>
        <v>63000</v>
      </c>
      <c r="I209" s="16">
        <f>ROUND(G209+H209,)</f>
        <v>413000</v>
      </c>
      <c r="J209" s="16">
        <f>G209*2%</f>
        <v>7000</v>
      </c>
      <c r="K209" s="16">
        <f>ROUND(G209*5%,)</f>
        <v>17500</v>
      </c>
      <c r="L209" s="16"/>
      <c r="M209" s="16"/>
      <c r="N209" s="122">
        <f>H209</f>
        <v>63000</v>
      </c>
      <c r="O209" s="16"/>
      <c r="P209" s="61">
        <f>I209-SUM(J209:O209)</f>
        <v>325500</v>
      </c>
      <c r="Q209" s="16" t="s">
        <v>99</v>
      </c>
      <c r="R209" s="16">
        <v>300000</v>
      </c>
      <c r="S209" s="16">
        <f t="shared" ref="S209" si="190">R209*$S$6</f>
        <v>6000</v>
      </c>
      <c r="T209" s="16">
        <f>R209-S209</f>
        <v>294000</v>
      </c>
      <c r="U209" s="12" t="s">
        <v>98</v>
      </c>
      <c r="V209" s="16">
        <f>SUM(P209:P214)-SUM(T209:T214)</f>
        <v>-596750</v>
      </c>
    </row>
    <row r="210" spans="1:22" ht="31.5" x14ac:dyDescent="0.25">
      <c r="A210" s="73">
        <v>61688</v>
      </c>
      <c r="B210" s="13" t="s">
        <v>453</v>
      </c>
      <c r="C210" s="155">
        <v>45430</v>
      </c>
      <c r="D210" s="20">
        <v>19</v>
      </c>
      <c r="E210" s="16">
        <v>525000</v>
      </c>
      <c r="F210" s="16">
        <v>0</v>
      </c>
      <c r="G210" s="16">
        <f t="shared" ref="G210" si="191">E210-F210</f>
        <v>525000</v>
      </c>
      <c r="H210" s="16">
        <f>ROUND(G210*18%,)</f>
        <v>94500</v>
      </c>
      <c r="I210" s="16">
        <f>ROUND(G210+H210,)</f>
        <v>619500</v>
      </c>
      <c r="J210" s="16">
        <f>G210*2%</f>
        <v>10500</v>
      </c>
      <c r="K210" s="16">
        <f>ROUND(G210*5%,)</f>
        <v>26250</v>
      </c>
      <c r="L210" s="16"/>
      <c r="M210" s="16"/>
      <c r="N210" s="122">
        <f>H210</f>
        <v>94500</v>
      </c>
      <c r="O210" s="16"/>
      <c r="P210" s="61">
        <f>I210-SUM(J210:O210)</f>
        <v>488250</v>
      </c>
      <c r="Q210" s="16" t="s">
        <v>236</v>
      </c>
      <c r="R210" s="16">
        <v>300000</v>
      </c>
      <c r="S210" s="16">
        <v>6000</v>
      </c>
      <c r="T210" s="16">
        <v>294000</v>
      </c>
      <c r="U210" s="12" t="s">
        <v>165</v>
      </c>
      <c r="V210" s="16"/>
    </row>
    <row r="211" spans="1:22" x14ac:dyDescent="0.25">
      <c r="A211" s="73">
        <v>61688</v>
      </c>
      <c r="B211" s="13" t="s">
        <v>255</v>
      </c>
      <c r="C211" s="155"/>
      <c r="D211" s="20">
        <v>19</v>
      </c>
      <c r="E211" s="16">
        <f>N209+N210</f>
        <v>157500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22">
        <f>E211</f>
        <v>157500</v>
      </c>
      <c r="Q211" s="16"/>
      <c r="R211" s="16">
        <v>400000</v>
      </c>
      <c r="S211" s="16">
        <v>8000</v>
      </c>
      <c r="T211" s="16">
        <v>392000</v>
      </c>
      <c r="U211" s="12" t="s">
        <v>269</v>
      </c>
      <c r="V211" s="16"/>
    </row>
    <row r="212" spans="1:22" x14ac:dyDescent="0.25">
      <c r="A212" s="73">
        <v>61688</v>
      </c>
      <c r="B212" s="13"/>
      <c r="C212" s="155"/>
      <c r="D212" s="20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27"/>
      <c r="Q212" s="16"/>
      <c r="R212" s="16">
        <v>400000</v>
      </c>
      <c r="S212" s="16">
        <v>8000</v>
      </c>
      <c r="T212" s="16">
        <v>392000</v>
      </c>
      <c r="U212" s="12" t="s">
        <v>271</v>
      </c>
      <c r="V212" s="16"/>
    </row>
    <row r="213" spans="1:22" x14ac:dyDescent="0.25">
      <c r="A213" s="73">
        <v>61688</v>
      </c>
      <c r="B213" s="13"/>
      <c r="C213" s="155"/>
      <c r="D213" s="20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27"/>
      <c r="Q213" s="16"/>
      <c r="R213" s="16">
        <v>200000</v>
      </c>
      <c r="S213" s="16">
        <v>4000</v>
      </c>
      <c r="T213" s="16">
        <f>R213-S213</f>
        <v>196000</v>
      </c>
      <c r="U213" s="12" t="s">
        <v>290</v>
      </c>
      <c r="V213" s="16"/>
    </row>
    <row r="214" spans="1:22" x14ac:dyDescent="0.25">
      <c r="A214" s="73">
        <v>61688</v>
      </c>
      <c r="B214" s="13"/>
      <c r="C214" s="155"/>
      <c r="D214" s="20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27"/>
      <c r="Q214" s="16"/>
      <c r="R214" s="16"/>
      <c r="S214" s="16"/>
      <c r="T214" s="16"/>
      <c r="U214" s="12"/>
      <c r="V214" s="16"/>
    </row>
    <row r="215" spans="1:22" x14ac:dyDescent="0.25">
      <c r="A215" s="73">
        <v>62897</v>
      </c>
      <c r="B215" s="74"/>
      <c r="C215" s="154"/>
      <c r="D215" s="116"/>
      <c r="E215" s="74"/>
      <c r="F215" s="74"/>
      <c r="G215" s="74"/>
      <c r="H215" s="75"/>
      <c r="I215" s="74"/>
      <c r="J215" s="75"/>
      <c r="K215" s="75"/>
      <c r="L215" s="75"/>
      <c r="M215" s="75"/>
      <c r="N215" s="75"/>
      <c r="O215" s="75"/>
      <c r="P215" s="74"/>
      <c r="Q215" s="74"/>
      <c r="R215" s="74"/>
      <c r="S215" s="75"/>
      <c r="T215" s="74"/>
      <c r="U215" s="74"/>
      <c r="V215" s="74"/>
    </row>
    <row r="216" spans="1:22" ht="31.5" x14ac:dyDescent="0.25">
      <c r="A216" s="73">
        <v>62897</v>
      </c>
      <c r="B216" s="13" t="s">
        <v>454</v>
      </c>
      <c r="C216" s="155">
        <v>45370</v>
      </c>
      <c r="D216" s="20">
        <v>76</v>
      </c>
      <c r="E216" s="16">
        <v>750000</v>
      </c>
      <c r="F216" s="16">
        <v>0</v>
      </c>
      <c r="G216" s="16">
        <f t="shared" ref="G216" si="192">E216-F216</f>
        <v>750000</v>
      </c>
      <c r="H216" s="16">
        <f>ROUND(G216*18%,)</f>
        <v>135000</v>
      </c>
      <c r="I216" s="16">
        <f>ROUND(G216+H216,)</f>
        <v>885000</v>
      </c>
      <c r="J216" s="16">
        <f>G216*2%</f>
        <v>15000</v>
      </c>
      <c r="K216" s="16">
        <f>ROUND(G216*5%,)</f>
        <v>37500</v>
      </c>
      <c r="L216" s="16"/>
      <c r="M216" s="16"/>
      <c r="N216" s="122">
        <f>H216</f>
        <v>135000</v>
      </c>
      <c r="O216" s="16"/>
      <c r="P216" s="61">
        <f>I216-SUM(J216:O216)</f>
        <v>697500</v>
      </c>
      <c r="Q216" s="16"/>
      <c r="R216" s="16">
        <v>800000</v>
      </c>
      <c r="S216" s="16">
        <f>R216-T216</f>
        <v>16000</v>
      </c>
      <c r="T216" s="16">
        <v>784000</v>
      </c>
      <c r="U216" s="12" t="s">
        <v>232</v>
      </c>
      <c r="V216" s="16">
        <f>SUM(P216:P223)-SUM(T216:T223)</f>
        <v>-394000</v>
      </c>
    </row>
    <row r="217" spans="1:22" ht="31.5" x14ac:dyDescent="0.25">
      <c r="A217" s="73">
        <v>62897</v>
      </c>
      <c r="B217" s="13" t="s">
        <v>454</v>
      </c>
      <c r="C217" s="155">
        <v>45400</v>
      </c>
      <c r="D217" s="20">
        <v>6</v>
      </c>
      <c r="E217" s="16">
        <v>750000</v>
      </c>
      <c r="F217" s="16">
        <v>0</v>
      </c>
      <c r="G217" s="16">
        <f t="shared" ref="G217" si="193">E217-F217</f>
        <v>750000</v>
      </c>
      <c r="H217" s="16">
        <f>ROUND(G217*18%,)</f>
        <v>135000</v>
      </c>
      <c r="I217" s="16">
        <f>ROUND(G217+H217,)</f>
        <v>885000</v>
      </c>
      <c r="J217" s="16">
        <f>G217*2%</f>
        <v>15000</v>
      </c>
      <c r="K217" s="16">
        <f>ROUND(G217*5%,)</f>
        <v>37500</v>
      </c>
      <c r="L217" s="16"/>
      <c r="M217" s="16"/>
      <c r="N217" s="122">
        <f>H217</f>
        <v>135000</v>
      </c>
      <c r="O217" s="16"/>
      <c r="P217" s="61">
        <f>I217-SUM(J217:O217)</f>
        <v>697500</v>
      </c>
      <c r="Q217" s="16"/>
      <c r="R217" s="16">
        <v>500000</v>
      </c>
      <c r="S217" s="16">
        <f>R217-T217</f>
        <v>10000</v>
      </c>
      <c r="T217" s="16">
        <v>490000</v>
      </c>
      <c r="U217" s="12" t="s">
        <v>258</v>
      </c>
      <c r="V217" s="16"/>
    </row>
    <row r="218" spans="1:22" x14ac:dyDescent="0.25">
      <c r="A218" s="73">
        <v>62897</v>
      </c>
      <c r="B218" s="13" t="s">
        <v>255</v>
      </c>
      <c r="C218" s="155"/>
      <c r="D218" s="20" t="s">
        <v>278</v>
      </c>
      <c r="E218" s="16">
        <f>N216+N217</f>
        <v>270000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22">
        <f>E218</f>
        <v>270000</v>
      </c>
      <c r="Q218" s="16"/>
      <c r="R218" s="16">
        <v>200000</v>
      </c>
      <c r="S218" s="16">
        <f>R218-T218</f>
        <v>4000</v>
      </c>
      <c r="T218" s="16">
        <v>196000</v>
      </c>
      <c r="U218" s="12" t="s">
        <v>262</v>
      </c>
      <c r="V218" s="16"/>
    </row>
    <row r="219" spans="1:22" ht="31.5" x14ac:dyDescent="0.25">
      <c r="A219" s="73">
        <v>62897</v>
      </c>
      <c r="B219" s="13" t="s">
        <v>454</v>
      </c>
      <c r="C219" s="155">
        <v>45484</v>
      </c>
      <c r="D219" s="20">
        <v>31</v>
      </c>
      <c r="E219" s="16">
        <v>1250000</v>
      </c>
      <c r="F219" s="16">
        <v>0</v>
      </c>
      <c r="G219" s="16">
        <f t="shared" ref="G219" si="194">E219-F219</f>
        <v>1250000</v>
      </c>
      <c r="H219" s="16">
        <f>ROUND(G219*18%,)</f>
        <v>225000</v>
      </c>
      <c r="I219" s="16">
        <f>ROUND(G219+H219,)</f>
        <v>1475000</v>
      </c>
      <c r="J219" s="16">
        <f>G219*2%</f>
        <v>25000</v>
      </c>
      <c r="K219" s="16">
        <f>ROUND(G219*5%,)</f>
        <v>62500</v>
      </c>
      <c r="L219" s="16"/>
      <c r="M219" s="16"/>
      <c r="N219" s="122">
        <f>H219</f>
        <v>225000</v>
      </c>
      <c r="O219" s="16"/>
      <c r="P219" s="61">
        <f>I219-SUM(J219:O219)</f>
        <v>1162500</v>
      </c>
      <c r="Q219" s="16"/>
      <c r="R219" s="16">
        <v>500000</v>
      </c>
      <c r="S219" s="16">
        <v>10000</v>
      </c>
      <c r="T219" s="16">
        <v>490000</v>
      </c>
      <c r="U219" s="12" t="s">
        <v>358</v>
      </c>
      <c r="V219" s="16"/>
    </row>
    <row r="220" spans="1:22" x14ac:dyDescent="0.25">
      <c r="A220" s="73">
        <v>62897</v>
      </c>
      <c r="B220" s="13" t="s">
        <v>255</v>
      </c>
      <c r="C220" s="155"/>
      <c r="D220" s="20">
        <v>31</v>
      </c>
      <c r="E220" s="16">
        <f>N218+N219</f>
        <v>225000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22">
        <f>E220</f>
        <v>225000</v>
      </c>
      <c r="Q220" s="16"/>
      <c r="R220" s="16">
        <v>500000</v>
      </c>
      <c r="S220" s="16">
        <v>10000</v>
      </c>
      <c r="T220" s="16">
        <v>490000</v>
      </c>
      <c r="U220" s="12" t="s">
        <v>273</v>
      </c>
      <c r="V220" s="16"/>
    </row>
    <row r="221" spans="1:22" ht="31.5" x14ac:dyDescent="0.25">
      <c r="A221" s="73">
        <v>62897</v>
      </c>
      <c r="B221" s="13" t="s">
        <v>454</v>
      </c>
      <c r="C221" s="155">
        <v>45509</v>
      </c>
      <c r="D221" s="20">
        <v>39</v>
      </c>
      <c r="E221" s="16">
        <v>250000</v>
      </c>
      <c r="F221" s="16"/>
      <c r="G221" s="16">
        <f t="shared" ref="G221" si="195">E221-F221</f>
        <v>250000</v>
      </c>
      <c r="H221" s="16">
        <f>ROUND(G221*18%,)</f>
        <v>45000</v>
      </c>
      <c r="I221" s="16">
        <f>ROUND(G221+H221,)</f>
        <v>295000</v>
      </c>
      <c r="J221" s="16">
        <f>G221*2%</f>
        <v>5000</v>
      </c>
      <c r="K221" s="16">
        <f>ROUND(G221*5%,)</f>
        <v>12500</v>
      </c>
      <c r="L221" s="16"/>
      <c r="M221" s="16"/>
      <c r="N221" s="122">
        <f>H221</f>
        <v>45000</v>
      </c>
      <c r="O221" s="16"/>
      <c r="P221" s="61">
        <f>I221-SUM(J221:O221)</f>
        <v>232500</v>
      </c>
      <c r="Q221" s="16"/>
      <c r="R221" s="16">
        <v>300000</v>
      </c>
      <c r="S221" s="16">
        <v>6000</v>
      </c>
      <c r="T221" s="16">
        <v>294000</v>
      </c>
      <c r="U221" s="12" t="s">
        <v>289</v>
      </c>
      <c r="V221" s="16"/>
    </row>
    <row r="222" spans="1:22" x14ac:dyDescent="0.25">
      <c r="A222" s="73">
        <v>62897</v>
      </c>
      <c r="B222" s="13" t="s">
        <v>229</v>
      </c>
      <c r="C222" s="155"/>
      <c r="D222" s="20">
        <v>39</v>
      </c>
      <c r="E222" s="16">
        <f>N221</f>
        <v>45000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22">
        <f>E222</f>
        <v>45000</v>
      </c>
      <c r="Q222" s="16"/>
      <c r="R222" s="16">
        <v>500000</v>
      </c>
      <c r="S222" s="16">
        <v>10000</v>
      </c>
      <c r="T222" s="16">
        <v>490000</v>
      </c>
      <c r="U222" s="12" t="s">
        <v>304</v>
      </c>
      <c r="V222" s="16"/>
    </row>
    <row r="223" spans="1:22" x14ac:dyDescent="0.25">
      <c r="A223" s="73">
        <v>62897</v>
      </c>
      <c r="B223" s="13"/>
      <c r="C223" s="155"/>
      <c r="D223" s="20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27"/>
      <c r="Q223" s="16"/>
      <c r="R223" s="16">
        <v>500000</v>
      </c>
      <c r="S223" s="16">
        <v>10000</v>
      </c>
      <c r="T223" s="16">
        <v>490000</v>
      </c>
      <c r="U223" s="12" t="s">
        <v>343</v>
      </c>
      <c r="V223" s="16"/>
    </row>
    <row r="224" spans="1:22" x14ac:dyDescent="0.25">
      <c r="A224" s="73">
        <v>63304</v>
      </c>
      <c r="B224" s="74"/>
      <c r="C224" s="154"/>
      <c r="D224" s="116"/>
      <c r="E224" s="74"/>
      <c r="F224" s="74"/>
      <c r="G224" s="74"/>
      <c r="H224" s="75"/>
      <c r="I224" s="74"/>
      <c r="J224" s="75"/>
      <c r="K224" s="75"/>
      <c r="L224" s="75"/>
      <c r="M224" s="75"/>
      <c r="N224" s="75"/>
      <c r="O224" s="75"/>
      <c r="P224" s="74"/>
      <c r="Q224" s="74"/>
      <c r="R224" s="74"/>
      <c r="S224" s="75"/>
      <c r="T224" s="74"/>
      <c r="U224" s="74"/>
      <c r="V224" s="74"/>
    </row>
    <row r="225" spans="1:22" ht="31.5" x14ac:dyDescent="0.25">
      <c r="A225" s="73">
        <v>63304</v>
      </c>
      <c r="B225" s="13" t="s">
        <v>479</v>
      </c>
      <c r="C225" s="155">
        <v>45454</v>
      </c>
      <c r="D225" s="20">
        <v>25</v>
      </c>
      <c r="E225" s="16">
        <v>413437</v>
      </c>
      <c r="F225" s="16">
        <v>0</v>
      </c>
      <c r="G225" s="16">
        <f t="shared" ref="G225:G226" si="196">E225-F225</f>
        <v>413437</v>
      </c>
      <c r="H225" s="16">
        <f>ROUND(G225*18%,)</f>
        <v>74419</v>
      </c>
      <c r="I225" s="16">
        <f>ROUND(G225+H225,)</f>
        <v>487856</v>
      </c>
      <c r="J225" s="16">
        <f>G225*2%</f>
        <v>8268.74</v>
      </c>
      <c r="K225" s="16">
        <f>ROUND(G225*5%,)</f>
        <v>20672</v>
      </c>
      <c r="L225" s="16"/>
      <c r="M225" s="16"/>
      <c r="N225" s="122">
        <f>H225</f>
        <v>74419</v>
      </c>
      <c r="O225" s="16"/>
      <c r="P225" s="61">
        <f>I225-SUM(J225:O225)</f>
        <v>384496.26</v>
      </c>
      <c r="Q225" s="16"/>
      <c r="R225" s="16">
        <v>300000</v>
      </c>
      <c r="S225" s="16">
        <f>R225-T225</f>
        <v>6000</v>
      </c>
      <c r="T225" s="16">
        <v>294000</v>
      </c>
      <c r="U225" s="12" t="s">
        <v>298</v>
      </c>
      <c r="V225" s="16">
        <f>SUM(P225:P236)-SUM(T225:T236)</f>
        <v>-32642.820000000298</v>
      </c>
    </row>
    <row r="226" spans="1:22" ht="31.5" x14ac:dyDescent="0.25">
      <c r="A226" s="73">
        <v>63304</v>
      </c>
      <c r="B226" s="13" t="s">
        <v>479</v>
      </c>
      <c r="C226" s="155">
        <v>45484</v>
      </c>
      <c r="D226" s="20">
        <v>32</v>
      </c>
      <c r="E226" s="16">
        <v>275625</v>
      </c>
      <c r="F226" s="16">
        <v>0</v>
      </c>
      <c r="G226" s="16">
        <f t="shared" si="196"/>
        <v>275625</v>
      </c>
      <c r="H226" s="16">
        <f>ROUND(G226*18%,)</f>
        <v>49613</v>
      </c>
      <c r="I226" s="16">
        <f>ROUND(G226+H226,)</f>
        <v>325238</v>
      </c>
      <c r="J226" s="16">
        <f>G226*2%</f>
        <v>5512.5</v>
      </c>
      <c r="K226" s="16">
        <f>ROUND(G226*5%,)</f>
        <v>13781</v>
      </c>
      <c r="L226" s="16"/>
      <c r="M226" s="16"/>
      <c r="N226" s="122">
        <f>H226</f>
        <v>49613</v>
      </c>
      <c r="O226" s="16"/>
      <c r="P226" s="61">
        <f>I226-SUM(J226:O226)</f>
        <v>256331.5</v>
      </c>
      <c r="Q226" s="16"/>
      <c r="R226" s="16">
        <v>300000</v>
      </c>
      <c r="S226" s="16">
        <f>R226-T226</f>
        <v>6000</v>
      </c>
      <c r="T226" s="16">
        <v>294000</v>
      </c>
      <c r="U226" s="12" t="s">
        <v>299</v>
      </c>
      <c r="V226" s="16"/>
    </row>
    <row r="227" spans="1:22" ht="31.5" x14ac:dyDescent="0.25">
      <c r="A227" s="73">
        <v>63304</v>
      </c>
      <c r="B227" s="13" t="s">
        <v>479</v>
      </c>
      <c r="C227" s="155">
        <v>45509</v>
      </c>
      <c r="D227" s="20">
        <v>40</v>
      </c>
      <c r="E227" s="16">
        <v>551250</v>
      </c>
      <c r="F227" s="16"/>
      <c r="G227" s="16">
        <f t="shared" ref="G227" si="197">E227-F227</f>
        <v>551250</v>
      </c>
      <c r="H227" s="16">
        <f>ROUND(G227*18%,)</f>
        <v>99225</v>
      </c>
      <c r="I227" s="16">
        <f>ROUND(G227+H227,)</f>
        <v>650475</v>
      </c>
      <c r="J227" s="16">
        <f>G227*2%</f>
        <v>11025</v>
      </c>
      <c r="K227" s="16">
        <f>ROUND(G227*5%,)</f>
        <v>27563</v>
      </c>
      <c r="L227" s="16"/>
      <c r="M227" s="16"/>
      <c r="N227" s="122">
        <f>H227</f>
        <v>99225</v>
      </c>
      <c r="O227" s="16"/>
      <c r="P227" s="61">
        <f>I227-SUM(J227:O227)</f>
        <v>512662</v>
      </c>
      <c r="Q227" s="16"/>
      <c r="R227" s="16">
        <v>500000</v>
      </c>
      <c r="S227" s="16">
        <v>5000</v>
      </c>
      <c r="T227" s="16">
        <v>495000</v>
      </c>
      <c r="U227" s="12" t="s">
        <v>303</v>
      </c>
      <c r="V227" s="16"/>
    </row>
    <row r="228" spans="1:22" x14ac:dyDescent="0.25">
      <c r="A228" s="73">
        <v>63304</v>
      </c>
      <c r="B228" s="13" t="s">
        <v>229</v>
      </c>
      <c r="C228" s="155"/>
      <c r="D228" s="20">
        <v>25</v>
      </c>
      <c r="E228" s="16">
        <f>N225</f>
        <v>74419</v>
      </c>
      <c r="F228" s="16">
        <v>0</v>
      </c>
      <c r="G228" s="16"/>
      <c r="H228" s="16"/>
      <c r="I228" s="16"/>
      <c r="J228" s="16"/>
      <c r="K228" s="16"/>
      <c r="L228" s="16"/>
      <c r="M228" s="16"/>
      <c r="N228" s="127"/>
      <c r="O228" s="16"/>
      <c r="P228" s="61">
        <f>E228</f>
        <v>74419</v>
      </c>
      <c r="Q228" s="16"/>
      <c r="R228" s="16">
        <v>250000</v>
      </c>
      <c r="S228" s="16">
        <f>R228-T228</f>
        <v>5000</v>
      </c>
      <c r="T228" s="16">
        <v>245000</v>
      </c>
      <c r="U228" s="12" t="s">
        <v>306</v>
      </c>
      <c r="V228" s="16"/>
    </row>
    <row r="229" spans="1:22" x14ac:dyDescent="0.25">
      <c r="A229" s="73">
        <v>63304</v>
      </c>
      <c r="B229" s="13" t="s">
        <v>229</v>
      </c>
      <c r="C229" s="155"/>
      <c r="D229" s="20">
        <v>32</v>
      </c>
      <c r="E229" s="16">
        <f>N226</f>
        <v>49613</v>
      </c>
      <c r="F229" s="16">
        <v>0</v>
      </c>
      <c r="G229" s="16"/>
      <c r="H229" s="16"/>
      <c r="I229" s="16"/>
      <c r="J229" s="16"/>
      <c r="K229" s="16"/>
      <c r="L229" s="16"/>
      <c r="M229" s="16"/>
      <c r="N229" s="127"/>
      <c r="O229" s="16"/>
      <c r="P229" s="61">
        <f>E229</f>
        <v>49613</v>
      </c>
      <c r="Q229" s="16"/>
      <c r="R229" s="16">
        <v>500000</v>
      </c>
      <c r="S229" s="16">
        <f>R229-T229</f>
        <v>10000</v>
      </c>
      <c r="T229" s="16">
        <v>490000</v>
      </c>
      <c r="U229" s="12" t="s">
        <v>345</v>
      </c>
      <c r="V229" s="16"/>
    </row>
    <row r="230" spans="1:22" x14ac:dyDescent="0.25">
      <c r="A230" s="73">
        <v>63304</v>
      </c>
      <c r="B230" s="13" t="s">
        <v>229</v>
      </c>
      <c r="C230" s="155"/>
      <c r="D230" s="20">
        <v>40</v>
      </c>
      <c r="E230" s="16">
        <f>N227</f>
        <v>99225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22">
        <f>E230</f>
        <v>99225</v>
      </c>
      <c r="Q230" s="16"/>
      <c r="R230" s="16">
        <v>500000</v>
      </c>
      <c r="S230" s="16">
        <f>R230-T230</f>
        <v>10000</v>
      </c>
      <c r="T230" s="16">
        <v>490000</v>
      </c>
      <c r="U230" s="12" t="s">
        <v>353</v>
      </c>
      <c r="V230" s="16"/>
    </row>
    <row r="231" spans="1:22" ht="31.5" x14ac:dyDescent="0.25">
      <c r="A231" s="73">
        <v>63304</v>
      </c>
      <c r="B231" s="13" t="s">
        <v>479</v>
      </c>
      <c r="C231" s="155">
        <v>45581</v>
      </c>
      <c r="D231" s="20">
        <v>62</v>
      </c>
      <c r="E231" s="16">
        <v>275625</v>
      </c>
      <c r="F231" s="16"/>
      <c r="G231" s="16">
        <f t="shared" ref="G231" si="198">E231-F231</f>
        <v>275625</v>
      </c>
      <c r="H231" s="16">
        <f>ROUND(G231*18%,)</f>
        <v>49613</v>
      </c>
      <c r="I231" s="16">
        <f>ROUND(G231+H231,)</f>
        <v>325238</v>
      </c>
      <c r="J231" s="16">
        <f>G231*2%</f>
        <v>5512.5</v>
      </c>
      <c r="K231" s="16">
        <f>ROUND(G231*5%,)</f>
        <v>13781</v>
      </c>
      <c r="L231" s="16"/>
      <c r="M231" s="16"/>
      <c r="N231" s="122">
        <f>H231</f>
        <v>49613</v>
      </c>
      <c r="O231" s="16"/>
      <c r="P231" s="61">
        <f>I231-SUM(J231:O231)</f>
        <v>256331.5</v>
      </c>
      <c r="Q231" s="16"/>
      <c r="R231" s="16">
        <v>300000</v>
      </c>
      <c r="S231" s="16">
        <f>R231-T231</f>
        <v>6000</v>
      </c>
      <c r="T231" s="16">
        <v>294000</v>
      </c>
      <c r="U231" s="12" t="s">
        <v>389</v>
      </c>
      <c r="V231" s="16"/>
    </row>
    <row r="232" spans="1:22" x14ac:dyDescent="0.25">
      <c r="A232" s="73">
        <v>63304</v>
      </c>
      <c r="B232" s="13" t="s">
        <v>229</v>
      </c>
      <c r="C232" s="155"/>
      <c r="D232" s="20">
        <v>62</v>
      </c>
      <c r="E232" s="16">
        <f>N231</f>
        <v>49613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22">
        <f>E232</f>
        <v>49613</v>
      </c>
      <c r="Q232" s="16"/>
      <c r="R232" s="16"/>
      <c r="S232" s="16"/>
      <c r="T232" s="16"/>
      <c r="U232" s="12"/>
      <c r="V232" s="16"/>
    </row>
    <row r="233" spans="1:22" ht="31.5" x14ac:dyDescent="0.25">
      <c r="A233" s="73">
        <v>63304</v>
      </c>
      <c r="B233" s="13" t="s">
        <v>479</v>
      </c>
      <c r="C233" s="155">
        <v>45672</v>
      </c>
      <c r="D233" s="20">
        <v>104</v>
      </c>
      <c r="E233" s="16">
        <v>551250</v>
      </c>
      <c r="F233" s="16"/>
      <c r="G233" s="16">
        <f t="shared" ref="G233" si="199">E233-F233</f>
        <v>551250</v>
      </c>
      <c r="H233" s="16">
        <f>ROUND(G233*18%,)</f>
        <v>99225</v>
      </c>
      <c r="I233" s="16">
        <f>ROUND(G233+H233,)</f>
        <v>650475</v>
      </c>
      <c r="J233" s="16">
        <f>G233*2%</f>
        <v>11025</v>
      </c>
      <c r="K233" s="16">
        <f>ROUND(G233*5%,)</f>
        <v>27563</v>
      </c>
      <c r="L233" s="16"/>
      <c r="M233" s="16"/>
      <c r="N233" s="122">
        <f>H233</f>
        <v>99225</v>
      </c>
      <c r="O233" s="16"/>
      <c r="P233" s="61">
        <f>I233-SUM(J233:O233)</f>
        <v>512662</v>
      </c>
      <c r="Q233" s="16"/>
      <c r="R233" s="16"/>
      <c r="S233" s="16"/>
      <c r="T233" s="16"/>
      <c r="U233" s="12"/>
      <c r="V233" s="16"/>
    </row>
    <row r="234" spans="1:22" x14ac:dyDescent="0.25">
      <c r="A234" s="73">
        <v>63304</v>
      </c>
      <c r="B234" s="13" t="s">
        <v>229</v>
      </c>
      <c r="C234" s="155"/>
      <c r="D234" s="20">
        <v>104</v>
      </c>
      <c r="E234" s="16">
        <f>N233</f>
        <v>99225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22">
        <f>E234</f>
        <v>99225</v>
      </c>
      <c r="Q234" s="16"/>
      <c r="R234" s="16"/>
      <c r="S234" s="16"/>
      <c r="T234" s="16"/>
      <c r="U234" s="12"/>
      <c r="V234" s="16"/>
    </row>
    <row r="235" spans="1:22" ht="31.5" x14ac:dyDescent="0.25">
      <c r="A235" s="73">
        <v>63304</v>
      </c>
      <c r="B235" s="13" t="s">
        <v>479</v>
      </c>
      <c r="C235" s="155">
        <v>45744</v>
      </c>
      <c r="D235" s="20">
        <v>121</v>
      </c>
      <c r="E235" s="16">
        <v>578812</v>
      </c>
      <c r="F235" s="16">
        <v>207108</v>
      </c>
      <c r="G235" s="16">
        <f t="shared" ref="G235" si="200">E235-F235</f>
        <v>371704</v>
      </c>
      <c r="H235" s="16">
        <f>ROUND(G235*18%,)</f>
        <v>66907</v>
      </c>
      <c r="I235" s="16">
        <f>ROUND(G235+H235,)</f>
        <v>438611</v>
      </c>
      <c r="J235" s="16">
        <f>G235*2%</f>
        <v>7434.08</v>
      </c>
      <c r="K235" s="16">
        <f>ROUND(G235*5%,)</f>
        <v>18585</v>
      </c>
      <c r="L235" s="16"/>
      <c r="M235" s="16"/>
      <c r="N235" s="122">
        <f>H235</f>
        <v>66907</v>
      </c>
      <c r="O235" s="16">
        <v>137813</v>
      </c>
      <c r="P235" s="61">
        <f>I235-SUM(J235:O235)</f>
        <v>207871.91999999998</v>
      </c>
      <c r="Q235" s="16"/>
      <c r="R235" s="16"/>
      <c r="S235" s="16"/>
      <c r="T235" s="16"/>
      <c r="U235" s="12"/>
      <c r="V235" s="16"/>
    </row>
    <row r="236" spans="1:22" x14ac:dyDescent="0.25">
      <c r="A236" s="73">
        <v>63304</v>
      </c>
      <c r="B236" s="13" t="s">
        <v>229</v>
      </c>
      <c r="C236" s="155"/>
      <c r="D236" s="20">
        <v>121</v>
      </c>
      <c r="E236" s="16">
        <f>N235</f>
        <v>66907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22">
        <f>E236</f>
        <v>66907</v>
      </c>
      <c r="Q236" s="16"/>
      <c r="R236" s="16"/>
      <c r="S236" s="16"/>
      <c r="T236" s="16"/>
      <c r="U236" s="12"/>
      <c r="V236" s="16"/>
    </row>
    <row r="237" spans="1:22" x14ac:dyDescent="0.25">
      <c r="A237" s="73">
        <v>64571</v>
      </c>
      <c r="B237" s="74"/>
      <c r="C237" s="154"/>
      <c r="D237" s="116"/>
      <c r="E237" s="74"/>
      <c r="F237" s="74"/>
      <c r="G237" s="74"/>
      <c r="H237" s="75"/>
      <c r="I237" s="74"/>
      <c r="J237" s="75"/>
      <c r="K237" s="75"/>
      <c r="L237" s="75"/>
      <c r="M237" s="75"/>
      <c r="N237" s="75"/>
      <c r="O237" s="75"/>
      <c r="P237" s="74"/>
      <c r="Q237" s="74"/>
      <c r="R237" s="74"/>
      <c r="S237" s="75"/>
      <c r="T237" s="74"/>
      <c r="U237" s="74"/>
      <c r="V237" s="74"/>
    </row>
    <row r="238" spans="1:22" x14ac:dyDescent="0.25">
      <c r="A238" s="73">
        <v>64571</v>
      </c>
      <c r="B238" s="13" t="s">
        <v>455</v>
      </c>
      <c r="C238" s="155">
        <v>45551</v>
      </c>
      <c r="D238" s="20">
        <v>46</v>
      </c>
      <c r="E238" s="16">
        <v>752250</v>
      </c>
      <c r="F238" s="16"/>
      <c r="G238" s="16">
        <f t="shared" ref="G238" si="201">E238-F238</f>
        <v>752250</v>
      </c>
      <c r="H238" s="16">
        <f>ROUND(G238*18%,)</f>
        <v>135405</v>
      </c>
      <c r="I238" s="16">
        <f>ROUND(G238+H238,)</f>
        <v>887655</v>
      </c>
      <c r="J238" s="16">
        <f>G238*2%</f>
        <v>15045</v>
      </c>
      <c r="K238" s="16">
        <f>ROUND(G238*5%,)</f>
        <v>37613</v>
      </c>
      <c r="L238" s="16"/>
      <c r="M238" s="16"/>
      <c r="N238" s="122">
        <f>H238</f>
        <v>135405</v>
      </c>
      <c r="O238" s="16"/>
      <c r="P238" s="61">
        <f>I238-SUM(J238:O238)</f>
        <v>699592</v>
      </c>
      <c r="Q238" s="16"/>
      <c r="R238" s="130">
        <v>500000</v>
      </c>
      <c r="S238" s="16">
        <f t="shared" ref="S238:S243" si="202">R238-T238</f>
        <v>10000</v>
      </c>
      <c r="T238" s="16">
        <v>490000</v>
      </c>
      <c r="U238" s="12" t="s">
        <v>344</v>
      </c>
      <c r="V238" s="16">
        <f>SUM(P238:P247)-SUM(T238:T247)</f>
        <v>275219.71999999974</v>
      </c>
    </row>
    <row r="239" spans="1:22" x14ac:dyDescent="0.25">
      <c r="A239" s="73">
        <v>64571</v>
      </c>
      <c r="B239" s="13" t="s">
        <v>229</v>
      </c>
      <c r="C239" s="155"/>
      <c r="D239" s="20">
        <v>46</v>
      </c>
      <c r="E239" s="16">
        <f>N238</f>
        <v>135405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22">
        <f>E239</f>
        <v>135405</v>
      </c>
      <c r="Q239" s="16"/>
      <c r="R239" s="130">
        <v>500000</v>
      </c>
      <c r="S239" s="16">
        <f t="shared" si="202"/>
        <v>10000</v>
      </c>
      <c r="T239" s="16">
        <v>490000</v>
      </c>
      <c r="U239" s="12" t="s">
        <v>352</v>
      </c>
      <c r="V239" s="16"/>
    </row>
    <row r="240" spans="1:22" x14ac:dyDescent="0.25">
      <c r="A240" s="73">
        <v>64571</v>
      </c>
      <c r="B240" s="13" t="s">
        <v>455</v>
      </c>
      <c r="C240" s="155">
        <v>45583</v>
      </c>
      <c r="D240" s="20">
        <v>66</v>
      </c>
      <c r="E240" s="16">
        <v>1003000</v>
      </c>
      <c r="F240" s="16"/>
      <c r="G240" s="16">
        <f t="shared" ref="G240" si="203">E240-F240</f>
        <v>1003000</v>
      </c>
      <c r="H240" s="16">
        <f>ROUND(G240*18%,)</f>
        <v>180540</v>
      </c>
      <c r="I240" s="16">
        <f>ROUND(G240+H240,)</f>
        <v>1183540</v>
      </c>
      <c r="J240" s="16">
        <f>G240*2%</f>
        <v>20060</v>
      </c>
      <c r="K240" s="16">
        <f>ROUND(G240*5%,)</f>
        <v>50150</v>
      </c>
      <c r="L240" s="16"/>
      <c r="M240" s="16"/>
      <c r="N240" s="122">
        <f>H240</f>
        <v>180540</v>
      </c>
      <c r="O240" s="16"/>
      <c r="P240" s="61">
        <f>I240-SUM(J240:O240)</f>
        <v>932790</v>
      </c>
      <c r="Q240" s="16"/>
      <c r="R240" s="130">
        <v>500000</v>
      </c>
      <c r="S240" s="16">
        <f t="shared" si="202"/>
        <v>10000</v>
      </c>
      <c r="T240" s="16">
        <v>490000</v>
      </c>
      <c r="U240" s="12" t="s">
        <v>360</v>
      </c>
      <c r="V240" s="16"/>
    </row>
    <row r="241" spans="1:22" x14ac:dyDescent="0.25">
      <c r="A241" s="73">
        <v>64571</v>
      </c>
      <c r="B241" s="13" t="s">
        <v>229</v>
      </c>
      <c r="C241" s="155"/>
      <c r="D241" s="20">
        <v>66</v>
      </c>
      <c r="E241" s="16">
        <f>N240</f>
        <v>180540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22">
        <f>E241</f>
        <v>180540</v>
      </c>
      <c r="Q241" s="16"/>
      <c r="R241" s="130">
        <v>500000</v>
      </c>
      <c r="S241" s="16">
        <f t="shared" si="202"/>
        <v>10000</v>
      </c>
      <c r="T241" s="16">
        <v>490000</v>
      </c>
      <c r="U241" s="12" t="s">
        <v>370</v>
      </c>
      <c r="V241" s="16"/>
    </row>
    <row r="242" spans="1:22" x14ac:dyDescent="0.25">
      <c r="A242" s="73">
        <v>64571</v>
      </c>
      <c r="B242" s="13" t="s">
        <v>392</v>
      </c>
      <c r="C242" s="156">
        <v>45604</v>
      </c>
      <c r="D242" s="20">
        <v>89</v>
      </c>
      <c r="E242" s="16">
        <v>105314</v>
      </c>
      <c r="F242" s="16">
        <v>0</v>
      </c>
      <c r="G242" s="16">
        <f t="shared" ref="G242" si="204">E242-F242</f>
        <v>105314</v>
      </c>
      <c r="H242" s="16">
        <f>ROUND(G242*18%,)</f>
        <v>18957</v>
      </c>
      <c r="I242" s="16">
        <f>ROUND(G242+H242,)</f>
        <v>124271</v>
      </c>
      <c r="J242" s="16">
        <f>G242*2%</f>
        <v>2106.2800000000002</v>
      </c>
      <c r="K242" s="16">
        <f>ROUND(G242*5%,)</f>
        <v>5266</v>
      </c>
      <c r="L242" s="16"/>
      <c r="M242" s="16"/>
      <c r="N242" s="122">
        <f>H242</f>
        <v>18957</v>
      </c>
      <c r="O242" s="16"/>
      <c r="P242" s="16">
        <f t="shared" ref="P242" si="205">I242-SUM(J242:O242)</f>
        <v>97941.72</v>
      </c>
      <c r="Q242" s="16"/>
      <c r="R242" s="16">
        <v>500000</v>
      </c>
      <c r="S242" s="16">
        <f t="shared" si="202"/>
        <v>0</v>
      </c>
      <c r="T242" s="16">
        <v>500000</v>
      </c>
      <c r="U242" s="12" t="s">
        <v>416</v>
      </c>
      <c r="V242" s="16"/>
    </row>
    <row r="243" spans="1:22" x14ac:dyDescent="0.25">
      <c r="A243" s="73">
        <v>64571</v>
      </c>
      <c r="B243" s="13" t="s">
        <v>42</v>
      </c>
      <c r="C243" s="156"/>
      <c r="D243" s="20">
        <v>89</v>
      </c>
      <c r="E243" s="16">
        <f>N242</f>
        <v>18957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22">
        <f>E243</f>
        <v>18957</v>
      </c>
      <c r="Q243" s="16"/>
      <c r="R243" s="16">
        <v>1000000</v>
      </c>
      <c r="S243" s="16">
        <f t="shared" si="202"/>
        <v>0</v>
      </c>
      <c r="T243" s="16">
        <v>1000000</v>
      </c>
      <c r="U243" s="12" t="s">
        <v>419</v>
      </c>
      <c r="V243" s="16"/>
    </row>
    <row r="244" spans="1:22" x14ac:dyDescent="0.25">
      <c r="A244" s="73">
        <v>64571</v>
      </c>
      <c r="B244" s="13" t="s">
        <v>455</v>
      </c>
      <c r="C244" s="155">
        <v>45707</v>
      </c>
      <c r="D244" s="20">
        <v>109</v>
      </c>
      <c r="E244" s="16">
        <v>1253750</v>
      </c>
      <c r="F244" s="16"/>
      <c r="G244" s="16">
        <f t="shared" ref="G244" si="206">E244-F244</f>
        <v>1253750</v>
      </c>
      <c r="H244" s="16">
        <f>ROUND(G244*18%,)</f>
        <v>225675</v>
      </c>
      <c r="I244" s="16">
        <f>ROUND(G244+H244,)</f>
        <v>1479425</v>
      </c>
      <c r="J244" s="16">
        <f>G244*2%</f>
        <v>25075</v>
      </c>
      <c r="K244" s="16">
        <f>ROUND(G244*5%,)</f>
        <v>62688</v>
      </c>
      <c r="L244" s="16"/>
      <c r="M244" s="16"/>
      <c r="N244" s="122">
        <f>H244</f>
        <v>225675</v>
      </c>
      <c r="O244" s="16"/>
      <c r="P244" s="61">
        <f>I244-SUM(J244:O244)</f>
        <v>1165987</v>
      </c>
      <c r="Q244" s="16"/>
      <c r="R244" s="16"/>
      <c r="S244" s="16"/>
      <c r="T244" s="16"/>
      <c r="U244" s="12"/>
      <c r="V244" s="16"/>
    </row>
    <row r="245" spans="1:22" x14ac:dyDescent="0.25">
      <c r="A245" s="73">
        <v>64571</v>
      </c>
      <c r="B245" s="13" t="s">
        <v>229</v>
      </c>
      <c r="C245" s="155"/>
      <c r="D245" s="20">
        <v>109</v>
      </c>
      <c r="E245" s="16">
        <f>N244</f>
        <v>225675</v>
      </c>
      <c r="F245" s="16"/>
      <c r="G245" s="16"/>
      <c r="H245" s="16"/>
      <c r="I245" s="16"/>
      <c r="J245" s="16"/>
      <c r="K245" s="16"/>
      <c r="L245" s="16"/>
      <c r="M245" s="16"/>
      <c r="N245" s="127"/>
      <c r="O245" s="16"/>
      <c r="P245" s="122">
        <f>E245</f>
        <v>225675</v>
      </c>
      <c r="Q245" s="16"/>
      <c r="R245" s="16"/>
      <c r="S245" s="16"/>
      <c r="T245" s="16"/>
      <c r="U245" s="12"/>
      <c r="V245" s="16"/>
    </row>
    <row r="246" spans="1:22" x14ac:dyDescent="0.25">
      <c r="A246" s="73">
        <v>64571</v>
      </c>
      <c r="B246" s="13" t="s">
        <v>455</v>
      </c>
      <c r="C246" s="155">
        <v>45744</v>
      </c>
      <c r="D246" s="20">
        <v>118</v>
      </c>
      <c r="E246" s="16">
        <v>250750</v>
      </c>
      <c r="F246" s="16"/>
      <c r="G246" s="16">
        <f t="shared" ref="G246" si="207">E246-F246</f>
        <v>250750</v>
      </c>
      <c r="H246" s="16">
        <f>ROUND(G246*18%,)</f>
        <v>45135</v>
      </c>
      <c r="I246" s="16">
        <f>ROUND(G246+H246,)</f>
        <v>295885</v>
      </c>
      <c r="J246" s="16">
        <f>G246*2%</f>
        <v>5015</v>
      </c>
      <c r="K246" s="16">
        <f>ROUND(G246*5%,)</f>
        <v>12538</v>
      </c>
      <c r="L246" s="16"/>
      <c r="M246" s="16"/>
      <c r="N246" s="122">
        <f>H246</f>
        <v>45135</v>
      </c>
      <c r="O246" s="16"/>
      <c r="P246" s="61">
        <f>I246-SUM(J246:O246)</f>
        <v>233197</v>
      </c>
      <c r="Q246" s="16"/>
      <c r="R246" s="16"/>
      <c r="S246" s="16"/>
      <c r="T246" s="16"/>
      <c r="U246" s="12"/>
      <c r="V246" s="16"/>
    </row>
    <row r="247" spans="1:22" x14ac:dyDescent="0.25">
      <c r="A247" s="73">
        <v>64571</v>
      </c>
      <c r="B247" s="13" t="s">
        <v>229</v>
      </c>
      <c r="C247" s="155"/>
      <c r="D247" s="20">
        <v>118</v>
      </c>
      <c r="E247" s="16">
        <f>N246</f>
        <v>45135</v>
      </c>
      <c r="F247" s="16"/>
      <c r="G247" s="16"/>
      <c r="H247" s="16"/>
      <c r="I247" s="16"/>
      <c r="J247" s="16"/>
      <c r="K247" s="16"/>
      <c r="L247" s="16"/>
      <c r="M247" s="16"/>
      <c r="N247" s="127"/>
      <c r="O247" s="16"/>
      <c r="P247" s="122">
        <f>E247</f>
        <v>45135</v>
      </c>
      <c r="Q247" s="16"/>
      <c r="R247" s="16"/>
      <c r="S247" s="16"/>
      <c r="T247" s="16"/>
      <c r="U247" s="12"/>
      <c r="V247" s="16"/>
    </row>
    <row r="248" spans="1:22" x14ac:dyDescent="0.25">
      <c r="A248" s="73">
        <v>64572</v>
      </c>
      <c r="B248" s="74"/>
      <c r="C248" s="154"/>
      <c r="D248" s="116"/>
      <c r="E248" s="74"/>
      <c r="F248" s="74"/>
      <c r="G248" s="74"/>
      <c r="H248" s="75"/>
      <c r="I248" s="74"/>
      <c r="J248" s="75"/>
      <c r="K248" s="75"/>
      <c r="L248" s="75"/>
      <c r="M248" s="75"/>
      <c r="N248" s="75"/>
      <c r="O248" s="75"/>
      <c r="P248" s="74"/>
      <c r="Q248" s="74"/>
      <c r="R248" s="74"/>
      <c r="S248" s="75"/>
      <c r="T248" s="74"/>
      <c r="U248" s="74"/>
      <c r="V248" s="74"/>
    </row>
    <row r="249" spans="1:22" ht="31.5" x14ac:dyDescent="0.25">
      <c r="A249" s="73">
        <v>64572</v>
      </c>
      <c r="B249" s="13" t="s">
        <v>456</v>
      </c>
      <c r="C249" s="155">
        <v>45370</v>
      </c>
      <c r="D249" s="20">
        <v>34</v>
      </c>
      <c r="E249" s="16">
        <v>649687</v>
      </c>
      <c r="F249" s="16">
        <v>0</v>
      </c>
      <c r="G249" s="16">
        <f t="shared" ref="G249" si="208">E249-F249</f>
        <v>649687</v>
      </c>
      <c r="H249" s="16">
        <f>ROUND(G249*18%,)</f>
        <v>116944</v>
      </c>
      <c r="I249" s="16">
        <f>ROUND(G249+H249,)</f>
        <v>766631</v>
      </c>
      <c r="J249" s="16">
        <f>G249*2%</f>
        <v>12993.74</v>
      </c>
      <c r="K249" s="16">
        <f>ROUND(G249*5%,)</f>
        <v>32484</v>
      </c>
      <c r="L249" s="16"/>
      <c r="M249" s="16"/>
      <c r="N249" s="122">
        <f>H249</f>
        <v>116944</v>
      </c>
      <c r="O249" s="16"/>
      <c r="P249" s="61">
        <f>I249-SUM(J249:O249)</f>
        <v>604209.26</v>
      </c>
      <c r="Q249" s="16"/>
      <c r="R249" s="16">
        <v>500000</v>
      </c>
      <c r="S249" s="16">
        <f>R249-T249</f>
        <v>5000</v>
      </c>
      <c r="T249" s="16">
        <v>495000</v>
      </c>
      <c r="U249" s="12" t="s">
        <v>302</v>
      </c>
      <c r="V249" s="16">
        <f>SUM(P249:P253)-SUM(T249:T253)</f>
        <v>-1096846.74</v>
      </c>
    </row>
    <row r="250" spans="1:22" x14ac:dyDescent="0.25">
      <c r="A250" s="73">
        <v>64572</v>
      </c>
      <c r="B250" s="13" t="s">
        <v>229</v>
      </c>
      <c r="C250" s="155"/>
      <c r="D250" s="20">
        <v>34</v>
      </c>
      <c r="E250" s="16">
        <f>N249</f>
        <v>116944</v>
      </c>
      <c r="F250" s="16">
        <v>0</v>
      </c>
      <c r="G250" s="16"/>
      <c r="H250" s="16"/>
      <c r="I250" s="16"/>
      <c r="J250" s="16"/>
      <c r="K250" s="16"/>
      <c r="L250" s="16"/>
      <c r="M250" s="16"/>
      <c r="N250" s="127"/>
      <c r="O250" s="16"/>
      <c r="P250" s="122">
        <f>E250</f>
        <v>116944</v>
      </c>
      <c r="Q250" s="16"/>
      <c r="R250" s="16">
        <v>250000</v>
      </c>
      <c r="S250" s="16">
        <f>R250-T250</f>
        <v>5000</v>
      </c>
      <c r="T250" s="16">
        <v>245000</v>
      </c>
      <c r="U250" s="12" t="s">
        <v>305</v>
      </c>
      <c r="V250" s="16"/>
    </row>
    <row r="251" spans="1:22" x14ac:dyDescent="0.25">
      <c r="A251" s="73">
        <v>64572</v>
      </c>
      <c r="B251" s="13"/>
      <c r="C251" s="155"/>
      <c r="D251" s="20"/>
      <c r="E251" s="16"/>
      <c r="F251" s="16"/>
      <c r="G251" s="16"/>
      <c r="H251" s="16"/>
      <c r="I251" s="16"/>
      <c r="J251" s="16"/>
      <c r="K251" s="16"/>
      <c r="L251" s="16"/>
      <c r="M251" s="16"/>
      <c r="N251" s="128"/>
      <c r="O251" s="16"/>
      <c r="P251" s="127"/>
      <c r="Q251" s="16"/>
      <c r="R251" s="16">
        <v>300000</v>
      </c>
      <c r="S251" s="16">
        <v>6000</v>
      </c>
      <c r="T251" s="16">
        <v>294000</v>
      </c>
      <c r="U251" s="12" t="s">
        <v>308</v>
      </c>
      <c r="V251" s="16"/>
    </row>
    <row r="252" spans="1:22" x14ac:dyDescent="0.25">
      <c r="A252" s="73">
        <v>64572</v>
      </c>
      <c r="B252" s="13"/>
      <c r="C252" s="155"/>
      <c r="D252" s="20"/>
      <c r="E252" s="16"/>
      <c r="F252" s="16"/>
      <c r="G252" s="16"/>
      <c r="H252" s="16"/>
      <c r="I252" s="16"/>
      <c r="J252" s="16"/>
      <c r="K252" s="16"/>
      <c r="L252" s="16"/>
      <c r="M252" s="16"/>
      <c r="N252" s="127"/>
      <c r="O252" s="16"/>
      <c r="P252" s="127"/>
      <c r="Q252" s="16"/>
      <c r="R252" s="16">
        <v>400000</v>
      </c>
      <c r="S252" s="16">
        <v>8000</v>
      </c>
      <c r="T252" s="16">
        <v>392000</v>
      </c>
      <c r="U252" s="12" t="s">
        <v>333</v>
      </c>
      <c r="V252" s="16"/>
    </row>
    <row r="253" spans="1:22" x14ac:dyDescent="0.25">
      <c r="A253" s="73">
        <v>64572</v>
      </c>
      <c r="B253" s="13"/>
      <c r="C253" s="155"/>
      <c r="D253" s="20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>
        <v>400000</v>
      </c>
      <c r="S253" s="16">
        <v>8000</v>
      </c>
      <c r="T253" s="16">
        <v>392000</v>
      </c>
      <c r="U253" s="12" t="s">
        <v>334</v>
      </c>
      <c r="V253" s="16"/>
    </row>
    <row r="254" spans="1:22" x14ac:dyDescent="0.25">
      <c r="A254" s="73">
        <v>65806</v>
      </c>
      <c r="B254" s="74"/>
      <c r="C254" s="154"/>
      <c r="D254" s="116"/>
      <c r="E254" s="74"/>
      <c r="F254" s="74"/>
      <c r="G254" s="74"/>
      <c r="H254" s="75"/>
      <c r="I254" s="74"/>
      <c r="J254" s="75"/>
      <c r="K254" s="75"/>
      <c r="L254" s="75"/>
      <c r="M254" s="75"/>
      <c r="N254" s="75"/>
      <c r="O254" s="75"/>
      <c r="P254" s="74"/>
      <c r="Q254" s="74"/>
      <c r="R254" s="74"/>
      <c r="S254" s="75"/>
      <c r="T254" s="74"/>
      <c r="U254" s="74"/>
      <c r="V254" s="74"/>
    </row>
    <row r="255" spans="1:22" x14ac:dyDescent="0.25">
      <c r="A255" s="73">
        <v>65806</v>
      </c>
      <c r="B255" s="13" t="s">
        <v>457</v>
      </c>
      <c r="C255" s="155">
        <v>45587</v>
      </c>
      <c r="D255" s="20">
        <v>75</v>
      </c>
      <c r="E255" s="16">
        <v>561502</v>
      </c>
      <c r="F255" s="16">
        <v>0</v>
      </c>
      <c r="G255" s="16">
        <f t="shared" ref="G255" si="209">E255-F255</f>
        <v>561502</v>
      </c>
      <c r="H255" s="16">
        <f>ROUND(G255*18%,)</f>
        <v>101070</v>
      </c>
      <c r="I255" s="16">
        <f>ROUND(G255+H255,)</f>
        <v>662572</v>
      </c>
      <c r="J255" s="16">
        <f>G255*2%</f>
        <v>11230.04</v>
      </c>
      <c r="K255" s="16">
        <f>ROUND(G255*5%,)</f>
        <v>28075</v>
      </c>
      <c r="L255" s="16">
        <f>G255*10%</f>
        <v>56150.200000000004</v>
      </c>
      <c r="M255" s="16">
        <f>G255*10%</f>
        <v>56150.200000000004</v>
      </c>
      <c r="N255" s="122">
        <f>H255</f>
        <v>101070</v>
      </c>
      <c r="O255" s="16"/>
      <c r="P255" s="61">
        <f>I255-SUM(J255:O255)</f>
        <v>409896.56</v>
      </c>
      <c r="Q255" s="16"/>
      <c r="R255" s="16">
        <v>250000</v>
      </c>
      <c r="S255" s="16">
        <f>R255-T255</f>
        <v>5000</v>
      </c>
      <c r="T255" s="16">
        <v>245000</v>
      </c>
      <c r="U255" s="12" t="s">
        <v>313</v>
      </c>
      <c r="V255" s="16">
        <f>SUM(P255:P259)-SUM(T255:T259)</f>
        <v>175496.64</v>
      </c>
    </row>
    <row r="256" spans="1:22" x14ac:dyDescent="0.25">
      <c r="A256" s="73">
        <v>65806</v>
      </c>
      <c r="B256" s="13" t="s">
        <v>457</v>
      </c>
      <c r="C256" s="155">
        <v>45587</v>
      </c>
      <c r="D256" s="20">
        <v>78</v>
      </c>
      <c r="E256" s="16">
        <v>401476</v>
      </c>
      <c r="F256" s="16">
        <v>0</v>
      </c>
      <c r="G256" s="16">
        <f t="shared" ref="G256" si="210">E256-F256</f>
        <v>401476</v>
      </c>
      <c r="H256" s="16">
        <f>ROUND(G256*18%,)</f>
        <v>72266</v>
      </c>
      <c r="I256" s="16">
        <f>ROUND(G256+H256,)</f>
        <v>473742</v>
      </c>
      <c r="J256" s="16">
        <f>G256*2%</f>
        <v>8029.52</v>
      </c>
      <c r="K256" s="16">
        <f>ROUND(G256*5%,)</f>
        <v>20074</v>
      </c>
      <c r="L256" s="16">
        <f>G256*10%</f>
        <v>40147.600000000006</v>
      </c>
      <c r="M256" s="16">
        <f>G256*10%</f>
        <v>40147.600000000006</v>
      </c>
      <c r="N256" s="122">
        <f>H256</f>
        <v>72266</v>
      </c>
      <c r="O256" s="16"/>
      <c r="P256" s="61">
        <f>I256-SUM(J256:O256)</f>
        <v>293077.27999999997</v>
      </c>
      <c r="Q256" s="16"/>
      <c r="R256" s="16">
        <v>200000</v>
      </c>
      <c r="S256" s="16">
        <f>R256-T256</f>
        <v>4000</v>
      </c>
      <c r="T256" s="16">
        <v>196000</v>
      </c>
      <c r="U256" s="12" t="s">
        <v>324</v>
      </c>
      <c r="V256" s="16"/>
    </row>
    <row r="257" spans="1:22" x14ac:dyDescent="0.25">
      <c r="A257" s="73">
        <v>65806</v>
      </c>
      <c r="B257" s="13" t="s">
        <v>229</v>
      </c>
      <c r="C257" s="155"/>
      <c r="D257" s="20" t="s">
        <v>363</v>
      </c>
      <c r="E257" s="16">
        <f>N255+N256</f>
        <v>173336</v>
      </c>
      <c r="F257" s="16">
        <v>0</v>
      </c>
      <c r="G257" s="16"/>
      <c r="H257" s="16"/>
      <c r="I257" s="16"/>
      <c r="J257" s="16"/>
      <c r="K257" s="16"/>
      <c r="L257" s="16"/>
      <c r="M257" s="16"/>
      <c r="N257" s="127"/>
      <c r="O257" s="16"/>
      <c r="P257" s="122">
        <f>E257</f>
        <v>173336</v>
      </c>
      <c r="Q257" s="16"/>
      <c r="R257" s="16">
        <v>300000</v>
      </c>
      <c r="S257" s="16">
        <f>R257-T257</f>
        <v>6000</v>
      </c>
      <c r="T257" s="16">
        <v>294000</v>
      </c>
      <c r="U257" s="12" t="s">
        <v>364</v>
      </c>
      <c r="V257" s="16"/>
    </row>
    <row r="258" spans="1:22" x14ac:dyDescent="0.25">
      <c r="A258" s="73">
        <v>65806</v>
      </c>
      <c r="B258" s="13" t="s">
        <v>457</v>
      </c>
      <c r="C258" s="155">
        <v>45587</v>
      </c>
      <c r="D258" s="20">
        <v>77</v>
      </c>
      <c r="E258" s="16">
        <v>36760</v>
      </c>
      <c r="F258" s="16">
        <v>0</v>
      </c>
      <c r="G258" s="16">
        <f t="shared" ref="G258" si="211">E258-F258</f>
        <v>36760</v>
      </c>
      <c r="H258" s="16">
        <f>ROUND(G258*18%,)</f>
        <v>6617</v>
      </c>
      <c r="I258" s="16">
        <f>ROUND(G258+H258,)</f>
        <v>43377</v>
      </c>
      <c r="J258" s="16">
        <f>G258*2%</f>
        <v>735.2</v>
      </c>
      <c r="K258" s="16">
        <f>ROUND(G258*5%,)</f>
        <v>1838</v>
      </c>
      <c r="L258" s="16">
        <v>0</v>
      </c>
      <c r="M258" s="16">
        <v>0</v>
      </c>
      <c r="N258" s="122">
        <f>H258</f>
        <v>6617</v>
      </c>
      <c r="O258" s="16"/>
      <c r="P258" s="61">
        <f>I258-SUM(J258:O258)</f>
        <v>34186.800000000003</v>
      </c>
      <c r="Q258" s="16"/>
      <c r="R258" s="16"/>
      <c r="S258" s="16"/>
      <c r="T258" s="16"/>
      <c r="U258" s="12"/>
      <c r="V258" s="16"/>
    </row>
    <row r="259" spans="1:22" x14ac:dyDescent="0.25">
      <c r="A259" s="73">
        <v>65806</v>
      </c>
      <c r="B259" s="13" t="s">
        <v>457</v>
      </c>
      <c r="C259" s="155">
        <v>45587</v>
      </c>
      <c r="D259" s="20">
        <v>106</v>
      </c>
      <c r="E259" s="16">
        <v>107885</v>
      </c>
      <c r="F259" s="16">
        <v>0</v>
      </c>
      <c r="G259" s="16">
        <f t="shared" ref="G259" si="212">E259-F259</f>
        <v>107885</v>
      </c>
      <c r="H259" s="16">
        <f>ROUND(G259*18%,)</f>
        <v>19419</v>
      </c>
      <c r="I259" s="16">
        <f>ROUND(G259+H259,)</f>
        <v>127304</v>
      </c>
      <c r="J259" s="16">
        <f>G259*2%</f>
        <v>2157.6999999999998</v>
      </c>
      <c r="K259" s="16">
        <f>ROUND(G259*5%,)</f>
        <v>5394</v>
      </c>
      <c r="L259" s="16">
        <v>0</v>
      </c>
      <c r="M259" s="16">
        <v>0</v>
      </c>
      <c r="N259" s="142">
        <f>H259</f>
        <v>19419</v>
      </c>
      <c r="O259" s="128"/>
      <c r="P259" s="127"/>
      <c r="Q259" s="16"/>
      <c r="R259" s="16"/>
      <c r="S259" s="16"/>
      <c r="T259" s="16"/>
      <c r="U259" s="12"/>
      <c r="V259" s="16"/>
    </row>
    <row r="260" spans="1:22" x14ac:dyDescent="0.25">
      <c r="A260" s="73">
        <v>65806</v>
      </c>
      <c r="B260" s="13"/>
      <c r="C260" s="155"/>
      <c r="D260" s="20"/>
      <c r="E260" s="16"/>
      <c r="F260" s="16"/>
      <c r="G260" s="16"/>
      <c r="H260" s="16"/>
      <c r="I260" s="16"/>
      <c r="J260" s="16"/>
      <c r="K260" s="16"/>
      <c r="L260" s="16"/>
      <c r="M260" s="16"/>
      <c r="N260" s="127"/>
      <c r="O260" s="128"/>
      <c r="P260" s="127"/>
      <c r="Q260" s="16"/>
      <c r="R260" s="16"/>
      <c r="S260" s="16"/>
      <c r="T260" s="16"/>
      <c r="U260" s="12"/>
      <c r="V260" s="16"/>
    </row>
    <row r="261" spans="1:22" x14ac:dyDescent="0.25">
      <c r="A261" s="73">
        <v>65869</v>
      </c>
      <c r="B261" s="74"/>
      <c r="C261" s="154"/>
      <c r="D261" s="116"/>
      <c r="E261" s="74"/>
      <c r="F261" s="74"/>
      <c r="G261" s="74"/>
      <c r="H261" s="75"/>
      <c r="I261" s="74"/>
      <c r="J261" s="75"/>
      <c r="K261" s="75"/>
      <c r="L261" s="75"/>
      <c r="M261" s="75"/>
      <c r="N261" s="75"/>
      <c r="O261" s="75"/>
      <c r="P261" s="74"/>
      <c r="Q261" s="74"/>
      <c r="R261" s="74"/>
      <c r="S261" s="75"/>
      <c r="T261" s="74"/>
      <c r="U261" s="74"/>
      <c r="V261" s="74"/>
    </row>
    <row r="262" spans="1:22" x14ac:dyDescent="0.25">
      <c r="A262" s="73">
        <v>65869</v>
      </c>
      <c r="B262" s="13" t="s">
        <v>458</v>
      </c>
      <c r="C262" s="155">
        <v>45602</v>
      </c>
      <c r="D262" s="20">
        <v>83</v>
      </c>
      <c r="E262" s="16">
        <v>115289</v>
      </c>
      <c r="F262" s="16">
        <v>0</v>
      </c>
      <c r="G262" s="16">
        <f t="shared" ref="G262" si="213">E262-F262</f>
        <v>115289</v>
      </c>
      <c r="H262" s="16">
        <f>ROUND(G262*18%,)</f>
        <v>20752</v>
      </c>
      <c r="I262" s="16">
        <f>ROUND(G262+H262,)</f>
        <v>136041</v>
      </c>
      <c r="J262" s="16">
        <f>G262*2%</f>
        <v>2305.7800000000002</v>
      </c>
      <c r="K262" s="16">
        <f>ROUND(G262*5%,)</f>
        <v>5764</v>
      </c>
      <c r="L262" s="16">
        <f>G262*10%</f>
        <v>11528.900000000001</v>
      </c>
      <c r="M262" s="16">
        <f>G262*10%</f>
        <v>11528.900000000001</v>
      </c>
      <c r="N262" s="122">
        <f>H262</f>
        <v>20752</v>
      </c>
      <c r="O262" s="16"/>
      <c r="P262" s="61">
        <f>I262-SUM(J262:O262)</f>
        <v>84161.42</v>
      </c>
      <c r="Q262" s="16"/>
      <c r="R262" s="16">
        <v>125000</v>
      </c>
      <c r="S262" s="16">
        <f>R262-T262</f>
        <v>2500</v>
      </c>
      <c r="T262" s="16">
        <v>122500</v>
      </c>
      <c r="U262" s="12" t="s">
        <v>321</v>
      </c>
      <c r="V262" s="16">
        <f>SUM(P262:P263)-SUM(T262:T263)</f>
        <v>-213586.58000000002</v>
      </c>
    </row>
    <row r="263" spans="1:22" x14ac:dyDescent="0.25">
      <c r="A263" s="73">
        <v>65869</v>
      </c>
      <c r="B263" s="13" t="s">
        <v>229</v>
      </c>
      <c r="C263" s="155"/>
      <c r="D263" s="20">
        <v>83</v>
      </c>
      <c r="E263" s="16">
        <f>N262</f>
        <v>20752</v>
      </c>
      <c r="F263" s="16">
        <v>0</v>
      </c>
      <c r="G263" s="16"/>
      <c r="H263" s="16"/>
      <c r="I263" s="16"/>
      <c r="J263" s="16"/>
      <c r="K263" s="16"/>
      <c r="L263" s="16"/>
      <c r="M263" s="16"/>
      <c r="N263" s="127"/>
      <c r="O263" s="16"/>
      <c r="P263" s="61">
        <f>E263</f>
        <v>20752</v>
      </c>
      <c r="Q263" s="16"/>
      <c r="R263" s="16">
        <v>200000</v>
      </c>
      <c r="S263" s="16">
        <v>4000</v>
      </c>
      <c r="T263" s="16">
        <v>196000</v>
      </c>
      <c r="U263" s="12" t="s">
        <v>325</v>
      </c>
      <c r="V263" s="16"/>
    </row>
    <row r="264" spans="1:22" x14ac:dyDescent="0.25">
      <c r="A264" s="73">
        <v>65870</v>
      </c>
      <c r="B264" s="74"/>
      <c r="C264" s="154"/>
      <c r="D264" s="116"/>
      <c r="E264" s="74"/>
      <c r="F264" s="74"/>
      <c r="G264" s="74"/>
      <c r="H264" s="75"/>
      <c r="I264" s="74"/>
      <c r="J264" s="75"/>
      <c r="K264" s="75"/>
      <c r="L264" s="75"/>
      <c r="M264" s="75"/>
      <c r="N264" s="75"/>
      <c r="O264" s="75"/>
      <c r="P264" s="74"/>
      <c r="Q264" s="74"/>
      <c r="R264" s="74"/>
      <c r="S264" s="75"/>
      <c r="T264" s="74"/>
      <c r="U264" s="74"/>
      <c r="V264" s="74"/>
    </row>
    <row r="265" spans="1:22" ht="31.5" x14ac:dyDescent="0.25">
      <c r="A265" s="73">
        <v>65870</v>
      </c>
      <c r="B265" s="13" t="s">
        <v>459</v>
      </c>
      <c r="C265" s="155">
        <v>45587</v>
      </c>
      <c r="D265" s="20">
        <v>71</v>
      </c>
      <c r="E265" s="16">
        <v>341510</v>
      </c>
      <c r="F265" s="16">
        <v>0</v>
      </c>
      <c r="G265" s="16">
        <f t="shared" ref="G265" si="214">E265-F265</f>
        <v>341510</v>
      </c>
      <c r="H265" s="16">
        <f>ROUND(G265*18%,)</f>
        <v>61472</v>
      </c>
      <c r="I265" s="16">
        <f>ROUND(G265+H265,)</f>
        <v>402982</v>
      </c>
      <c r="J265" s="16">
        <f>G265*2%</f>
        <v>6830.2</v>
      </c>
      <c r="K265" s="16">
        <f>ROUND(G265*5%,)</f>
        <v>17076</v>
      </c>
      <c r="L265" s="16">
        <f>G265*10%</f>
        <v>34151</v>
      </c>
      <c r="M265" s="16">
        <f>G265*10%</f>
        <v>34151</v>
      </c>
      <c r="N265" s="122">
        <f>H265</f>
        <v>61472</v>
      </c>
      <c r="O265" s="16"/>
      <c r="P265" s="61">
        <f>I265-SUM(J265:O265)</f>
        <v>249301.8</v>
      </c>
      <c r="Q265" s="16"/>
      <c r="R265" s="16">
        <v>125000</v>
      </c>
      <c r="S265" s="16">
        <f>R265-T265</f>
        <v>2500</v>
      </c>
      <c r="T265" s="16">
        <v>122500</v>
      </c>
      <c r="U265" s="12" t="s">
        <v>320</v>
      </c>
      <c r="V265" s="16">
        <f>SUM(P265:P268)-SUM(T265:T268)</f>
        <v>199570.83999999997</v>
      </c>
    </row>
    <row r="266" spans="1:22" x14ac:dyDescent="0.25">
      <c r="A266" s="73">
        <v>65870</v>
      </c>
      <c r="B266" s="13" t="s">
        <v>229</v>
      </c>
      <c r="C266" s="155"/>
      <c r="D266" s="20">
        <v>71</v>
      </c>
      <c r="E266" s="16">
        <f>N265</f>
        <v>61472</v>
      </c>
      <c r="F266" s="16">
        <v>0</v>
      </c>
      <c r="G266" s="16"/>
      <c r="H266" s="16"/>
      <c r="I266" s="16"/>
      <c r="J266" s="16"/>
      <c r="K266" s="16"/>
      <c r="L266" s="16"/>
      <c r="M266" s="16"/>
      <c r="N266" s="127"/>
      <c r="O266" s="16"/>
      <c r="P266" s="122">
        <f>E266</f>
        <v>61472</v>
      </c>
      <c r="Q266" s="16"/>
      <c r="R266" s="16">
        <v>275000</v>
      </c>
      <c r="S266" s="16">
        <f>R266-T266</f>
        <v>5500</v>
      </c>
      <c r="T266" s="16">
        <v>269500</v>
      </c>
      <c r="U266" s="12" t="s">
        <v>332</v>
      </c>
      <c r="V266" s="16"/>
    </row>
    <row r="267" spans="1:22" ht="31.5" x14ac:dyDescent="0.25">
      <c r="A267" s="73">
        <v>65870</v>
      </c>
      <c r="B267" s="13" t="s">
        <v>459</v>
      </c>
      <c r="C267" s="155">
        <v>45645</v>
      </c>
      <c r="D267" s="20">
        <v>96</v>
      </c>
      <c r="E267" s="16">
        <v>308568</v>
      </c>
      <c r="F267" s="16">
        <v>0</v>
      </c>
      <c r="G267" s="16">
        <f t="shared" ref="G267" si="215">E267-F267</f>
        <v>308568</v>
      </c>
      <c r="H267" s="16">
        <f>ROUND(G267*18%,)</f>
        <v>55542</v>
      </c>
      <c r="I267" s="16">
        <f>ROUND(G267+H267,)</f>
        <v>364110</v>
      </c>
      <c r="J267" s="16">
        <f>G267*2%</f>
        <v>6171.3600000000006</v>
      </c>
      <c r="K267" s="16">
        <f>ROUND(G267*5%,)</f>
        <v>15428</v>
      </c>
      <c r="L267" s="16">
        <f>G267*10%</f>
        <v>30856.800000000003</v>
      </c>
      <c r="M267" s="16">
        <f>G267*10%</f>
        <v>30856.800000000003</v>
      </c>
      <c r="N267" s="122">
        <f>H267</f>
        <v>55542</v>
      </c>
      <c r="O267" s="16"/>
      <c r="P267" s="61">
        <f>I267-SUM(J267:O267)</f>
        <v>225255.03999999998</v>
      </c>
      <c r="Q267" s="16"/>
      <c r="R267" s="16"/>
      <c r="S267" s="16"/>
      <c r="T267" s="16"/>
      <c r="U267" s="12"/>
      <c r="V267" s="16"/>
    </row>
    <row r="268" spans="1:22" x14ac:dyDescent="0.25">
      <c r="A268" s="73">
        <v>65870</v>
      </c>
      <c r="B268" s="13" t="s">
        <v>229</v>
      </c>
      <c r="C268" s="155"/>
      <c r="D268" s="20">
        <v>96</v>
      </c>
      <c r="E268" s="16">
        <f>N267</f>
        <v>55542</v>
      </c>
      <c r="F268" s="16">
        <v>0</v>
      </c>
      <c r="G268" s="16"/>
      <c r="H268" s="16"/>
      <c r="I268" s="16"/>
      <c r="J268" s="16"/>
      <c r="K268" s="16"/>
      <c r="L268" s="16"/>
      <c r="M268" s="16"/>
      <c r="N268" s="127"/>
      <c r="O268" s="16"/>
      <c r="P268" s="122">
        <f>E268</f>
        <v>55542</v>
      </c>
      <c r="Q268" s="16"/>
      <c r="R268" s="16"/>
      <c r="S268" s="16"/>
      <c r="T268" s="16"/>
      <c r="U268" s="12"/>
      <c r="V268" s="16"/>
    </row>
    <row r="269" spans="1:22" x14ac:dyDescent="0.25">
      <c r="A269" s="73">
        <v>65871</v>
      </c>
      <c r="B269" s="74"/>
      <c r="C269" s="154"/>
      <c r="D269" s="116"/>
      <c r="E269" s="74"/>
      <c r="F269" s="74"/>
      <c r="G269" s="74"/>
      <c r="H269" s="75"/>
      <c r="I269" s="74"/>
      <c r="J269" s="75"/>
      <c r="K269" s="75"/>
      <c r="L269" s="75"/>
      <c r="M269" s="75"/>
      <c r="N269" s="75"/>
      <c r="O269" s="75"/>
      <c r="P269" s="74"/>
      <c r="Q269" s="74"/>
      <c r="R269" s="74"/>
      <c r="S269" s="75"/>
      <c r="T269" s="74"/>
      <c r="U269" s="74"/>
      <c r="V269" s="74"/>
    </row>
    <row r="270" spans="1:22" ht="31.5" customHeight="1" x14ac:dyDescent="0.25">
      <c r="A270" s="73">
        <v>65871</v>
      </c>
      <c r="B270" s="13" t="s">
        <v>356</v>
      </c>
      <c r="C270" s="155">
        <v>45587</v>
      </c>
      <c r="D270" s="20">
        <v>74</v>
      </c>
      <c r="E270" s="16">
        <v>357072</v>
      </c>
      <c r="F270" s="16">
        <v>0</v>
      </c>
      <c r="G270" s="16">
        <f t="shared" ref="G270" si="216">E270-F270</f>
        <v>357072</v>
      </c>
      <c r="H270" s="16">
        <f>ROUND(G270*18%,)</f>
        <v>64273</v>
      </c>
      <c r="I270" s="16">
        <f>ROUND(G270+H270,)</f>
        <v>421345</v>
      </c>
      <c r="J270" s="16">
        <f>G270*2%</f>
        <v>7141.4400000000005</v>
      </c>
      <c r="K270" s="16">
        <f>ROUND(G270*5%,)</f>
        <v>17854</v>
      </c>
      <c r="L270" s="16">
        <f>G270*10%</f>
        <v>35707.200000000004</v>
      </c>
      <c r="M270" s="16">
        <f>G270*10%</f>
        <v>35707.200000000004</v>
      </c>
      <c r="N270" s="122">
        <f>H270</f>
        <v>64273</v>
      </c>
      <c r="O270" s="16"/>
      <c r="P270" s="61">
        <f>I270-SUM(J270:O270)</f>
        <v>260662.15999999997</v>
      </c>
      <c r="Q270" s="16"/>
      <c r="R270" s="16">
        <v>125000</v>
      </c>
      <c r="S270" s="16">
        <f>R270-T270</f>
        <v>2500</v>
      </c>
      <c r="T270" s="16">
        <v>122500</v>
      </c>
      <c r="U270" s="12" t="s">
        <v>319</v>
      </c>
      <c r="V270" s="16">
        <f>SUM(P270:P273)-SUM(T270:T273)</f>
        <v>137272.06000000006</v>
      </c>
    </row>
    <row r="271" spans="1:22" x14ac:dyDescent="0.25">
      <c r="A271" s="73">
        <v>65871</v>
      </c>
      <c r="B271" s="13" t="s">
        <v>229</v>
      </c>
      <c r="C271" s="155"/>
      <c r="D271" s="20">
        <v>74</v>
      </c>
      <c r="E271" s="16">
        <f>N270</f>
        <v>64273</v>
      </c>
      <c r="F271" s="16">
        <v>0</v>
      </c>
      <c r="G271" s="16"/>
      <c r="H271" s="16"/>
      <c r="I271" s="16"/>
      <c r="J271" s="16"/>
      <c r="K271" s="16"/>
      <c r="L271" s="16"/>
      <c r="M271" s="16"/>
      <c r="N271" s="127"/>
      <c r="O271" s="16"/>
      <c r="P271" s="122">
        <f>E271</f>
        <v>64273</v>
      </c>
      <c r="Q271" s="16"/>
      <c r="R271" s="16">
        <v>100000</v>
      </c>
      <c r="S271" s="16">
        <v>2000</v>
      </c>
      <c r="T271" s="16">
        <v>98000</v>
      </c>
      <c r="U271" s="12" t="s">
        <v>326</v>
      </c>
      <c r="V271" s="16"/>
    </row>
    <row r="272" spans="1:22" x14ac:dyDescent="0.25">
      <c r="A272" s="73">
        <v>65871</v>
      </c>
      <c r="B272" s="13"/>
      <c r="C272" s="155">
        <v>45645</v>
      </c>
      <c r="D272" s="20">
        <v>95</v>
      </c>
      <c r="E272" s="16">
        <v>365755</v>
      </c>
      <c r="F272" s="16">
        <v>0</v>
      </c>
      <c r="G272" s="16">
        <f t="shared" ref="G272" si="217">E272-F272</f>
        <v>365755</v>
      </c>
      <c r="H272" s="16">
        <f>ROUND(G272*18%,)</f>
        <v>65836</v>
      </c>
      <c r="I272" s="16">
        <f>ROUND(G272+H272,)</f>
        <v>431591</v>
      </c>
      <c r="J272" s="16">
        <f>G272*2%</f>
        <v>7315.1</v>
      </c>
      <c r="K272" s="16">
        <f>ROUND(G272*5%,)</f>
        <v>18288</v>
      </c>
      <c r="L272" s="16">
        <f>G272*10%</f>
        <v>36575.5</v>
      </c>
      <c r="M272" s="16">
        <f>G272*10%</f>
        <v>36575.5</v>
      </c>
      <c r="N272" s="122">
        <f>H272</f>
        <v>65836</v>
      </c>
      <c r="O272" s="16"/>
      <c r="P272" s="61">
        <f>I272-SUM(J272:O272)</f>
        <v>267000.90000000002</v>
      </c>
      <c r="Q272" s="16"/>
      <c r="R272" s="16"/>
      <c r="S272" s="16"/>
      <c r="T272" s="16">
        <v>300000</v>
      </c>
      <c r="U272" s="12" t="s">
        <v>393</v>
      </c>
      <c r="V272" s="16"/>
    </row>
    <row r="273" spans="1:22" x14ac:dyDescent="0.25">
      <c r="A273" s="73">
        <v>65871</v>
      </c>
      <c r="B273" s="13" t="s">
        <v>229</v>
      </c>
      <c r="C273" s="155"/>
      <c r="D273" s="20">
        <v>95</v>
      </c>
      <c r="E273" s="16">
        <f>N272</f>
        <v>65836</v>
      </c>
      <c r="F273" s="16">
        <v>0</v>
      </c>
      <c r="G273" s="16"/>
      <c r="H273" s="16"/>
      <c r="I273" s="16"/>
      <c r="J273" s="16"/>
      <c r="K273" s="16"/>
      <c r="L273" s="16"/>
      <c r="M273" s="16"/>
      <c r="N273" s="127"/>
      <c r="O273" s="16"/>
      <c r="P273" s="122">
        <f>E273</f>
        <v>65836</v>
      </c>
      <c r="Q273" s="16"/>
      <c r="R273" s="16"/>
      <c r="S273" s="16"/>
      <c r="T273" s="16"/>
      <c r="U273" s="12"/>
      <c r="V273" s="16"/>
    </row>
    <row r="274" spans="1:22" x14ac:dyDescent="0.25">
      <c r="A274" s="73">
        <v>65893</v>
      </c>
      <c r="B274" s="74"/>
      <c r="C274" s="154"/>
      <c r="D274" s="116"/>
      <c r="E274" s="74"/>
      <c r="F274" s="74"/>
      <c r="G274" s="74"/>
      <c r="H274" s="75"/>
      <c r="I274" s="74"/>
      <c r="J274" s="75"/>
      <c r="K274" s="75"/>
      <c r="L274" s="75"/>
      <c r="M274" s="75"/>
      <c r="N274" s="75"/>
      <c r="O274" s="75"/>
      <c r="P274" s="74"/>
      <c r="Q274" s="74"/>
      <c r="R274" s="74"/>
      <c r="S274" s="75"/>
      <c r="T274" s="74"/>
      <c r="U274" s="74"/>
      <c r="V274" s="74"/>
    </row>
    <row r="275" spans="1:22" x14ac:dyDescent="0.25">
      <c r="A275" s="73">
        <v>65893</v>
      </c>
      <c r="B275" s="13" t="s">
        <v>460</v>
      </c>
      <c r="C275" s="155"/>
      <c r="D275" s="20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>
        <v>100000</v>
      </c>
      <c r="S275" s="16">
        <f>R275-T275</f>
        <v>2000</v>
      </c>
      <c r="T275" s="16">
        <v>98000</v>
      </c>
      <c r="U275" s="12" t="s">
        <v>323</v>
      </c>
      <c r="V275" s="16">
        <f>SUM(P275:P277)-SUM(T275:T277)</f>
        <v>-588000</v>
      </c>
    </row>
    <row r="276" spans="1:22" x14ac:dyDescent="0.25">
      <c r="A276" s="73">
        <v>65893</v>
      </c>
      <c r="B276" s="13"/>
      <c r="C276" s="155"/>
      <c r="D276" s="20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>
        <v>100000</v>
      </c>
      <c r="S276" s="16">
        <v>2000</v>
      </c>
      <c r="T276" s="16">
        <v>98000</v>
      </c>
      <c r="U276" s="12" t="s">
        <v>327</v>
      </c>
      <c r="V276" s="16"/>
    </row>
    <row r="277" spans="1:22" x14ac:dyDescent="0.25">
      <c r="A277" s="73">
        <v>65893</v>
      </c>
      <c r="B277" s="13"/>
      <c r="C277" s="155"/>
      <c r="D277" s="20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>
        <v>400000</v>
      </c>
      <c r="S277" s="16">
        <v>8000</v>
      </c>
      <c r="T277" s="16">
        <v>392000</v>
      </c>
      <c r="U277" s="12" t="s">
        <v>331</v>
      </c>
      <c r="V277" s="16"/>
    </row>
    <row r="278" spans="1:22" x14ac:dyDescent="0.25">
      <c r="A278" s="73">
        <v>65894</v>
      </c>
      <c r="B278" s="74"/>
      <c r="C278" s="154"/>
      <c r="D278" s="116"/>
      <c r="E278" s="74"/>
      <c r="F278" s="74"/>
      <c r="G278" s="74"/>
      <c r="H278" s="75"/>
      <c r="I278" s="74"/>
      <c r="J278" s="75"/>
      <c r="K278" s="75"/>
      <c r="L278" s="75"/>
      <c r="M278" s="75"/>
      <c r="N278" s="75"/>
      <c r="O278" s="75"/>
      <c r="P278" s="74"/>
      <c r="Q278" s="74"/>
      <c r="R278" s="74"/>
      <c r="S278" s="75"/>
      <c r="T278" s="74"/>
      <c r="U278" s="74"/>
      <c r="V278" s="74"/>
    </row>
    <row r="279" spans="1:22" x14ac:dyDescent="0.25">
      <c r="A279" s="73">
        <v>65894</v>
      </c>
      <c r="B279" s="13" t="s">
        <v>461</v>
      </c>
      <c r="C279" s="155">
        <v>45587</v>
      </c>
      <c r="D279" s="20">
        <v>73</v>
      </c>
      <c r="E279" s="16">
        <v>129324</v>
      </c>
      <c r="F279" s="16">
        <v>0</v>
      </c>
      <c r="G279" s="16">
        <f t="shared" ref="G279" si="218">E279-F279</f>
        <v>129324</v>
      </c>
      <c r="H279" s="16">
        <f>ROUND(G279*18%,)</f>
        <v>23278</v>
      </c>
      <c r="I279" s="16">
        <f>ROUND(G279+H279,)</f>
        <v>152602</v>
      </c>
      <c r="J279" s="16">
        <f>G279*2%</f>
        <v>2586.48</v>
      </c>
      <c r="K279" s="16">
        <f>ROUND(G279*5%,)</f>
        <v>6466</v>
      </c>
      <c r="L279" s="16">
        <f>G279*10%</f>
        <v>12932.400000000001</v>
      </c>
      <c r="M279" s="16">
        <f>G279*10%</f>
        <v>12932.400000000001</v>
      </c>
      <c r="N279" s="122">
        <f>H279</f>
        <v>23278</v>
      </c>
      <c r="O279" s="16"/>
      <c r="P279" s="61">
        <f>I279-SUM(J279:O279)</f>
        <v>94406.720000000001</v>
      </c>
      <c r="Q279" s="16"/>
      <c r="R279" s="16">
        <v>300000</v>
      </c>
      <c r="S279" s="16">
        <v>6000</v>
      </c>
      <c r="T279" s="16">
        <v>294000</v>
      </c>
      <c r="U279" s="12" t="s">
        <v>328</v>
      </c>
      <c r="V279" s="16">
        <f>SUM(P279:P283)-SUM(T279:T283)</f>
        <v>79776.799999999988</v>
      </c>
    </row>
    <row r="280" spans="1:22" x14ac:dyDescent="0.25">
      <c r="A280" s="73">
        <v>65894</v>
      </c>
      <c r="B280" s="13" t="s">
        <v>461</v>
      </c>
      <c r="C280" s="155">
        <v>45587</v>
      </c>
      <c r="D280" s="20">
        <v>72</v>
      </c>
      <c r="E280" s="16">
        <v>66903</v>
      </c>
      <c r="F280" s="16">
        <v>0</v>
      </c>
      <c r="G280" s="16">
        <f t="shared" ref="G280" si="219">E280-F280</f>
        <v>66903</v>
      </c>
      <c r="H280" s="16">
        <f>ROUND(G280*18%,)</f>
        <v>12043</v>
      </c>
      <c r="I280" s="16">
        <f>ROUND(G280+H280,)</f>
        <v>78946</v>
      </c>
      <c r="J280" s="16">
        <f>G280*2%</f>
        <v>1338.06</v>
      </c>
      <c r="K280" s="16">
        <f>ROUND(G280*5%,)</f>
        <v>3345</v>
      </c>
      <c r="L280" s="16"/>
      <c r="M280" s="16"/>
      <c r="N280" s="122">
        <f>H280</f>
        <v>12043</v>
      </c>
      <c r="O280" s="16"/>
      <c r="P280" s="61">
        <f>I280-SUM(J280:O280)</f>
        <v>62219.94</v>
      </c>
      <c r="Q280" s="16"/>
      <c r="R280" s="16"/>
      <c r="S280" s="16"/>
      <c r="T280" s="16"/>
      <c r="U280" s="12"/>
      <c r="V280" s="16"/>
    </row>
    <row r="281" spans="1:22" x14ac:dyDescent="0.25">
      <c r="A281" s="73">
        <v>65894</v>
      </c>
      <c r="B281" s="13" t="s">
        <v>461</v>
      </c>
      <c r="C281" s="155">
        <v>45645</v>
      </c>
      <c r="D281" s="20">
        <v>94</v>
      </c>
      <c r="E281" s="16">
        <v>199813</v>
      </c>
      <c r="F281" s="16">
        <v>0</v>
      </c>
      <c r="G281" s="16">
        <f t="shared" ref="G281" si="220">E281-F281</f>
        <v>199813</v>
      </c>
      <c r="H281" s="16">
        <f>ROUND(G281*18%,)</f>
        <v>35966</v>
      </c>
      <c r="I281" s="16">
        <f>ROUND(G281+H281,)</f>
        <v>235779</v>
      </c>
      <c r="J281" s="16">
        <f>G281*2%</f>
        <v>3996.26</v>
      </c>
      <c r="K281" s="16">
        <f>ROUND(G281*5%,)</f>
        <v>9991</v>
      </c>
      <c r="L281" s="16">
        <f>G281*10%</f>
        <v>19981.300000000003</v>
      </c>
      <c r="M281" s="16">
        <f>G281*10%</f>
        <v>19981.300000000003</v>
      </c>
      <c r="N281" s="122">
        <f>H281</f>
        <v>35966</v>
      </c>
      <c r="O281" s="16"/>
      <c r="P281" s="61">
        <f>I281-SUM(J281:O281)</f>
        <v>145863.13999999998</v>
      </c>
      <c r="Q281" s="16"/>
      <c r="R281" s="16"/>
      <c r="S281" s="16"/>
      <c r="T281" s="16"/>
      <c r="U281" s="12"/>
      <c r="V281" s="16"/>
    </row>
    <row r="282" spans="1:22" x14ac:dyDescent="0.25">
      <c r="A282" s="73">
        <v>65894</v>
      </c>
      <c r="B282" s="13" t="s">
        <v>381</v>
      </c>
      <c r="C282" s="155"/>
      <c r="D282" s="20" t="s">
        <v>382</v>
      </c>
      <c r="E282" s="16">
        <f>N279+N280</f>
        <v>35321</v>
      </c>
      <c r="F282" s="16"/>
      <c r="G282" s="16"/>
      <c r="H282" s="16"/>
      <c r="I282" s="16"/>
      <c r="J282" s="16"/>
      <c r="K282" s="16"/>
      <c r="L282" s="16"/>
      <c r="M282" s="16"/>
      <c r="N282" s="127"/>
      <c r="O282" s="16"/>
      <c r="P282" s="122">
        <f>E282</f>
        <v>35321</v>
      </c>
      <c r="Q282" s="16"/>
      <c r="R282" s="16"/>
      <c r="S282" s="16"/>
      <c r="T282" s="16"/>
      <c r="U282" s="12"/>
      <c r="V282" s="16"/>
    </row>
    <row r="283" spans="1:22" x14ac:dyDescent="0.25">
      <c r="A283" s="73">
        <v>65894</v>
      </c>
      <c r="B283" s="13" t="s">
        <v>381</v>
      </c>
      <c r="C283" s="155"/>
      <c r="D283" s="20">
        <v>94</v>
      </c>
      <c r="E283" s="16">
        <f>N281</f>
        <v>35966</v>
      </c>
      <c r="F283" s="16"/>
      <c r="G283" s="16"/>
      <c r="H283" s="16"/>
      <c r="I283" s="16"/>
      <c r="J283" s="16"/>
      <c r="K283" s="16"/>
      <c r="L283" s="16"/>
      <c r="M283" s="16"/>
      <c r="N283" s="127"/>
      <c r="O283" s="16"/>
      <c r="P283" s="122">
        <f>E283</f>
        <v>35966</v>
      </c>
      <c r="Q283" s="16"/>
      <c r="R283" s="16"/>
      <c r="S283" s="16"/>
      <c r="T283" s="16"/>
      <c r="U283" s="12"/>
      <c r="V283" s="16"/>
    </row>
    <row r="284" spans="1:22" x14ac:dyDescent="0.25">
      <c r="A284" s="73">
        <v>65895</v>
      </c>
      <c r="B284" s="74"/>
      <c r="C284" s="154"/>
      <c r="D284" s="116"/>
      <c r="E284" s="74"/>
      <c r="F284" s="74"/>
      <c r="G284" s="74"/>
      <c r="H284" s="75"/>
      <c r="I284" s="74"/>
      <c r="J284" s="75"/>
      <c r="K284" s="75"/>
      <c r="L284" s="75"/>
      <c r="M284" s="75"/>
      <c r="N284" s="75"/>
      <c r="O284" s="75"/>
      <c r="P284" s="74"/>
      <c r="Q284" s="74"/>
      <c r="R284" s="74"/>
      <c r="S284" s="75"/>
      <c r="T284" s="74"/>
      <c r="U284" s="74"/>
      <c r="V284" s="74"/>
    </row>
    <row r="285" spans="1:22" x14ac:dyDescent="0.25">
      <c r="A285" s="73">
        <v>65895</v>
      </c>
      <c r="B285" s="13" t="s">
        <v>462</v>
      </c>
      <c r="C285" s="155"/>
      <c r="D285" s="20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>
        <v>125000</v>
      </c>
      <c r="S285" s="16">
        <f>R285-T285</f>
        <v>2500</v>
      </c>
      <c r="T285" s="16">
        <v>122500</v>
      </c>
      <c r="U285" s="12" t="s">
        <v>322</v>
      </c>
      <c r="V285" s="16">
        <f>SUM(P285:P287)-SUM(T285:T287)</f>
        <v>-318500</v>
      </c>
    </row>
    <row r="286" spans="1:22" x14ac:dyDescent="0.25">
      <c r="A286" s="73">
        <v>65895</v>
      </c>
      <c r="B286" s="13"/>
      <c r="C286" s="155"/>
      <c r="D286" s="20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>
        <v>100000</v>
      </c>
      <c r="S286" s="16">
        <v>2000</v>
      </c>
      <c r="T286" s="16">
        <v>98000</v>
      </c>
      <c r="U286" s="12" t="s">
        <v>329</v>
      </c>
      <c r="V286" s="16"/>
    </row>
    <row r="287" spans="1:22" x14ac:dyDescent="0.25">
      <c r="A287" s="73">
        <v>65895</v>
      </c>
      <c r="B287" s="13"/>
      <c r="C287" s="155"/>
      <c r="D287" s="20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>
        <v>100000</v>
      </c>
      <c r="S287" s="16">
        <v>2000</v>
      </c>
      <c r="T287" s="16">
        <v>98000</v>
      </c>
      <c r="U287" s="12" t="s">
        <v>330</v>
      </c>
      <c r="V287" s="16"/>
    </row>
    <row r="288" spans="1:22" x14ac:dyDescent="0.25">
      <c r="A288" s="73">
        <v>66098</v>
      </c>
      <c r="B288" s="74"/>
      <c r="C288" s="154"/>
      <c r="D288" s="116"/>
      <c r="E288" s="74"/>
      <c r="F288" s="74"/>
      <c r="G288" s="74"/>
      <c r="H288" s="75"/>
      <c r="I288" s="74"/>
      <c r="J288" s="75"/>
      <c r="K288" s="75"/>
      <c r="L288" s="75"/>
      <c r="M288" s="75"/>
      <c r="N288" s="75"/>
      <c r="O288" s="75"/>
      <c r="P288" s="74"/>
      <c r="Q288" s="74"/>
      <c r="R288" s="74"/>
      <c r="S288" s="75"/>
      <c r="T288" s="74"/>
      <c r="U288" s="74"/>
      <c r="V288" s="74"/>
    </row>
    <row r="289" spans="1:22" ht="47.25" x14ac:dyDescent="0.25">
      <c r="A289" s="73">
        <v>66098</v>
      </c>
      <c r="B289" s="13" t="s">
        <v>466</v>
      </c>
      <c r="C289" s="155">
        <v>45587</v>
      </c>
      <c r="D289" s="20">
        <v>69</v>
      </c>
      <c r="E289" s="16">
        <v>244637</v>
      </c>
      <c r="F289" s="16">
        <v>0</v>
      </c>
      <c r="G289" s="16">
        <f t="shared" ref="G289" si="221">E289-F289</f>
        <v>244637</v>
      </c>
      <c r="H289" s="16">
        <f>ROUND(G289*18%,)</f>
        <v>44035</v>
      </c>
      <c r="I289" s="16">
        <f>ROUND(G289+H289,)</f>
        <v>288672</v>
      </c>
      <c r="J289" s="16">
        <f>G289*2%</f>
        <v>4892.74</v>
      </c>
      <c r="K289" s="16">
        <f>ROUND(G289*5%,)</f>
        <v>12232</v>
      </c>
      <c r="L289" s="16">
        <f>G289*10%</f>
        <v>24463.7</v>
      </c>
      <c r="M289" s="16">
        <f>G289*10%</f>
        <v>24463.7</v>
      </c>
      <c r="N289" s="122">
        <f>H289</f>
        <v>44035</v>
      </c>
      <c r="O289" s="16"/>
      <c r="P289" s="61">
        <f>I289-SUM(J289:O289)</f>
        <v>178584.86</v>
      </c>
      <c r="Q289" s="16"/>
      <c r="R289" s="16">
        <v>200000</v>
      </c>
      <c r="S289" s="16">
        <v>4000</v>
      </c>
      <c r="T289" s="16">
        <v>196000</v>
      </c>
      <c r="U289" s="12" t="s">
        <v>338</v>
      </c>
      <c r="V289" s="16">
        <f>SUM(P289:P292)-SUM(T289:T292)</f>
        <v>84669.409400000004</v>
      </c>
    </row>
    <row r="290" spans="1:22" x14ac:dyDescent="0.25">
      <c r="A290" s="73">
        <v>66098</v>
      </c>
      <c r="B290" s="13" t="s">
        <v>229</v>
      </c>
      <c r="C290" s="155"/>
      <c r="D290" s="20">
        <v>69</v>
      </c>
      <c r="E290" s="16">
        <f>N289</f>
        <v>44035</v>
      </c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22">
        <f>E290</f>
        <v>44035</v>
      </c>
      <c r="Q290" s="16"/>
      <c r="R290" s="16"/>
      <c r="S290" s="16"/>
      <c r="T290" s="16"/>
      <c r="U290" s="12"/>
      <c r="V290" s="16"/>
    </row>
    <row r="291" spans="1:22" ht="47.25" x14ac:dyDescent="0.25">
      <c r="A291" s="73">
        <v>66098</v>
      </c>
      <c r="B291" s="13" t="s">
        <v>466</v>
      </c>
      <c r="C291" s="155">
        <v>45722</v>
      </c>
      <c r="D291" s="20">
        <v>19</v>
      </c>
      <c r="E291" s="16">
        <v>79521.05</v>
      </c>
      <c r="F291" s="16">
        <v>0.82</v>
      </c>
      <c r="G291" s="16">
        <f t="shared" ref="G291" si="222">E291-F291</f>
        <v>79520.23</v>
      </c>
      <c r="H291" s="16">
        <f>ROUND(G291*18%,)</f>
        <v>14314</v>
      </c>
      <c r="I291" s="16">
        <f>ROUND(G291+H291,)</f>
        <v>93834</v>
      </c>
      <c r="J291" s="16">
        <f>G291*2%</f>
        <v>1590.4045999999998</v>
      </c>
      <c r="K291" s="16">
        <f>ROUND(G291*5%,)</f>
        <v>3976</v>
      </c>
      <c r="L291" s="16">
        <f>G291*10%</f>
        <v>7952.0230000000001</v>
      </c>
      <c r="M291" s="16">
        <f>G291*10%</f>
        <v>7952.0230000000001</v>
      </c>
      <c r="N291" s="16">
        <f>H291</f>
        <v>14314</v>
      </c>
      <c r="O291" s="16"/>
      <c r="P291" s="142">
        <f>I291-SUM(J291:O291)</f>
        <v>58049.549400000004</v>
      </c>
      <c r="Q291" s="16"/>
      <c r="R291" s="16"/>
      <c r="S291" s="16"/>
      <c r="T291" s="16"/>
      <c r="U291" s="12"/>
      <c r="V291" s="16"/>
    </row>
    <row r="292" spans="1:22" x14ac:dyDescent="0.25">
      <c r="A292" s="73">
        <v>66098</v>
      </c>
      <c r="B292" s="13"/>
      <c r="C292" s="155"/>
      <c r="D292" s="20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42"/>
      <c r="Q292" s="16"/>
      <c r="R292" s="16"/>
      <c r="S292" s="16"/>
      <c r="T292" s="16"/>
      <c r="U292" s="12"/>
      <c r="V292" s="16"/>
    </row>
    <row r="293" spans="1:22" x14ac:dyDescent="0.25">
      <c r="A293" s="73">
        <v>66099</v>
      </c>
      <c r="B293" s="74"/>
      <c r="C293" s="154"/>
      <c r="D293" s="116"/>
      <c r="E293" s="74"/>
      <c r="F293" s="74"/>
      <c r="G293" s="74"/>
      <c r="H293" s="75"/>
      <c r="I293" s="74"/>
      <c r="J293" s="75"/>
      <c r="K293" s="75"/>
      <c r="L293" s="75"/>
      <c r="M293" s="75"/>
      <c r="N293" s="75"/>
      <c r="O293" s="75"/>
      <c r="P293" s="74"/>
      <c r="Q293" s="74"/>
      <c r="R293" s="74"/>
      <c r="S293" s="75"/>
      <c r="T293" s="74"/>
      <c r="U293" s="74"/>
      <c r="V293" s="74"/>
    </row>
    <row r="294" spans="1:22" ht="47.25" x14ac:dyDescent="0.25">
      <c r="A294" s="73">
        <v>66099</v>
      </c>
      <c r="B294" s="13" t="s">
        <v>466</v>
      </c>
      <c r="C294" s="155">
        <v>45645</v>
      </c>
      <c r="D294" s="20">
        <v>92</v>
      </c>
      <c r="E294" s="16">
        <v>241669</v>
      </c>
      <c r="F294" s="16">
        <v>0</v>
      </c>
      <c r="G294" s="16">
        <f t="shared" ref="G294" si="223">E294-F294</f>
        <v>241669</v>
      </c>
      <c r="H294" s="16">
        <f>ROUND(G294*18%,)</f>
        <v>43500</v>
      </c>
      <c r="I294" s="16">
        <f>ROUND(G294+H294,)</f>
        <v>285169</v>
      </c>
      <c r="J294" s="16">
        <f>G294*2%</f>
        <v>4833.38</v>
      </c>
      <c r="K294" s="16">
        <f>ROUND(G294*5%,)</f>
        <v>12083</v>
      </c>
      <c r="L294" s="16">
        <f>G294*10%</f>
        <v>24166.9</v>
      </c>
      <c r="M294" s="16">
        <f>G294*10%</f>
        <v>24166.9</v>
      </c>
      <c r="N294" s="122">
        <f>H294</f>
        <v>43500</v>
      </c>
      <c r="O294" s="16"/>
      <c r="P294" s="61">
        <f>I294-SUM(J294:O294)</f>
        <v>176418.82</v>
      </c>
      <c r="Q294" s="16"/>
      <c r="R294" s="16">
        <v>300000</v>
      </c>
      <c r="S294" s="16">
        <v>6000</v>
      </c>
      <c r="T294" s="16">
        <v>294000</v>
      </c>
      <c r="U294" s="12" t="s">
        <v>337</v>
      </c>
      <c r="V294" s="16">
        <f>SUM(P294:P295)-SUM(T294:T295)</f>
        <v>-74081.179999999993</v>
      </c>
    </row>
    <row r="295" spans="1:22" x14ac:dyDescent="0.25">
      <c r="A295" s="73">
        <v>66099</v>
      </c>
      <c r="B295" s="13" t="s">
        <v>229</v>
      </c>
      <c r="C295" s="155"/>
      <c r="D295" s="20">
        <v>92</v>
      </c>
      <c r="E295" s="16">
        <f>N294</f>
        <v>43500</v>
      </c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22">
        <f>E295</f>
        <v>43500</v>
      </c>
      <c r="Q295" s="16"/>
      <c r="R295" s="16"/>
      <c r="S295" s="16"/>
      <c r="T295" s="16"/>
      <c r="U295" s="12"/>
      <c r="V295" s="16"/>
    </row>
    <row r="296" spans="1:22" x14ac:dyDescent="0.25">
      <c r="A296" s="73">
        <v>66101</v>
      </c>
      <c r="B296" s="74"/>
      <c r="C296" s="154"/>
      <c r="D296" s="116"/>
      <c r="E296" s="74"/>
      <c r="F296" s="74"/>
      <c r="G296" s="74"/>
      <c r="H296" s="75"/>
      <c r="I296" s="74"/>
      <c r="J296" s="75"/>
      <c r="K296" s="75"/>
      <c r="L296" s="75"/>
      <c r="M296" s="75"/>
      <c r="N296" s="75"/>
      <c r="O296" s="75"/>
      <c r="P296" s="74"/>
      <c r="Q296" s="74"/>
      <c r="R296" s="74"/>
      <c r="S296" s="75"/>
      <c r="T296" s="74"/>
      <c r="U296" s="74"/>
      <c r="V296" s="74"/>
    </row>
    <row r="297" spans="1:22" ht="39.75" customHeight="1" x14ac:dyDescent="0.25">
      <c r="A297" s="73">
        <v>66101</v>
      </c>
      <c r="B297" s="13" t="s">
        <v>466</v>
      </c>
      <c r="C297" s="155">
        <v>45602</v>
      </c>
      <c r="D297" s="20">
        <v>79</v>
      </c>
      <c r="E297" s="16">
        <v>101256</v>
      </c>
      <c r="F297" s="16">
        <v>0</v>
      </c>
      <c r="G297" s="16">
        <f t="shared" ref="G297" si="224">E297-F297</f>
        <v>101256</v>
      </c>
      <c r="H297" s="16">
        <f>ROUND(G297*18%,)</f>
        <v>18226</v>
      </c>
      <c r="I297" s="16">
        <f>ROUND(G297+H297,)</f>
        <v>119482</v>
      </c>
      <c r="J297" s="16">
        <f>G297*2%</f>
        <v>2025.1200000000001</v>
      </c>
      <c r="K297" s="16">
        <f>ROUND(G297*5%,)</f>
        <v>5063</v>
      </c>
      <c r="L297" s="16">
        <f>G297*10%</f>
        <v>10125.6</v>
      </c>
      <c r="M297" s="16">
        <f>G297*10%</f>
        <v>10125.6</v>
      </c>
      <c r="N297" s="122">
        <f>H297</f>
        <v>18226</v>
      </c>
      <c r="O297" s="16"/>
      <c r="P297" s="61">
        <f>I297-SUM(J297:O297)</f>
        <v>73916.679999999993</v>
      </c>
      <c r="Q297" s="16"/>
      <c r="R297" s="16">
        <v>200000</v>
      </c>
      <c r="S297" s="16">
        <v>4000</v>
      </c>
      <c r="T297" s="16">
        <v>196000</v>
      </c>
      <c r="U297" s="12" t="s">
        <v>339</v>
      </c>
      <c r="V297" s="16">
        <f>SUM(P297:P300)-SUM(T297:T300)</f>
        <v>127754.5</v>
      </c>
    </row>
    <row r="298" spans="1:22" x14ac:dyDescent="0.25">
      <c r="A298" s="73">
        <v>66101</v>
      </c>
      <c r="B298" s="13" t="s">
        <v>229</v>
      </c>
      <c r="C298" s="155"/>
      <c r="D298" s="20">
        <v>79</v>
      </c>
      <c r="E298" s="16">
        <f>N297</f>
        <v>18226</v>
      </c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22">
        <f>E298</f>
        <v>18226</v>
      </c>
      <c r="Q298" s="16"/>
      <c r="R298" s="16"/>
      <c r="S298" s="16"/>
      <c r="T298" s="16"/>
      <c r="U298" s="12"/>
      <c r="V298" s="16"/>
    </row>
    <row r="299" spans="1:22" ht="47.25" x14ac:dyDescent="0.25">
      <c r="A299" s="73">
        <v>66101</v>
      </c>
      <c r="B299" s="13" t="s">
        <v>466</v>
      </c>
      <c r="C299" s="155">
        <v>45661</v>
      </c>
      <c r="D299" s="20">
        <v>101</v>
      </c>
      <c r="E299" s="16">
        <v>208659</v>
      </c>
      <c r="F299" s="16">
        <v>0</v>
      </c>
      <c r="G299" s="16">
        <f t="shared" ref="G299" si="225">E299-F299</f>
        <v>208659</v>
      </c>
      <c r="H299" s="16">
        <f>ROUND(G299*18%,)</f>
        <v>37559</v>
      </c>
      <c r="I299" s="16">
        <f>ROUND(G299+H299,)</f>
        <v>246218</v>
      </c>
      <c r="J299" s="16">
        <f>G299*2%</f>
        <v>4173.18</v>
      </c>
      <c r="K299" s="16">
        <f>ROUND(G299*5%,)</f>
        <v>10433</v>
      </c>
      <c r="L299" s="16"/>
      <c r="M299" s="16"/>
      <c r="N299" s="122">
        <f>H299</f>
        <v>37559</v>
      </c>
      <c r="O299" s="16"/>
      <c r="P299" s="61">
        <f>I299-SUM(J299:O299)</f>
        <v>194052.82</v>
      </c>
      <c r="Q299" s="16"/>
      <c r="R299" s="16"/>
      <c r="S299" s="16"/>
      <c r="T299" s="16"/>
      <c r="U299" s="12"/>
      <c r="V299" s="16"/>
    </row>
    <row r="300" spans="1:22" x14ac:dyDescent="0.25">
      <c r="A300" s="73">
        <v>66101</v>
      </c>
      <c r="B300" s="13" t="s">
        <v>229</v>
      </c>
      <c r="C300" s="155"/>
      <c r="D300" s="20">
        <v>101</v>
      </c>
      <c r="E300" s="16">
        <f>N299</f>
        <v>37559</v>
      </c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22">
        <f>E300</f>
        <v>37559</v>
      </c>
      <c r="Q300" s="16"/>
      <c r="R300" s="16"/>
      <c r="S300" s="16"/>
      <c r="T300" s="16"/>
      <c r="U300" s="12"/>
      <c r="V300" s="16"/>
    </row>
    <row r="301" spans="1:22" x14ac:dyDescent="0.25">
      <c r="A301" s="73">
        <v>66244</v>
      </c>
      <c r="B301" s="74"/>
      <c r="C301" s="154"/>
      <c r="D301" s="116"/>
      <c r="E301" s="74"/>
      <c r="F301" s="74"/>
      <c r="G301" s="74"/>
      <c r="H301" s="75"/>
      <c r="I301" s="74"/>
      <c r="J301" s="75"/>
      <c r="K301" s="75"/>
      <c r="L301" s="75"/>
      <c r="M301" s="75"/>
      <c r="N301" s="75"/>
      <c r="O301" s="75"/>
      <c r="P301" s="74"/>
      <c r="Q301" s="74"/>
      <c r="R301" s="74"/>
      <c r="S301" s="75"/>
      <c r="T301" s="74"/>
      <c r="U301" s="74"/>
      <c r="V301" s="74"/>
    </row>
    <row r="302" spans="1:22" x14ac:dyDescent="0.25">
      <c r="A302" s="73">
        <v>66244</v>
      </c>
      <c r="B302" s="13" t="s">
        <v>463</v>
      </c>
      <c r="C302" s="155">
        <v>45551</v>
      </c>
      <c r="D302" s="20">
        <v>48</v>
      </c>
      <c r="E302" s="16">
        <v>499500</v>
      </c>
      <c r="F302" s="16">
        <v>0</v>
      </c>
      <c r="G302" s="16">
        <f t="shared" ref="G302" si="226">E302-F302</f>
        <v>499500</v>
      </c>
      <c r="H302" s="16">
        <f>ROUND(G302*18%,)</f>
        <v>89910</v>
      </c>
      <c r="I302" s="16">
        <f>ROUND(G302+H302,)</f>
        <v>589410</v>
      </c>
      <c r="J302" s="16">
        <f>G302*2%</f>
        <v>9990</v>
      </c>
      <c r="K302" s="16">
        <f>ROUND(G302*5%,)</f>
        <v>24975</v>
      </c>
      <c r="L302" s="16"/>
      <c r="M302" s="16"/>
      <c r="N302" s="122">
        <f>H302</f>
        <v>89910</v>
      </c>
      <c r="O302" s="16"/>
      <c r="P302" s="61"/>
      <c r="Q302" s="16"/>
      <c r="R302" s="16">
        <v>500000</v>
      </c>
      <c r="S302" s="16">
        <f>R302-T302</f>
        <v>10000</v>
      </c>
      <c r="T302" s="16">
        <v>490000</v>
      </c>
      <c r="U302" s="12" t="s">
        <v>361</v>
      </c>
      <c r="V302" s="16">
        <f>SUM(P302:P303)-SUM(T302:T303)</f>
        <v>-890090</v>
      </c>
    </row>
    <row r="303" spans="1:22" x14ac:dyDescent="0.25">
      <c r="A303" s="73">
        <v>66244</v>
      </c>
      <c r="B303" s="13" t="s">
        <v>229</v>
      </c>
      <c r="C303" s="155"/>
      <c r="D303" s="20"/>
      <c r="E303" s="16">
        <f>N302</f>
        <v>89910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22">
        <f>E303</f>
        <v>89910</v>
      </c>
      <c r="Q303" s="16"/>
      <c r="R303" s="16">
        <v>500000</v>
      </c>
      <c r="S303" s="16"/>
      <c r="T303" s="16">
        <v>490000</v>
      </c>
      <c r="U303" s="12" t="s">
        <v>369</v>
      </c>
      <c r="V303" s="16"/>
    </row>
    <row r="304" spans="1:22" x14ac:dyDescent="0.25">
      <c r="A304" s="73">
        <v>66309</v>
      </c>
      <c r="B304" s="74"/>
      <c r="C304" s="154"/>
      <c r="D304" s="116"/>
      <c r="E304" s="74"/>
      <c r="F304" s="74"/>
      <c r="G304" s="74"/>
      <c r="H304" s="75"/>
      <c r="I304" s="74"/>
      <c r="J304" s="75"/>
      <c r="K304" s="75"/>
      <c r="L304" s="75"/>
      <c r="M304" s="75"/>
      <c r="N304" s="75"/>
      <c r="O304" s="75"/>
      <c r="P304" s="74"/>
      <c r="Q304" s="74"/>
      <c r="R304" s="74"/>
      <c r="S304" s="75"/>
      <c r="T304" s="74"/>
      <c r="U304" s="74"/>
      <c r="V304" s="74"/>
    </row>
    <row r="305" spans="1:22" ht="31.5" x14ac:dyDescent="0.25">
      <c r="A305" s="73">
        <v>66309</v>
      </c>
      <c r="B305" s="13" t="s">
        <v>464</v>
      </c>
      <c r="C305" s="155"/>
      <c r="D305" s="20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>
        <v>300000</v>
      </c>
      <c r="S305" s="16"/>
      <c r="T305" s="16">
        <v>294000</v>
      </c>
      <c r="U305" s="12" t="s">
        <v>350</v>
      </c>
      <c r="V305" s="16">
        <f>SUM(P305:P306)-SUM(T305:T306)</f>
        <v>-294000</v>
      </c>
    </row>
    <row r="306" spans="1:22" x14ac:dyDescent="0.25">
      <c r="A306" s="73">
        <v>66309</v>
      </c>
      <c r="B306" s="13"/>
      <c r="C306" s="155"/>
      <c r="D306" s="20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2"/>
      <c r="V306" s="16"/>
    </row>
    <row r="307" spans="1:22" x14ac:dyDescent="0.25">
      <c r="A307" s="73">
        <v>66604</v>
      </c>
      <c r="B307" s="74"/>
      <c r="C307" s="154"/>
      <c r="D307" s="116"/>
      <c r="E307" s="74"/>
      <c r="F307" s="74"/>
      <c r="G307" s="74"/>
      <c r="H307" s="75"/>
      <c r="I307" s="74"/>
      <c r="J307" s="75"/>
      <c r="K307" s="75"/>
      <c r="L307" s="75"/>
      <c r="M307" s="75"/>
      <c r="N307" s="75"/>
      <c r="O307" s="75"/>
      <c r="P307" s="74"/>
      <c r="Q307" s="74"/>
      <c r="R307" s="74"/>
      <c r="S307" s="75"/>
      <c r="T307" s="74"/>
      <c r="U307" s="74"/>
      <c r="V307" s="74"/>
    </row>
    <row r="308" spans="1:22" ht="31.5" x14ac:dyDescent="0.25">
      <c r="A308" s="73">
        <v>66604</v>
      </c>
      <c r="B308" s="13" t="s">
        <v>467</v>
      </c>
      <c r="C308" s="155">
        <v>45551</v>
      </c>
      <c r="D308" s="20">
        <v>86</v>
      </c>
      <c r="E308" s="16">
        <v>472500</v>
      </c>
      <c r="F308" s="16">
        <v>0</v>
      </c>
      <c r="G308" s="16">
        <f t="shared" ref="G308" si="227">E308-F308</f>
        <v>472500</v>
      </c>
      <c r="H308" s="16">
        <f>ROUND(G308*18%,)</f>
        <v>85050</v>
      </c>
      <c r="I308" s="16">
        <f>ROUND(G308+H308,)</f>
        <v>557550</v>
      </c>
      <c r="J308" s="16">
        <f>G308*2%</f>
        <v>9450</v>
      </c>
      <c r="K308" s="16">
        <f>ROUND(G308*5%,)</f>
        <v>23625</v>
      </c>
      <c r="L308" s="16"/>
      <c r="M308" s="16"/>
      <c r="N308" s="85">
        <f>H308</f>
        <v>85050</v>
      </c>
      <c r="O308" s="16"/>
      <c r="P308" s="61">
        <f>I308-SUM(J308:O308)</f>
        <v>439425</v>
      </c>
      <c r="Q308" s="16"/>
      <c r="R308" s="16">
        <v>300000</v>
      </c>
      <c r="S308" s="16">
        <f>R308-T308</f>
        <v>6000</v>
      </c>
      <c r="T308" s="16">
        <v>294000</v>
      </c>
      <c r="U308" s="12" t="s">
        <v>365</v>
      </c>
      <c r="V308" s="16">
        <f>SUM(P308:P310)-SUM(T308:T310)</f>
        <v>-259525</v>
      </c>
    </row>
    <row r="309" spans="1:22" x14ac:dyDescent="0.25">
      <c r="A309" s="73">
        <v>66604</v>
      </c>
      <c r="B309" s="13" t="s">
        <v>229</v>
      </c>
      <c r="C309" s="155"/>
      <c r="D309" s="20">
        <v>86</v>
      </c>
      <c r="E309" s="16">
        <f>N308</f>
        <v>85050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22">
        <f>E309</f>
        <v>85050</v>
      </c>
      <c r="Q309" s="16"/>
      <c r="R309" s="16">
        <v>500000</v>
      </c>
      <c r="S309" s="16"/>
      <c r="T309" s="16">
        <v>490000</v>
      </c>
      <c r="U309" s="12" t="s">
        <v>368</v>
      </c>
      <c r="V309" s="16"/>
    </row>
    <row r="310" spans="1:22" x14ac:dyDescent="0.25">
      <c r="A310" s="73">
        <v>66604</v>
      </c>
      <c r="B310" s="13"/>
      <c r="C310" s="155"/>
      <c r="D310" s="20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22"/>
      <c r="Q310" s="16"/>
      <c r="R310" s="16"/>
      <c r="S310" s="16"/>
      <c r="T310" s="16"/>
      <c r="U310" s="12"/>
      <c r="V310" s="16"/>
    </row>
    <row r="311" spans="1:22" x14ac:dyDescent="0.25">
      <c r="A311" s="73">
        <v>66605</v>
      </c>
      <c r="B311" s="74"/>
      <c r="C311" s="154"/>
      <c r="D311" s="116"/>
      <c r="E311" s="74"/>
      <c r="F311" s="74"/>
      <c r="G311" s="74"/>
      <c r="H311" s="75"/>
      <c r="I311" s="74"/>
      <c r="J311" s="75"/>
      <c r="K311" s="75"/>
      <c r="L311" s="75"/>
      <c r="M311" s="75"/>
      <c r="N311" s="75"/>
      <c r="O311" s="75"/>
      <c r="P311" s="74"/>
      <c r="Q311" s="74"/>
      <c r="R311" s="74"/>
      <c r="S311" s="75"/>
      <c r="T311" s="74"/>
      <c r="U311" s="74"/>
      <c r="V311" s="74"/>
    </row>
    <row r="312" spans="1:22" ht="31.5" x14ac:dyDescent="0.25">
      <c r="A312" s="73">
        <v>66605</v>
      </c>
      <c r="B312" s="13" t="s">
        <v>468</v>
      </c>
      <c r="C312" s="155">
        <v>45294</v>
      </c>
      <c r="D312" s="20">
        <v>88</v>
      </c>
      <c r="E312" s="16">
        <f>B323*15%</f>
        <v>264000</v>
      </c>
      <c r="F312" s="16">
        <v>0</v>
      </c>
      <c r="G312" s="16">
        <f t="shared" ref="G312" si="228">E312-F312</f>
        <v>264000</v>
      </c>
      <c r="H312" s="16">
        <f>ROUND(G312*18%,)</f>
        <v>47520</v>
      </c>
      <c r="I312" s="16">
        <f>ROUND(G312+H312,)</f>
        <v>311520</v>
      </c>
      <c r="J312" s="16">
        <f>G312*2%</f>
        <v>5280</v>
      </c>
      <c r="K312" s="16">
        <f>ROUND(G312*5%,)</f>
        <v>13200</v>
      </c>
      <c r="L312" s="16"/>
      <c r="M312" s="16"/>
      <c r="N312" s="122">
        <f>H312</f>
        <v>47520</v>
      </c>
      <c r="O312" s="16"/>
      <c r="P312" s="61">
        <f>I312-SUM(J312:O312)</f>
        <v>245520</v>
      </c>
      <c r="Q312" s="16"/>
      <c r="R312" s="16"/>
      <c r="S312" s="16"/>
      <c r="T312" s="16">
        <v>500000</v>
      </c>
      <c r="U312" s="12" t="s">
        <v>417</v>
      </c>
      <c r="V312" s="16">
        <f>SUM(P312:P315)-SUM(T312:T315)</f>
        <v>183760</v>
      </c>
    </row>
    <row r="313" spans="1:22" ht="31.5" x14ac:dyDescent="0.25">
      <c r="A313" s="73">
        <v>66605</v>
      </c>
      <c r="B313" s="13" t="s">
        <v>468</v>
      </c>
      <c r="C313" s="155">
        <v>45314</v>
      </c>
      <c r="D313" s="20">
        <v>105</v>
      </c>
      <c r="E313" s="16">
        <v>352000</v>
      </c>
      <c r="F313" s="16">
        <v>0</v>
      </c>
      <c r="G313" s="16">
        <f t="shared" ref="G313" si="229">E313-F313</f>
        <v>352000</v>
      </c>
      <c r="H313" s="16">
        <f>ROUND(G313*18%,)</f>
        <v>63360</v>
      </c>
      <c r="I313" s="16">
        <f>ROUND(G313+H313,)</f>
        <v>415360</v>
      </c>
      <c r="J313" s="16">
        <f>G313*2%</f>
        <v>7040</v>
      </c>
      <c r="K313" s="16">
        <f>ROUND(G313*5%,)</f>
        <v>17600</v>
      </c>
      <c r="L313" s="16"/>
      <c r="M313" s="16"/>
      <c r="N313" s="122">
        <f>H313</f>
        <v>63360</v>
      </c>
      <c r="O313" s="16"/>
      <c r="P313" s="61">
        <f>I313-SUM(J313:O313)</f>
        <v>327360</v>
      </c>
      <c r="Q313" s="16"/>
      <c r="R313" s="16"/>
      <c r="S313" s="16"/>
      <c r="T313" s="16"/>
      <c r="U313" s="12"/>
      <c r="V313" s="16"/>
    </row>
    <row r="314" spans="1:22" x14ac:dyDescent="0.25">
      <c r="A314" s="73">
        <v>66605</v>
      </c>
      <c r="B314" s="13" t="s">
        <v>229</v>
      </c>
      <c r="C314" s="155"/>
      <c r="D314" s="143">
        <v>88105</v>
      </c>
      <c r="E314" s="16">
        <f>N312+N313</f>
        <v>110880</v>
      </c>
      <c r="F314" s="16"/>
      <c r="G314" s="16"/>
      <c r="H314" s="16"/>
      <c r="I314" s="16"/>
      <c r="J314" s="16"/>
      <c r="K314" s="16"/>
      <c r="L314" s="16"/>
      <c r="M314" s="16"/>
      <c r="N314" s="85"/>
      <c r="O314" s="16"/>
      <c r="P314" s="122">
        <f>E314</f>
        <v>110880</v>
      </c>
      <c r="Q314" s="16"/>
      <c r="R314" s="16"/>
      <c r="S314" s="16"/>
      <c r="T314" s="16"/>
      <c r="U314" s="12"/>
      <c r="V314" s="16"/>
    </row>
    <row r="315" spans="1:22" ht="16.5" thickBot="1" x14ac:dyDescent="0.3">
      <c r="A315" s="73">
        <v>66605</v>
      </c>
      <c r="B315" s="13"/>
      <c r="C315" s="155"/>
      <c r="D315" s="20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28"/>
      <c r="Q315" s="16"/>
      <c r="R315" s="16"/>
      <c r="S315" s="16"/>
      <c r="T315" s="16"/>
      <c r="U315" s="12"/>
      <c r="V315" s="16"/>
    </row>
    <row r="316" spans="1:22" x14ac:dyDescent="0.25">
      <c r="A316" s="57"/>
      <c r="B316" s="58" t="s">
        <v>94</v>
      </c>
      <c r="C316" s="158" t="s">
        <v>94</v>
      </c>
      <c r="D316" s="58"/>
      <c r="E316" s="50">
        <f>SUM(E8:E315)</f>
        <v>57712703.489</v>
      </c>
      <c r="F316" s="50">
        <f>SUM(F8:F315)</f>
        <v>2763510.9499999997</v>
      </c>
      <c r="G316" s="50">
        <f>SUM(G8:G315)</f>
        <v>46135844.789999992</v>
      </c>
      <c r="H316" s="10"/>
      <c r="I316" s="10"/>
      <c r="J316" s="50">
        <f t="shared" ref="J316:P316" si="230">SUM(J8:J315)</f>
        <v>922718.91179999989</v>
      </c>
      <c r="K316" s="50">
        <f t="shared" si="230"/>
        <v>2306799.1524999999</v>
      </c>
      <c r="L316" s="50">
        <f t="shared" si="230"/>
        <v>344739.12300000002</v>
      </c>
      <c r="M316" s="50">
        <f t="shared" si="230"/>
        <v>1071630.3230000001</v>
      </c>
      <c r="N316" s="50">
        <f t="shared" si="230"/>
        <v>8300559.5490000006</v>
      </c>
      <c r="O316" s="50">
        <f t="shared" si="230"/>
        <v>137813</v>
      </c>
      <c r="P316" s="50">
        <f t="shared" si="230"/>
        <v>49604227.152199991</v>
      </c>
      <c r="Q316" s="44" t="s">
        <v>17</v>
      </c>
      <c r="R316" s="50">
        <f>SUM(R8:R315)</f>
        <v>56247282</v>
      </c>
      <c r="S316" s="50">
        <f>SUM(S8:S315)</f>
        <v>1082100.02</v>
      </c>
      <c r="T316" s="50">
        <f>SUM(T8:T315)</f>
        <v>58488483.980000004</v>
      </c>
      <c r="U316" s="51"/>
      <c r="V316" s="50">
        <f>SUM(V8:V315)</f>
        <v>-8884256.8278000001</v>
      </c>
    </row>
    <row r="317" spans="1:22" x14ac:dyDescent="0.25">
      <c r="A317" s="34"/>
      <c r="B317" s="16"/>
      <c r="C317" s="153"/>
      <c r="D317" s="115"/>
      <c r="E317" s="16">
        <f>E309+E303+E298+E290+E271+E266+E257+E250+E241+E239+E232+E230+E229+E228+E222+E220+E218+E211+E207+E205+E203+E201+E198+E196+E194+E184+E183+E179+E178+E175+E173+E172+E169+E160+E158+E150+E148+E137+E135+E133+E123+E121+E115+E113+E105+E107+E100+E98+E95+E92+E83+E75+E73+E72+E71+E67+E66+E59+E57+E56+E51+E50+E49+E38+E31+E30+E29+E28+E21+E19+E16+E15+E12+E11+E300+E295+E283+E282+E273+E268+E263+E243+E234+E162+E152+E141+E140+E125+E77+E61+E41+E34</f>
        <v>7250436.5489999996</v>
      </c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45"/>
      <c r="R317" s="16"/>
      <c r="S317" s="48"/>
      <c r="T317" s="16"/>
      <c r="U317" s="52"/>
      <c r="V317" s="16"/>
    </row>
    <row r="318" spans="1:22" x14ac:dyDescent="0.25">
      <c r="A318" s="34"/>
      <c r="B318" s="16"/>
      <c r="C318" s="153"/>
      <c r="D318" s="115"/>
      <c r="E318" s="16">
        <f>E316-E317</f>
        <v>50462266.939999998</v>
      </c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46" t="s">
        <v>18</v>
      </c>
      <c r="R318" s="23"/>
      <c r="S318" s="48"/>
      <c r="T318" s="23">
        <f>P316-T316</f>
        <v>-8884256.8278000131</v>
      </c>
      <c r="U318" s="52"/>
      <c r="V318" s="23"/>
    </row>
    <row r="319" spans="1:22" ht="16.5" thickBot="1" x14ac:dyDescent="0.3">
      <c r="A319" s="35"/>
      <c r="B319" s="24"/>
      <c r="C319" s="159"/>
      <c r="D319" s="11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47"/>
      <c r="R319" s="25"/>
      <c r="S319" s="49"/>
      <c r="T319" s="25"/>
      <c r="U319" s="53"/>
      <c r="V319" s="25"/>
    </row>
    <row r="321" spans="2:20" x14ac:dyDescent="0.25">
      <c r="O321" s="60">
        <f>P316+L316+726852</f>
        <v>50675818.275199994</v>
      </c>
    </row>
    <row r="322" spans="2:20" ht="16.5" thickBot="1" x14ac:dyDescent="0.3"/>
    <row r="323" spans="2:20" ht="19.5" thickBot="1" x14ac:dyDescent="0.3">
      <c r="B323" s="1">
        <v>1760000</v>
      </c>
      <c r="J323" s="162" t="s">
        <v>354</v>
      </c>
      <c r="K323" s="163"/>
      <c r="L323" s="164"/>
      <c r="T323" s="60">
        <f>O321-T316</f>
        <v>-7812665.7048000097</v>
      </c>
    </row>
    <row r="324" spans="2:20" ht="19.5" thickBot="1" x14ac:dyDescent="0.3">
      <c r="J324" s="165" t="s">
        <v>421</v>
      </c>
      <c r="K324" s="163"/>
      <c r="L324" s="164"/>
      <c r="T324" s="1">
        <f>1000000</f>
        <v>1000000</v>
      </c>
    </row>
    <row r="325" spans="2:20" ht="16.5" thickBot="1" x14ac:dyDescent="0.3">
      <c r="J325" s="166" t="s">
        <v>201</v>
      </c>
      <c r="K325" s="167"/>
      <c r="L325" s="124">
        <f>K316+L316+M316</f>
        <v>3723168.5985000003</v>
      </c>
      <c r="T325" s="60">
        <f>T323+T324</f>
        <v>-6812665.7048000097</v>
      </c>
    </row>
    <row r="326" spans="2:20" ht="16.5" thickBot="1" x14ac:dyDescent="0.3">
      <c r="J326" s="168" t="s">
        <v>198</v>
      </c>
      <c r="K326" s="169"/>
      <c r="L326" s="124">
        <f>T318</f>
        <v>-8884256.8278000131</v>
      </c>
    </row>
    <row r="327" spans="2:20" ht="16.5" thickBot="1" x14ac:dyDescent="0.3">
      <c r="J327" s="168" t="s">
        <v>199</v>
      </c>
      <c r="K327" s="169"/>
      <c r="L327" s="125">
        <v>1984832</v>
      </c>
    </row>
    <row r="328" spans="2:20" ht="16.5" thickBot="1" x14ac:dyDescent="0.3">
      <c r="J328" s="160" t="s">
        <v>200</v>
      </c>
      <c r="K328" s="161"/>
      <c r="L328" s="111">
        <f>N291</f>
        <v>14314</v>
      </c>
    </row>
    <row r="329" spans="2:20" ht="16.5" thickBot="1" x14ac:dyDescent="0.3">
      <c r="J329" s="160" t="s">
        <v>418</v>
      </c>
      <c r="K329" s="161"/>
      <c r="L329" s="124">
        <f>O316</f>
        <v>137813</v>
      </c>
    </row>
  </sheetData>
  <autoFilter ref="C1:C329" xr:uid="{00000000-0009-0000-0000-000000000000}"/>
  <mergeCells count="7">
    <mergeCell ref="J329:K329"/>
    <mergeCell ref="J328:K328"/>
    <mergeCell ref="J323:L323"/>
    <mergeCell ref="J324:L324"/>
    <mergeCell ref="J325:K325"/>
    <mergeCell ref="J326:K326"/>
    <mergeCell ref="J327:K327"/>
  </mergeCells>
  <phoneticPr fontId="2" type="noConversion"/>
  <pageMargins left="0.11811023622047245" right="0.11811023622047245" top="0.74803149606299213" bottom="0.74803149606299213" header="0.31496062992125984" footer="0.31496062992125984"/>
  <pageSetup paperSize="8" scale="15" orientation="landscape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1" sqref="M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E5:G18"/>
  <sheetViews>
    <sheetView workbookViewId="0">
      <selection activeCell="G19" sqref="G19"/>
    </sheetView>
  </sheetViews>
  <sheetFormatPr defaultRowHeight="15" x14ac:dyDescent="0.25"/>
  <cols>
    <col min="5" max="5" width="11.5703125" bestFit="1" customWidth="1"/>
    <col min="6" max="6" width="6.85546875" customWidth="1"/>
    <col min="7" max="7" width="13.140625" bestFit="1" customWidth="1"/>
  </cols>
  <sheetData>
    <row r="5" spans="5:7" ht="15.75" x14ac:dyDescent="0.25">
      <c r="E5" s="14">
        <v>45210</v>
      </c>
      <c r="F5" s="15">
        <v>8</v>
      </c>
      <c r="G5" s="16">
        <v>95375</v>
      </c>
    </row>
    <row r="6" spans="5:7" ht="15.75" x14ac:dyDescent="0.25">
      <c r="E6" s="14">
        <v>45227</v>
      </c>
      <c r="F6" s="15">
        <v>19</v>
      </c>
      <c r="G6" s="16">
        <v>57225</v>
      </c>
    </row>
    <row r="7" spans="5:7" ht="15.75" x14ac:dyDescent="0.25">
      <c r="E7" s="14">
        <v>45237</v>
      </c>
      <c r="F7" s="15">
        <v>26</v>
      </c>
      <c r="G7" s="16">
        <v>38150</v>
      </c>
    </row>
    <row r="8" spans="5:7" ht="15.75" x14ac:dyDescent="0.25">
      <c r="E8" s="27">
        <v>45362</v>
      </c>
      <c r="F8" s="20">
        <v>16</v>
      </c>
      <c r="G8" s="12">
        <v>217700</v>
      </c>
    </row>
    <row r="9" spans="5:7" ht="15.75" x14ac:dyDescent="0.25">
      <c r="E9" s="14">
        <v>45227</v>
      </c>
      <c r="F9" s="20">
        <v>20</v>
      </c>
      <c r="G9" s="16">
        <v>57225</v>
      </c>
    </row>
    <row r="10" spans="5:7" ht="15.75" x14ac:dyDescent="0.25">
      <c r="E10" s="14">
        <v>45227</v>
      </c>
      <c r="F10" s="20">
        <v>21</v>
      </c>
      <c r="G10" s="16">
        <v>57225</v>
      </c>
    </row>
    <row r="11" spans="5:7" ht="15.75" x14ac:dyDescent="0.25">
      <c r="E11" s="27">
        <v>45565</v>
      </c>
      <c r="F11" s="20">
        <v>58</v>
      </c>
      <c r="G11" s="16">
        <v>231722.23</v>
      </c>
    </row>
    <row r="12" spans="5:7" ht="15.75" x14ac:dyDescent="0.25">
      <c r="E12" s="14">
        <v>45221</v>
      </c>
      <c r="F12" s="20">
        <v>22</v>
      </c>
      <c r="G12" s="16">
        <v>26705</v>
      </c>
    </row>
    <row r="13" spans="5:7" ht="15.75" x14ac:dyDescent="0.25">
      <c r="E13" s="14">
        <v>45237</v>
      </c>
      <c r="F13" s="20">
        <v>25</v>
      </c>
      <c r="G13" s="16">
        <v>19075</v>
      </c>
    </row>
    <row r="14" spans="5:7" ht="15.75" x14ac:dyDescent="0.25">
      <c r="E14" s="21">
        <v>45565</v>
      </c>
      <c r="F14" s="20">
        <v>57</v>
      </c>
      <c r="G14" s="16">
        <v>208785.9</v>
      </c>
    </row>
    <row r="15" spans="5:7" ht="15.75" x14ac:dyDescent="0.25">
      <c r="E15" s="14">
        <v>45581</v>
      </c>
      <c r="F15" s="20">
        <v>63</v>
      </c>
      <c r="G15" s="16">
        <v>175542</v>
      </c>
    </row>
    <row r="16" spans="5:7" ht="15.75" x14ac:dyDescent="0.25">
      <c r="E16" s="16" t="s">
        <v>135</v>
      </c>
      <c r="F16" s="20">
        <v>45</v>
      </c>
      <c r="G16" s="16">
        <v>567000</v>
      </c>
    </row>
    <row r="17" spans="5:7" ht="15.75" x14ac:dyDescent="0.25">
      <c r="E17" s="21">
        <v>45602</v>
      </c>
      <c r="F17" s="115">
        <v>87</v>
      </c>
      <c r="G17" s="16">
        <v>247860</v>
      </c>
    </row>
    <row r="18" spans="5:7" x14ac:dyDescent="0.25">
      <c r="G18" s="139">
        <f>SUM(G5:G17)</f>
        <v>1999590.13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W131"/>
  <sheetViews>
    <sheetView zoomScale="70" zoomScaleNormal="70" workbookViewId="0">
      <pane xSplit="1" ySplit="4" topLeftCell="B117" activePane="bottomRight" state="frozen"/>
      <selection pane="topRight" activeCell="B1" sqref="B1"/>
      <selection pane="bottomLeft" activeCell="A5" sqref="A5"/>
      <selection pane="bottomRight" activeCell="E121" sqref="E121"/>
    </sheetView>
  </sheetViews>
  <sheetFormatPr defaultColWidth="9" defaultRowHeight="30" customHeight="1" x14ac:dyDescent="0.25"/>
  <cols>
    <col min="1" max="1" width="11.7109375" style="2" bestFit="1" customWidth="1"/>
    <col min="2" max="2" width="30" style="1" customWidth="1"/>
    <col min="3" max="3" width="13.5703125" style="1" bestFit="1" customWidth="1"/>
    <col min="4" max="4" width="11.7109375" style="1" bestFit="1" customWidth="1"/>
    <col min="5" max="5" width="17.140625" style="1" bestFit="1" customWidth="1"/>
    <col min="6" max="6" width="13.85546875" style="1" bestFit="1" customWidth="1"/>
    <col min="7" max="7" width="17.140625" style="1" bestFit="1" customWidth="1"/>
    <col min="8" max="8" width="16.7109375" style="7" customWidth="1"/>
    <col min="9" max="9" width="17.140625" style="7" bestFit="1" customWidth="1"/>
    <col min="10" max="10" width="23.42578125" style="1" customWidth="1"/>
    <col min="11" max="11" width="16.5703125" style="1" customWidth="1"/>
    <col min="12" max="12" width="17.28515625" style="1" customWidth="1"/>
    <col min="13" max="13" width="16.85546875" style="1" customWidth="1"/>
    <col min="14" max="14" width="16.42578125" style="1" customWidth="1"/>
    <col min="15" max="15" width="17" style="1" customWidth="1"/>
    <col min="16" max="16" width="18.28515625" style="2" customWidth="1"/>
    <col min="17" max="17" width="32.28515625" style="1" bestFit="1" customWidth="1"/>
    <col min="18" max="18" width="16.7109375" style="1" bestFit="1" customWidth="1"/>
    <col min="19" max="19" width="16.42578125" style="1" bestFit="1" customWidth="1"/>
    <col min="20" max="20" width="16.7109375" style="1" customWidth="1"/>
    <col min="21" max="21" width="102.28515625" style="1" bestFit="1" customWidth="1"/>
    <col min="22" max="22" width="18.140625" style="1" customWidth="1"/>
    <col min="23" max="16384" width="9" style="1"/>
  </cols>
  <sheetData>
    <row r="1" spans="1:22" ht="30" customHeight="1" x14ac:dyDescent="0.25">
      <c r="B1" s="64" t="s">
        <v>104</v>
      </c>
      <c r="E1" s="3"/>
      <c r="F1" s="3"/>
      <c r="G1" s="3"/>
      <c r="H1" s="4"/>
      <c r="I1" s="4"/>
    </row>
    <row r="2" spans="1:22" ht="30" customHeight="1" thickBot="1" x14ac:dyDescent="0.3">
      <c r="A2" s="29"/>
      <c r="B2" s="62" t="s">
        <v>0</v>
      </c>
      <c r="C2" s="5"/>
      <c r="D2" s="62" t="s">
        <v>31</v>
      </c>
      <c r="G2" s="6"/>
      <c r="I2" s="63" t="s">
        <v>103</v>
      </c>
      <c r="J2" s="60"/>
      <c r="K2" s="108" t="s">
        <v>196</v>
      </c>
    </row>
    <row r="3" spans="1:22" ht="30" customHeight="1" thickBot="1" x14ac:dyDescent="0.3">
      <c r="A3" s="30"/>
      <c r="B3" s="8"/>
      <c r="C3" s="8"/>
      <c r="D3" s="8"/>
      <c r="E3" s="8"/>
      <c r="H3" s="4"/>
      <c r="I3" s="4"/>
      <c r="R3" s="9"/>
      <c r="S3" s="9"/>
      <c r="T3" s="9"/>
      <c r="U3" s="9"/>
    </row>
    <row r="4" spans="1:22" ht="47.25" x14ac:dyDescent="0.25">
      <c r="A4" s="57"/>
      <c r="B4" s="65" t="s">
        <v>1</v>
      </c>
      <c r="C4" s="57" t="s">
        <v>2</v>
      </c>
      <c r="D4" s="57" t="s">
        <v>3</v>
      </c>
      <c r="E4" s="66" t="s">
        <v>4</v>
      </c>
      <c r="F4" s="57" t="s">
        <v>13</v>
      </c>
      <c r="G4" s="67" t="s">
        <v>14</v>
      </c>
      <c r="H4" s="68" t="s">
        <v>5</v>
      </c>
      <c r="I4" s="69" t="s">
        <v>6</v>
      </c>
      <c r="J4" s="11" t="s">
        <v>97</v>
      </c>
      <c r="K4" s="70" t="s">
        <v>12</v>
      </c>
      <c r="L4" s="70" t="s">
        <v>15</v>
      </c>
      <c r="M4" s="70" t="s">
        <v>16</v>
      </c>
      <c r="N4" s="70" t="s">
        <v>7</v>
      </c>
      <c r="O4" s="70" t="s">
        <v>8</v>
      </c>
      <c r="P4" s="71"/>
      <c r="Q4" s="11" t="s">
        <v>9</v>
      </c>
      <c r="R4" s="11" t="s">
        <v>6</v>
      </c>
      <c r="S4" s="11" t="s">
        <v>20</v>
      </c>
      <c r="T4" s="11" t="s">
        <v>10</v>
      </c>
      <c r="U4" s="70" t="s">
        <v>11</v>
      </c>
      <c r="V4" s="11" t="s">
        <v>102</v>
      </c>
    </row>
    <row r="5" spans="1:22" ht="30" customHeight="1" x14ac:dyDescent="0.25">
      <c r="A5" s="34"/>
      <c r="B5" s="16"/>
      <c r="C5" s="16"/>
      <c r="D5" s="16"/>
      <c r="E5" s="16"/>
      <c r="F5" s="16"/>
      <c r="G5" s="16"/>
      <c r="H5" s="72">
        <v>0.18</v>
      </c>
      <c r="I5" s="16"/>
      <c r="J5" s="72">
        <v>0.02</v>
      </c>
      <c r="K5" s="72">
        <v>0.05</v>
      </c>
      <c r="L5" s="72">
        <v>0.1</v>
      </c>
      <c r="M5" s="72">
        <v>0.1</v>
      </c>
      <c r="N5" s="72">
        <v>0.18</v>
      </c>
      <c r="O5" s="16"/>
      <c r="P5" s="17"/>
      <c r="Q5" s="16"/>
      <c r="R5" s="16"/>
      <c r="S5" s="72">
        <v>0.02</v>
      </c>
      <c r="T5" s="16"/>
      <c r="U5" s="16"/>
      <c r="V5" s="12"/>
    </row>
    <row r="6" spans="1:22" ht="30" customHeight="1" x14ac:dyDescent="0.25">
      <c r="A6" s="73">
        <v>59061</v>
      </c>
      <c r="B6" s="74"/>
      <c r="C6" s="74"/>
      <c r="D6" s="74"/>
      <c r="E6" s="74"/>
      <c r="F6" s="74"/>
      <c r="G6" s="74"/>
      <c r="H6" s="75"/>
      <c r="I6" s="74"/>
      <c r="J6" s="75"/>
      <c r="K6" s="75"/>
      <c r="L6" s="75"/>
      <c r="M6" s="75"/>
      <c r="N6" s="75"/>
      <c r="O6" s="74"/>
      <c r="P6" s="76">
        <f>A6</f>
        <v>59061</v>
      </c>
      <c r="Q6" s="74"/>
      <c r="R6" s="74"/>
      <c r="S6" s="75"/>
      <c r="T6" s="74"/>
      <c r="U6" s="74"/>
      <c r="V6" s="26"/>
    </row>
    <row r="7" spans="1:22" ht="30" customHeight="1" x14ac:dyDescent="0.25">
      <c r="A7" s="31">
        <v>3500000</v>
      </c>
      <c r="B7" s="13" t="s">
        <v>148</v>
      </c>
      <c r="C7" s="14">
        <v>45210</v>
      </c>
      <c r="D7" s="15">
        <v>8</v>
      </c>
      <c r="E7" s="16">
        <v>525000</v>
      </c>
      <c r="F7" s="16">
        <v>95375</v>
      </c>
      <c r="G7" s="16">
        <f>E7-F7</f>
        <v>429625</v>
      </c>
      <c r="H7" s="16">
        <f>ROUND(G7*H5,0)</f>
        <v>77333</v>
      </c>
      <c r="I7" s="16">
        <f>ROUND(G7+H7,)</f>
        <v>506958</v>
      </c>
      <c r="J7" s="16">
        <f>G7*2%</f>
        <v>8592.5</v>
      </c>
      <c r="K7" s="16">
        <f>G7*$K$5</f>
        <v>21481.25</v>
      </c>
      <c r="L7" s="16">
        <v>0</v>
      </c>
      <c r="M7" s="16">
        <v>0</v>
      </c>
      <c r="N7" s="16">
        <f>H7</f>
        <v>77333</v>
      </c>
      <c r="O7" s="61">
        <f>ROUND(I7-SUM(J7:N7),0)</f>
        <v>399551</v>
      </c>
      <c r="P7" s="17"/>
      <c r="Q7" s="16" t="s">
        <v>24</v>
      </c>
      <c r="R7" s="16">
        <v>200000</v>
      </c>
      <c r="S7" s="16">
        <f>R7*$S$5</f>
        <v>4000</v>
      </c>
      <c r="T7" s="16">
        <f>R7-S7</f>
        <v>196000</v>
      </c>
      <c r="U7" s="18" t="s">
        <v>21</v>
      </c>
      <c r="V7" s="12"/>
    </row>
    <row r="8" spans="1:22" ht="30" customHeight="1" x14ac:dyDescent="0.25">
      <c r="A8" s="31"/>
      <c r="B8" s="13"/>
      <c r="C8" s="14">
        <v>45227</v>
      </c>
      <c r="D8" s="15">
        <v>19</v>
      </c>
      <c r="E8" s="16">
        <v>525000</v>
      </c>
      <c r="F8" s="16">
        <v>57225</v>
      </c>
      <c r="G8" s="16">
        <f>E8-F8</f>
        <v>467775</v>
      </c>
      <c r="H8" s="16">
        <f>ROUND(G8*H5,0)</f>
        <v>84200</v>
      </c>
      <c r="I8" s="16">
        <f>ROUND(G8+H8,)</f>
        <v>551975</v>
      </c>
      <c r="J8" s="16">
        <f t="shared" ref="J8:J9" si="0">G8*2%</f>
        <v>9355.5</v>
      </c>
      <c r="K8" s="16">
        <f>G8*$K$5</f>
        <v>23388.75</v>
      </c>
      <c r="L8" s="12"/>
      <c r="M8" s="16">
        <f>G8*10%</f>
        <v>46777.5</v>
      </c>
      <c r="N8" s="16">
        <f>H8</f>
        <v>84200</v>
      </c>
      <c r="O8" s="61">
        <f>ROUND(I8-SUM(J8:N8),0)</f>
        <v>388253</v>
      </c>
      <c r="P8" s="17"/>
      <c r="Q8" s="16" t="s">
        <v>25</v>
      </c>
      <c r="R8" s="16">
        <v>200000</v>
      </c>
      <c r="S8" s="16">
        <f t="shared" ref="S8:S14" si="1">R8*$S$5</f>
        <v>4000</v>
      </c>
      <c r="T8" s="16">
        <f t="shared" ref="T8:T17" si="2">R8-S8</f>
        <v>196000</v>
      </c>
      <c r="U8" s="19" t="s">
        <v>22</v>
      </c>
      <c r="V8" s="12"/>
    </row>
    <row r="9" spans="1:22" ht="30" customHeight="1" x14ac:dyDescent="0.25">
      <c r="A9" s="31"/>
      <c r="B9" s="13"/>
      <c r="C9" s="14">
        <v>45237</v>
      </c>
      <c r="D9" s="15">
        <v>26</v>
      </c>
      <c r="E9" s="16">
        <v>350000</v>
      </c>
      <c r="F9" s="16">
        <v>38150</v>
      </c>
      <c r="G9" s="16">
        <f>E9-F9</f>
        <v>311850</v>
      </c>
      <c r="H9" s="16">
        <f>ROUND(G9*H5,0)</f>
        <v>56133</v>
      </c>
      <c r="I9" s="16">
        <f>ROUND(G9+H9,)</f>
        <v>367983</v>
      </c>
      <c r="J9" s="16">
        <f t="shared" si="0"/>
        <v>6237</v>
      </c>
      <c r="K9" s="16">
        <f>G9*$K$5</f>
        <v>15592.5</v>
      </c>
      <c r="L9" s="12"/>
      <c r="M9" s="16">
        <f>G9*10%</f>
        <v>31185</v>
      </c>
      <c r="N9" s="16">
        <f>H9</f>
        <v>56133</v>
      </c>
      <c r="O9" s="61">
        <f>ROUND(I9-SUM(J9:N9),0)</f>
        <v>258836</v>
      </c>
      <c r="P9" s="17"/>
      <c r="Q9" s="16" t="s">
        <v>26</v>
      </c>
      <c r="R9" s="16">
        <v>200000</v>
      </c>
      <c r="S9" s="16">
        <f t="shared" si="1"/>
        <v>4000</v>
      </c>
      <c r="T9" s="16">
        <f t="shared" si="2"/>
        <v>196000</v>
      </c>
      <c r="U9" s="19" t="s">
        <v>23</v>
      </c>
      <c r="V9" s="12"/>
    </row>
    <row r="10" spans="1:22" ht="30" customHeight="1" x14ac:dyDescent="0.25">
      <c r="A10" s="32"/>
      <c r="B10" s="13" t="s">
        <v>42</v>
      </c>
      <c r="C10" s="14">
        <v>45250</v>
      </c>
      <c r="D10" s="20">
        <v>8</v>
      </c>
      <c r="E10" s="16">
        <f>N7</f>
        <v>77333</v>
      </c>
      <c r="F10" s="12"/>
      <c r="G10" s="16"/>
      <c r="H10" s="16"/>
      <c r="I10" s="16"/>
      <c r="J10" s="16"/>
      <c r="K10" s="16"/>
      <c r="L10" s="16"/>
      <c r="M10" s="16"/>
      <c r="N10" s="16"/>
      <c r="O10" s="61"/>
      <c r="P10" s="17"/>
      <c r="Q10" s="16" t="s">
        <v>35</v>
      </c>
      <c r="R10" s="16">
        <v>250000</v>
      </c>
      <c r="S10" s="16">
        <f t="shared" si="1"/>
        <v>5000</v>
      </c>
      <c r="T10" s="16">
        <f t="shared" si="2"/>
        <v>245000</v>
      </c>
      <c r="U10" s="19" t="s">
        <v>34</v>
      </c>
      <c r="V10" s="12"/>
    </row>
    <row r="11" spans="1:22" ht="30" customHeight="1" x14ac:dyDescent="0.25">
      <c r="A11" s="32"/>
      <c r="B11" s="13" t="s">
        <v>42</v>
      </c>
      <c r="C11" s="14">
        <v>45227</v>
      </c>
      <c r="D11" s="20">
        <v>19</v>
      </c>
      <c r="E11" s="16">
        <f>N8</f>
        <v>84200</v>
      </c>
      <c r="F11" s="12"/>
      <c r="G11" s="16"/>
      <c r="H11" s="16"/>
      <c r="I11" s="16"/>
      <c r="J11" s="16"/>
      <c r="K11" s="16"/>
      <c r="L11" s="16"/>
      <c r="M11" s="16"/>
      <c r="N11" s="16"/>
      <c r="O11" s="61"/>
      <c r="P11" s="17"/>
      <c r="Q11" s="16" t="s">
        <v>48</v>
      </c>
      <c r="R11" s="16">
        <v>100000</v>
      </c>
      <c r="S11" s="16">
        <f t="shared" si="1"/>
        <v>2000</v>
      </c>
      <c r="T11" s="16">
        <f t="shared" si="2"/>
        <v>98000</v>
      </c>
      <c r="U11" s="19" t="s">
        <v>39</v>
      </c>
      <c r="V11" s="12"/>
    </row>
    <row r="12" spans="1:22" ht="30" customHeight="1" x14ac:dyDescent="0.25">
      <c r="A12" s="32"/>
      <c r="B12" s="13"/>
      <c r="C12" s="14">
        <v>45324</v>
      </c>
      <c r="D12" s="20">
        <v>46</v>
      </c>
      <c r="E12" s="16">
        <v>525000</v>
      </c>
      <c r="F12" s="12"/>
      <c r="G12" s="16">
        <f t="shared" ref="G12:G13" si="3">E12-F12</f>
        <v>525000</v>
      </c>
      <c r="H12" s="16">
        <f>G12*18%</f>
        <v>94500</v>
      </c>
      <c r="I12" s="16">
        <f t="shared" ref="I12:I13" si="4">ROUND(G12+H12,)</f>
        <v>619500</v>
      </c>
      <c r="J12" s="16">
        <f t="shared" ref="J12:J13" si="5">G12*2%</f>
        <v>10500</v>
      </c>
      <c r="K12" s="16">
        <f t="shared" ref="K12:K13" si="6">G12*$K$5</f>
        <v>26250</v>
      </c>
      <c r="L12" s="16"/>
      <c r="M12" s="16">
        <v>0</v>
      </c>
      <c r="N12" s="87">
        <f t="shared" ref="N12:N13" si="7">H12</f>
        <v>94500</v>
      </c>
      <c r="O12" s="61">
        <f>ROUND(I12-SUM(J12:N12),0)</f>
        <v>488250</v>
      </c>
      <c r="P12" s="17"/>
      <c r="Q12" s="16" t="s">
        <v>49</v>
      </c>
      <c r="R12" s="16">
        <v>200000</v>
      </c>
      <c r="S12" s="16">
        <f t="shared" si="1"/>
        <v>4000</v>
      </c>
      <c r="T12" s="16">
        <f t="shared" si="2"/>
        <v>196000</v>
      </c>
      <c r="U12" s="19" t="s">
        <v>40</v>
      </c>
      <c r="V12" s="12"/>
    </row>
    <row r="13" spans="1:22" ht="31.5" x14ac:dyDescent="0.25">
      <c r="A13" s="32"/>
      <c r="B13" s="13"/>
      <c r="C13" s="14">
        <v>45334</v>
      </c>
      <c r="D13" s="20">
        <v>57</v>
      </c>
      <c r="E13" s="12">
        <v>525000</v>
      </c>
      <c r="F13" s="12"/>
      <c r="G13" s="16">
        <f t="shared" si="3"/>
        <v>525000</v>
      </c>
      <c r="H13" s="16">
        <f>G13*18%</f>
        <v>94500</v>
      </c>
      <c r="I13" s="16">
        <f t="shared" si="4"/>
        <v>619500</v>
      </c>
      <c r="J13" s="16">
        <f t="shared" si="5"/>
        <v>10500</v>
      </c>
      <c r="K13" s="16">
        <f t="shared" si="6"/>
        <v>26250</v>
      </c>
      <c r="L13" s="16"/>
      <c r="M13" s="16">
        <v>0</v>
      </c>
      <c r="N13" s="87">
        <f t="shared" si="7"/>
        <v>94500</v>
      </c>
      <c r="O13" s="61">
        <f>ROUND(I13-SUM(J13:N13),0)</f>
        <v>488250</v>
      </c>
      <c r="P13" s="17" t="s">
        <v>178</v>
      </c>
      <c r="Q13" s="16" t="s">
        <v>50</v>
      </c>
      <c r="R13" s="16">
        <v>200000</v>
      </c>
      <c r="S13" s="16">
        <f t="shared" si="1"/>
        <v>4000</v>
      </c>
      <c r="T13" s="16">
        <f t="shared" si="2"/>
        <v>196000</v>
      </c>
      <c r="U13" s="19" t="s">
        <v>41</v>
      </c>
      <c r="V13" s="12"/>
    </row>
    <row r="14" spans="1:22" ht="30" customHeight="1" x14ac:dyDescent="0.25">
      <c r="A14" s="33"/>
      <c r="B14" s="12" t="s">
        <v>42</v>
      </c>
      <c r="C14" s="27">
        <v>45348</v>
      </c>
      <c r="D14" s="12">
        <v>26</v>
      </c>
      <c r="E14" s="28">
        <f>H9</f>
        <v>56133</v>
      </c>
      <c r="F14" s="12"/>
      <c r="G14" s="16"/>
      <c r="H14" s="16"/>
      <c r="I14" s="16"/>
      <c r="J14" s="16"/>
      <c r="K14" s="16"/>
      <c r="L14" s="16"/>
      <c r="M14" s="16"/>
      <c r="N14" s="16"/>
      <c r="O14" s="16"/>
      <c r="P14" s="17" t="s">
        <v>149</v>
      </c>
      <c r="Q14" s="16" t="s">
        <v>51</v>
      </c>
      <c r="R14" s="16">
        <v>400000</v>
      </c>
      <c r="S14" s="16">
        <f t="shared" si="1"/>
        <v>8000</v>
      </c>
      <c r="T14" s="16">
        <f t="shared" si="2"/>
        <v>392000</v>
      </c>
      <c r="U14" s="19" t="s">
        <v>47</v>
      </c>
      <c r="V14" s="12"/>
    </row>
    <row r="15" spans="1:22" ht="30" customHeight="1" x14ac:dyDescent="0.25">
      <c r="A15" s="33"/>
      <c r="B15" s="12"/>
      <c r="C15" s="12"/>
      <c r="D15" s="12"/>
      <c r="E15" s="12"/>
      <c r="F15" s="12"/>
      <c r="G15" s="16">
        <f t="shared" ref="G15:G16" si="8">E15-F15</f>
        <v>0</v>
      </c>
      <c r="H15" s="16">
        <f t="shared" ref="H15:H16" si="9">ROUND(G15*H12,0)</f>
        <v>0</v>
      </c>
      <c r="I15" s="16">
        <f t="shared" ref="I15:I16" si="10">ROUND(G15+H15,)</f>
        <v>0</v>
      </c>
      <c r="J15" s="16">
        <f t="shared" ref="J15:J16" si="11">G15*1%</f>
        <v>0</v>
      </c>
      <c r="K15" s="16">
        <f t="shared" ref="K15:K16" si="12">G15*$K$5</f>
        <v>0</v>
      </c>
      <c r="L15" s="16">
        <f t="shared" ref="L15:L16" si="13">G15*10%</f>
        <v>0</v>
      </c>
      <c r="M15" s="16">
        <v>0</v>
      </c>
      <c r="N15" s="16">
        <f t="shared" ref="N15:N16" si="14">H15</f>
        <v>0</v>
      </c>
      <c r="O15" s="16">
        <f>ROUND(I15-SUM(J15:N15),0)</f>
        <v>0</v>
      </c>
      <c r="P15" s="17"/>
      <c r="Q15" s="16" t="s">
        <v>71</v>
      </c>
      <c r="R15" s="16">
        <v>77333</v>
      </c>
      <c r="S15" s="16">
        <v>0</v>
      </c>
      <c r="T15" s="16">
        <f t="shared" si="2"/>
        <v>77333</v>
      </c>
      <c r="U15" s="19" t="s">
        <v>69</v>
      </c>
      <c r="V15" s="12"/>
    </row>
    <row r="16" spans="1:22" ht="30" customHeight="1" x14ac:dyDescent="0.25">
      <c r="A16" s="33"/>
      <c r="B16" s="12"/>
      <c r="C16" s="12"/>
      <c r="D16" s="12"/>
      <c r="E16" s="12"/>
      <c r="F16" s="12"/>
      <c r="G16" s="16">
        <f t="shared" si="8"/>
        <v>0</v>
      </c>
      <c r="H16" s="16">
        <f t="shared" si="9"/>
        <v>0</v>
      </c>
      <c r="I16" s="16">
        <f t="shared" si="10"/>
        <v>0</v>
      </c>
      <c r="J16" s="16">
        <f t="shared" si="11"/>
        <v>0</v>
      </c>
      <c r="K16" s="16">
        <f t="shared" si="12"/>
        <v>0</v>
      </c>
      <c r="L16" s="16">
        <f t="shared" si="13"/>
        <v>0</v>
      </c>
      <c r="M16" s="16">
        <v>0</v>
      </c>
      <c r="N16" s="16">
        <f t="shared" si="14"/>
        <v>0</v>
      </c>
      <c r="O16" s="16">
        <f>ROUND(I16-SUM(J16:N16),0)</f>
        <v>0</v>
      </c>
      <c r="P16" s="17"/>
      <c r="Q16" s="16" t="s">
        <v>72</v>
      </c>
      <c r="R16" s="16">
        <v>300000</v>
      </c>
      <c r="S16" s="16">
        <f t="shared" ref="S16:S17" si="15">R16*$S$5</f>
        <v>6000</v>
      </c>
      <c r="T16" s="16">
        <f t="shared" si="2"/>
        <v>294000</v>
      </c>
      <c r="U16" s="19" t="s">
        <v>70</v>
      </c>
      <c r="V16" s="12"/>
    </row>
    <row r="17" spans="1:23" ht="30" customHeight="1" x14ac:dyDescent="0.25">
      <c r="A17" s="33"/>
      <c r="B17" s="12"/>
      <c r="C17" s="12"/>
      <c r="D17" s="12"/>
      <c r="E17" s="12"/>
      <c r="F17" s="12"/>
      <c r="G17" s="12"/>
      <c r="H17" s="16"/>
      <c r="I17" s="16"/>
      <c r="J17" s="12"/>
      <c r="K17" s="12"/>
      <c r="L17" s="12"/>
      <c r="M17" s="12"/>
      <c r="N17" s="12"/>
      <c r="O17" s="12"/>
      <c r="P17" s="17"/>
      <c r="Q17" s="16" t="s">
        <v>147</v>
      </c>
      <c r="R17" s="16">
        <v>500000</v>
      </c>
      <c r="S17" s="16">
        <f t="shared" si="15"/>
        <v>10000</v>
      </c>
      <c r="T17" s="16">
        <f t="shared" si="2"/>
        <v>490000</v>
      </c>
      <c r="U17" s="19" t="s">
        <v>140</v>
      </c>
      <c r="V17" s="12"/>
    </row>
    <row r="18" spans="1:23" ht="30" customHeight="1" x14ac:dyDescent="0.25">
      <c r="A18" s="33"/>
      <c r="B18" s="12"/>
      <c r="C18" s="12"/>
      <c r="D18" s="12"/>
      <c r="E18" s="12"/>
      <c r="F18" s="12"/>
      <c r="G18" s="12"/>
      <c r="H18" s="16"/>
      <c r="I18" s="16"/>
      <c r="J18" s="12"/>
      <c r="K18" s="12"/>
      <c r="L18" s="12"/>
      <c r="M18" s="12"/>
      <c r="N18" s="12"/>
      <c r="O18" s="12"/>
      <c r="P18" s="17"/>
      <c r="Q18" s="16"/>
      <c r="R18" s="16"/>
      <c r="S18" s="16"/>
      <c r="T18" s="16"/>
      <c r="U18" s="19"/>
      <c r="V18" s="12"/>
    </row>
    <row r="19" spans="1:23" ht="30" customHeight="1" x14ac:dyDescent="0.25">
      <c r="A19" s="33"/>
      <c r="B19" s="12"/>
      <c r="C19" s="12"/>
      <c r="D19" s="12"/>
      <c r="E19" s="12"/>
      <c r="F19" s="12"/>
      <c r="G19" s="12"/>
      <c r="H19" s="16"/>
      <c r="I19" s="16"/>
      <c r="J19" s="12"/>
      <c r="K19" s="12"/>
      <c r="L19" s="12"/>
      <c r="M19" s="12"/>
      <c r="N19" s="12"/>
      <c r="O19" s="12"/>
      <c r="P19" s="17"/>
      <c r="Q19" s="16"/>
      <c r="R19" s="16"/>
      <c r="S19" s="16"/>
      <c r="T19" s="16"/>
      <c r="U19" s="19"/>
      <c r="V19" s="12"/>
    </row>
    <row r="20" spans="1:23" ht="30" customHeight="1" x14ac:dyDescent="0.25">
      <c r="A20" s="73">
        <v>59314</v>
      </c>
      <c r="B20" s="74"/>
      <c r="C20" s="74"/>
      <c r="D20" s="74"/>
      <c r="E20" s="74"/>
      <c r="F20" s="74"/>
      <c r="G20" s="74"/>
      <c r="H20" s="75"/>
      <c r="I20" s="74"/>
      <c r="J20" s="75"/>
      <c r="K20" s="75"/>
      <c r="L20" s="75"/>
      <c r="M20" s="75"/>
      <c r="N20" s="75"/>
      <c r="O20" s="74"/>
      <c r="P20" s="76">
        <f>A20</f>
        <v>59314</v>
      </c>
      <c r="Q20" s="74"/>
      <c r="R20" s="74"/>
      <c r="S20" s="75"/>
      <c r="T20" s="74"/>
      <c r="U20" s="74"/>
      <c r="V20" s="89">
        <f>SUM(O7:O19)-SUM(T7:T19)</f>
        <v>-553193</v>
      </c>
      <c r="W20" s="1">
        <v>-335827</v>
      </c>
    </row>
    <row r="21" spans="1:23" ht="30" customHeight="1" x14ac:dyDescent="0.25">
      <c r="A21" s="32">
        <v>2850000</v>
      </c>
      <c r="B21" s="13" t="s">
        <v>150</v>
      </c>
      <c r="C21" s="14">
        <v>45210</v>
      </c>
      <c r="D21" s="20">
        <v>13</v>
      </c>
      <c r="E21" s="16">
        <v>142500</v>
      </c>
      <c r="F21" s="16">
        <v>0</v>
      </c>
      <c r="G21" s="16">
        <f>E21-F21</f>
        <v>142500</v>
      </c>
      <c r="H21" s="16">
        <f>ROUND(G21*18%,)</f>
        <v>25650</v>
      </c>
      <c r="I21" s="16">
        <f>ROUND(G21+H21,)</f>
        <v>168150</v>
      </c>
      <c r="J21" s="16">
        <f t="shared" ref="J21:J24" si="16">G21*2%</f>
        <v>2850</v>
      </c>
      <c r="K21" s="16">
        <f>ROUND(G21*5%,)</f>
        <v>7125</v>
      </c>
      <c r="L21" s="16">
        <v>0</v>
      </c>
      <c r="M21" s="16">
        <v>0</v>
      </c>
      <c r="N21" s="16">
        <f>H21</f>
        <v>25650</v>
      </c>
      <c r="O21" s="61">
        <f>ROUND(I21-SUM(J21:N21),)</f>
        <v>132525</v>
      </c>
      <c r="P21" s="17"/>
      <c r="Q21" s="16" t="s">
        <v>28</v>
      </c>
      <c r="R21" s="16">
        <v>300000</v>
      </c>
      <c r="S21" s="16">
        <f t="shared" ref="S21:S24" si="17">R21*$S$5</f>
        <v>6000</v>
      </c>
      <c r="T21" s="16">
        <f t="shared" ref="T21:T24" si="18">R21-S21</f>
        <v>294000</v>
      </c>
      <c r="U21" s="12" t="s">
        <v>27</v>
      </c>
      <c r="V21" s="12"/>
    </row>
    <row r="22" spans="1:23" ht="30" customHeight="1" x14ac:dyDescent="0.25">
      <c r="A22" s="32"/>
      <c r="B22" s="13"/>
      <c r="C22" s="14">
        <v>45227</v>
      </c>
      <c r="D22" s="20">
        <v>20</v>
      </c>
      <c r="E22" s="16">
        <v>285000</v>
      </c>
      <c r="F22" s="16">
        <v>57225</v>
      </c>
      <c r="G22" s="16">
        <f>E22-F22</f>
        <v>227775</v>
      </c>
      <c r="H22" s="16">
        <f>G22*18%</f>
        <v>40999.5</v>
      </c>
      <c r="I22" s="16">
        <f>ROUND(G22+H22,)</f>
        <v>268775</v>
      </c>
      <c r="J22" s="16">
        <f t="shared" si="16"/>
        <v>4555.5</v>
      </c>
      <c r="K22" s="16">
        <f>ROUND(G22*5%,)</f>
        <v>11389</v>
      </c>
      <c r="L22" s="12"/>
      <c r="M22" s="16">
        <f>G22*10%</f>
        <v>22777.5</v>
      </c>
      <c r="N22" s="36">
        <v>40999</v>
      </c>
      <c r="O22" s="61">
        <f>ROUND(I22-SUM(J22:N22),)</f>
        <v>189054</v>
      </c>
      <c r="P22" s="17"/>
      <c r="Q22" s="16" t="s">
        <v>52</v>
      </c>
      <c r="R22" s="16">
        <v>250000</v>
      </c>
      <c r="S22" s="16">
        <f t="shared" si="17"/>
        <v>5000</v>
      </c>
      <c r="T22" s="16">
        <f t="shared" si="18"/>
        <v>245000</v>
      </c>
      <c r="U22" s="12" t="s">
        <v>36</v>
      </c>
      <c r="V22" s="12"/>
    </row>
    <row r="23" spans="1:23" ht="30" customHeight="1" x14ac:dyDescent="0.25">
      <c r="A23" s="32"/>
      <c r="B23" s="13"/>
      <c r="C23" s="14">
        <v>45238</v>
      </c>
      <c r="D23" s="20">
        <v>27</v>
      </c>
      <c r="E23" s="16">
        <v>285000</v>
      </c>
      <c r="F23" s="16">
        <v>0</v>
      </c>
      <c r="G23" s="16">
        <f>E23-F23</f>
        <v>285000</v>
      </c>
      <c r="H23" s="16">
        <f>ROUND(G23*18%,)</f>
        <v>51300</v>
      </c>
      <c r="I23" s="16">
        <f>ROUND(G23+H23,)</f>
        <v>336300</v>
      </c>
      <c r="J23" s="16">
        <f t="shared" si="16"/>
        <v>5700</v>
      </c>
      <c r="K23" s="16">
        <f>ROUND(G23*5%,)</f>
        <v>14250</v>
      </c>
      <c r="L23" s="12"/>
      <c r="M23" s="16">
        <f>G23*10%</f>
        <v>28500</v>
      </c>
      <c r="N23" s="16">
        <f>H23</f>
        <v>51300</v>
      </c>
      <c r="O23" s="61">
        <f>ROUND(I23-SUM(J23:N23),)</f>
        <v>236550</v>
      </c>
      <c r="P23" s="17"/>
      <c r="Q23" s="16" t="s">
        <v>53</v>
      </c>
      <c r="R23" s="16">
        <v>100000</v>
      </c>
      <c r="S23" s="16">
        <f t="shared" si="17"/>
        <v>2000</v>
      </c>
      <c r="T23" s="16">
        <f t="shared" si="18"/>
        <v>98000</v>
      </c>
      <c r="U23" s="12" t="s">
        <v>43</v>
      </c>
      <c r="V23" s="12"/>
    </row>
    <row r="24" spans="1:23" ht="30" customHeight="1" x14ac:dyDescent="0.25">
      <c r="A24" s="32"/>
      <c r="B24" s="13"/>
      <c r="C24" s="14">
        <v>45293</v>
      </c>
      <c r="D24" s="20">
        <v>29</v>
      </c>
      <c r="E24" s="16">
        <v>427500</v>
      </c>
      <c r="F24" s="16">
        <v>0</v>
      </c>
      <c r="G24" s="16">
        <f>E24-F24</f>
        <v>427500</v>
      </c>
      <c r="H24" s="16">
        <f>ROUND(G24*18%,)</f>
        <v>76950</v>
      </c>
      <c r="I24" s="16">
        <f>ROUND(G24+H24,)</f>
        <v>504450</v>
      </c>
      <c r="J24" s="16">
        <f t="shared" si="16"/>
        <v>8550</v>
      </c>
      <c r="K24" s="16">
        <f>ROUND(G24*5%,)</f>
        <v>21375</v>
      </c>
      <c r="L24" s="77"/>
      <c r="M24" s="16">
        <f>G24*10%</f>
        <v>42750</v>
      </c>
      <c r="N24" s="16">
        <f>H24</f>
        <v>76950</v>
      </c>
      <c r="O24" s="61">
        <f>ROUND(I24-SUM(J24:N24),)</f>
        <v>354825</v>
      </c>
      <c r="P24" s="17"/>
      <c r="Q24" s="16" t="s">
        <v>54</v>
      </c>
      <c r="R24" s="16">
        <v>400000</v>
      </c>
      <c r="S24" s="16">
        <f t="shared" si="17"/>
        <v>8000</v>
      </c>
      <c r="T24" s="16">
        <f t="shared" si="18"/>
        <v>392000</v>
      </c>
      <c r="U24" s="12" t="s">
        <v>44</v>
      </c>
      <c r="V24" s="12"/>
    </row>
    <row r="25" spans="1:23" ht="30" customHeight="1" x14ac:dyDescent="0.25">
      <c r="A25" s="32"/>
      <c r="B25" s="13" t="s">
        <v>42</v>
      </c>
      <c r="C25" s="14"/>
      <c r="D25" s="20">
        <v>13</v>
      </c>
      <c r="E25" s="16">
        <f>N21</f>
        <v>25650</v>
      </c>
      <c r="F25" s="12"/>
      <c r="G25" s="16"/>
      <c r="H25" s="16"/>
      <c r="I25" s="16"/>
      <c r="J25" s="16"/>
      <c r="K25" s="16"/>
      <c r="L25" s="16"/>
      <c r="M25" s="16"/>
      <c r="N25" s="16"/>
      <c r="O25" s="16"/>
      <c r="P25" s="17" t="s">
        <v>151</v>
      </c>
      <c r="Q25" s="16"/>
      <c r="R25" s="16"/>
      <c r="S25" s="16"/>
      <c r="T25" s="16"/>
      <c r="U25" s="12"/>
      <c r="V25" s="12"/>
    </row>
    <row r="26" spans="1:23" ht="30" customHeight="1" x14ac:dyDescent="0.25">
      <c r="A26" s="32"/>
      <c r="B26" s="13" t="s">
        <v>42</v>
      </c>
      <c r="C26" s="14"/>
      <c r="D26" s="20">
        <v>20</v>
      </c>
      <c r="E26" s="16">
        <f>N22</f>
        <v>40999</v>
      </c>
      <c r="F26" s="12"/>
      <c r="G26" s="16"/>
      <c r="H26" s="16"/>
      <c r="I26" s="16"/>
      <c r="J26" s="16"/>
      <c r="K26" s="16"/>
      <c r="L26" s="16"/>
      <c r="M26" s="16"/>
      <c r="N26" s="16"/>
      <c r="O26" s="16"/>
      <c r="P26" s="17" t="s">
        <v>149</v>
      </c>
      <c r="Q26" s="16"/>
      <c r="R26" s="16"/>
      <c r="S26" s="16"/>
      <c r="T26" s="16"/>
      <c r="U26" s="12"/>
      <c r="V26" s="12"/>
    </row>
    <row r="27" spans="1:23" ht="30" customHeight="1" x14ac:dyDescent="0.25">
      <c r="A27" s="34"/>
      <c r="B27" s="13" t="s">
        <v>42</v>
      </c>
      <c r="C27" s="19" t="s">
        <v>141</v>
      </c>
      <c r="D27" s="20">
        <v>29</v>
      </c>
      <c r="E27" s="16">
        <f>N24</f>
        <v>76950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 t="s">
        <v>149</v>
      </c>
      <c r="Q27" s="16"/>
      <c r="R27" s="16"/>
      <c r="S27" s="16"/>
      <c r="T27" s="16"/>
      <c r="U27" s="12"/>
      <c r="V27" s="12"/>
    </row>
    <row r="28" spans="1:23" ht="30" customHeight="1" x14ac:dyDescent="0.25">
      <c r="A28" s="34"/>
      <c r="B28" s="13"/>
      <c r="C28" s="14">
        <v>45348</v>
      </c>
      <c r="D28" s="20">
        <v>27</v>
      </c>
      <c r="E28" s="16">
        <f>N23</f>
        <v>51300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 t="s">
        <v>149</v>
      </c>
      <c r="Q28" s="16"/>
      <c r="R28" s="16"/>
      <c r="S28" s="16"/>
      <c r="T28" s="16"/>
      <c r="U28" s="12"/>
      <c r="V28" s="12"/>
    </row>
    <row r="29" spans="1:23" ht="30" customHeight="1" x14ac:dyDescent="0.25">
      <c r="A29" s="73">
        <v>59315</v>
      </c>
      <c r="B29" s="74"/>
      <c r="C29" s="74"/>
      <c r="D29" s="74"/>
      <c r="E29" s="74"/>
      <c r="F29" s="74"/>
      <c r="G29" s="74"/>
      <c r="H29" s="75"/>
      <c r="I29" s="74"/>
      <c r="J29" s="75"/>
      <c r="K29" s="75"/>
      <c r="L29" s="75"/>
      <c r="M29" s="75"/>
      <c r="N29" s="75"/>
      <c r="O29" s="74"/>
      <c r="P29" s="76">
        <f>A29</f>
        <v>59315</v>
      </c>
      <c r="Q29" s="74"/>
      <c r="R29" s="74"/>
      <c r="S29" s="75"/>
      <c r="T29" s="74"/>
      <c r="U29" s="74"/>
      <c r="V29" s="88">
        <f>SUM(O21:O28)-SUM(T21:T28)</f>
        <v>-116046</v>
      </c>
      <c r="W29" s="1">
        <v>78853.25</v>
      </c>
    </row>
    <row r="30" spans="1:23" ht="30" customHeight="1" x14ac:dyDescent="0.25">
      <c r="A30" s="32">
        <v>3412500</v>
      </c>
      <c r="B30" s="13" t="s">
        <v>154</v>
      </c>
      <c r="C30" s="14">
        <v>45293</v>
      </c>
      <c r="D30" s="20">
        <v>31</v>
      </c>
      <c r="E30" s="16">
        <v>511875</v>
      </c>
      <c r="F30" s="16">
        <v>0</v>
      </c>
      <c r="G30" s="16">
        <f t="shared" ref="G30:G31" si="19">E30-F30</f>
        <v>511875</v>
      </c>
      <c r="H30" s="16">
        <f>ROUND(G30*18%,)</f>
        <v>92138</v>
      </c>
      <c r="I30" s="16">
        <f>ROUND(G30+H30,)</f>
        <v>604013</v>
      </c>
      <c r="J30" s="16">
        <f t="shared" ref="J30:J31" si="20">G30*2%</f>
        <v>10237.5</v>
      </c>
      <c r="K30" s="16">
        <f>ROUND(G30*5%,)</f>
        <v>25594</v>
      </c>
      <c r="L30" s="12"/>
      <c r="M30" s="16">
        <f>G30*10%</f>
        <v>51187.5</v>
      </c>
      <c r="N30" s="16">
        <f>H30</f>
        <v>92138</v>
      </c>
      <c r="O30" s="61">
        <f>I30-SUM(J30:N30)</f>
        <v>424856</v>
      </c>
      <c r="P30" s="17"/>
      <c r="Q30" s="16" t="s">
        <v>62</v>
      </c>
      <c r="R30" s="16">
        <v>200000</v>
      </c>
      <c r="S30" s="16">
        <f t="shared" ref="S30:S31" si="21">R30*$S$5</f>
        <v>4000</v>
      </c>
      <c r="T30" s="16">
        <f t="shared" ref="T30:T31" si="22">R30-S30</f>
        <v>196000</v>
      </c>
      <c r="U30" s="12" t="s">
        <v>61</v>
      </c>
      <c r="V30" s="12"/>
    </row>
    <row r="31" spans="1:23" ht="30" customHeight="1" x14ac:dyDescent="0.25">
      <c r="A31" s="32"/>
      <c r="B31" s="13"/>
      <c r="C31" s="14">
        <v>45312</v>
      </c>
      <c r="D31" s="20">
        <v>40</v>
      </c>
      <c r="E31" s="16">
        <v>853125</v>
      </c>
      <c r="F31" s="16">
        <v>0</v>
      </c>
      <c r="G31" s="16">
        <f t="shared" si="19"/>
        <v>853125</v>
      </c>
      <c r="H31" s="16">
        <f>ROUND(G31*18%,)</f>
        <v>153563</v>
      </c>
      <c r="I31" s="16">
        <f>ROUND(G31+H31,)</f>
        <v>1006688</v>
      </c>
      <c r="J31" s="16">
        <f t="shared" si="20"/>
        <v>17062.5</v>
      </c>
      <c r="K31" s="16">
        <f>ROUND(G31*5%,)</f>
        <v>42656</v>
      </c>
      <c r="L31" s="77"/>
      <c r="M31" s="16">
        <f>G31*10%</f>
        <v>85312.5</v>
      </c>
      <c r="N31" s="87">
        <f>H31</f>
        <v>153563</v>
      </c>
      <c r="O31" s="61">
        <f>I31-SUM(J31:N31)</f>
        <v>708094</v>
      </c>
      <c r="P31" s="17"/>
      <c r="Q31" s="16" t="s">
        <v>83</v>
      </c>
      <c r="R31" s="16">
        <v>400000</v>
      </c>
      <c r="S31" s="16">
        <f t="shared" si="21"/>
        <v>8000</v>
      </c>
      <c r="T31" s="16">
        <f t="shared" si="22"/>
        <v>392000</v>
      </c>
      <c r="U31" s="12" t="s">
        <v>82</v>
      </c>
      <c r="V31" s="12"/>
    </row>
    <row r="32" spans="1:23" ht="30" customHeight="1" x14ac:dyDescent="0.25">
      <c r="A32" s="32"/>
      <c r="B32" s="13" t="s">
        <v>42</v>
      </c>
      <c r="C32" s="12" t="s">
        <v>143</v>
      </c>
      <c r="D32" s="20" t="s">
        <v>144</v>
      </c>
      <c r="E32" s="16">
        <f>H30+H31</f>
        <v>245701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  <c r="Q32" s="16" t="s">
        <v>120</v>
      </c>
      <c r="R32" s="16">
        <v>544948</v>
      </c>
      <c r="S32" s="12"/>
      <c r="T32" s="16">
        <v>544948</v>
      </c>
      <c r="U32" s="12" t="s">
        <v>119</v>
      </c>
      <c r="V32" s="12"/>
    </row>
    <row r="33" spans="1:23" ht="30" customHeight="1" x14ac:dyDescent="0.25">
      <c r="A33" s="32"/>
      <c r="B33" s="13"/>
      <c r="C33" s="12"/>
      <c r="D33" s="2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Q33" s="16"/>
      <c r="R33" s="16">
        <v>150000</v>
      </c>
      <c r="S33" s="16">
        <v>3000</v>
      </c>
      <c r="T33" s="16">
        <v>147000</v>
      </c>
      <c r="U33" s="12" t="s">
        <v>142</v>
      </c>
      <c r="V33" s="12"/>
    </row>
    <row r="34" spans="1:23" ht="30" customHeight="1" x14ac:dyDescent="0.25">
      <c r="A34" s="32"/>
      <c r="B34" s="13"/>
      <c r="C34" s="12"/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Q34" s="16"/>
      <c r="R34" s="16">
        <v>200000</v>
      </c>
      <c r="S34" s="16">
        <v>3000</v>
      </c>
      <c r="T34" s="87"/>
      <c r="U34" s="12" t="s">
        <v>152</v>
      </c>
      <c r="V34" s="12"/>
    </row>
    <row r="35" spans="1:23" ht="30" customHeight="1" x14ac:dyDescent="0.25">
      <c r="A35" s="73">
        <v>59513</v>
      </c>
      <c r="B35" s="74"/>
      <c r="C35" s="74"/>
      <c r="D35" s="74"/>
      <c r="E35" s="74"/>
      <c r="F35" s="74"/>
      <c r="G35" s="74"/>
      <c r="H35" s="75"/>
      <c r="I35" s="74"/>
      <c r="J35" s="75"/>
      <c r="K35" s="75"/>
      <c r="L35" s="75"/>
      <c r="M35" s="75"/>
      <c r="N35" s="75"/>
      <c r="O35" s="74"/>
      <c r="P35" s="76">
        <v>59513</v>
      </c>
      <c r="Q35" s="74"/>
      <c r="R35" s="74"/>
      <c r="S35" s="75"/>
      <c r="T35" s="74"/>
      <c r="U35" s="74"/>
      <c r="V35" s="88">
        <f>SUM(O30:O34)-SUM(T30:T34)</f>
        <v>-146998</v>
      </c>
      <c r="W35" s="1">
        <v>-54860</v>
      </c>
    </row>
    <row r="36" spans="1:23" ht="30" customHeight="1" x14ac:dyDescent="0.25">
      <c r="A36" s="32">
        <v>3330000</v>
      </c>
      <c r="B36" s="13" t="s">
        <v>157</v>
      </c>
      <c r="C36" s="14">
        <v>45210</v>
      </c>
      <c r="D36" s="20">
        <v>12</v>
      </c>
      <c r="E36" s="16">
        <v>166500</v>
      </c>
      <c r="F36" s="16">
        <v>0</v>
      </c>
      <c r="G36" s="16">
        <f t="shared" ref="G36:G38" si="23">E36-F36</f>
        <v>166500</v>
      </c>
      <c r="H36" s="16">
        <f>ROUND(G36*18%,)</f>
        <v>29970</v>
      </c>
      <c r="I36" s="16">
        <f>ROUND(G36+H36,)</f>
        <v>196470</v>
      </c>
      <c r="J36" s="16">
        <f t="shared" ref="J36:J38" si="24">G36*2%</f>
        <v>3330</v>
      </c>
      <c r="K36" s="16">
        <f>ROUND(G36*5%,)</f>
        <v>8325</v>
      </c>
      <c r="L36" s="16"/>
      <c r="M36" s="16"/>
      <c r="N36" s="16">
        <f>H36</f>
        <v>29970</v>
      </c>
      <c r="O36" s="61">
        <f>I36-SUM(J36:N36)</f>
        <v>154845</v>
      </c>
      <c r="P36" s="17"/>
      <c r="Q36" s="16" t="s">
        <v>30</v>
      </c>
      <c r="R36" s="16">
        <v>200000</v>
      </c>
      <c r="S36" s="16">
        <f t="shared" ref="S36:S40" si="25">R36*$S$5</f>
        <v>4000</v>
      </c>
      <c r="T36" s="16">
        <f>R36-S36</f>
        <v>196000</v>
      </c>
      <c r="U36" s="12" t="s">
        <v>29</v>
      </c>
      <c r="V36" s="12"/>
    </row>
    <row r="37" spans="1:23" ht="30" customHeight="1" x14ac:dyDescent="0.25">
      <c r="A37" s="32"/>
      <c r="B37" s="13"/>
      <c r="C37" s="14">
        <v>45227</v>
      </c>
      <c r="D37" s="20">
        <v>21</v>
      </c>
      <c r="E37" s="16">
        <v>333000</v>
      </c>
      <c r="F37" s="16">
        <v>57225</v>
      </c>
      <c r="G37" s="16">
        <f t="shared" si="23"/>
        <v>275775</v>
      </c>
      <c r="H37" s="16">
        <f>ROUND(G37*18%,)</f>
        <v>49640</v>
      </c>
      <c r="I37" s="16">
        <f>ROUND(G37+H37,)</f>
        <v>325415</v>
      </c>
      <c r="J37" s="16">
        <f t="shared" si="24"/>
        <v>5515.5</v>
      </c>
      <c r="K37" s="16">
        <f>ROUND(G37*5%,)</f>
        <v>13789</v>
      </c>
      <c r="L37" s="12"/>
      <c r="M37" s="16">
        <f>G37*10%</f>
        <v>27577.5</v>
      </c>
      <c r="N37" s="36">
        <v>49640</v>
      </c>
      <c r="O37" s="61">
        <f>I37-SUM(J37:N37)</f>
        <v>228893</v>
      </c>
      <c r="P37" s="17"/>
      <c r="Q37" s="16" t="s">
        <v>38</v>
      </c>
      <c r="R37" s="16">
        <v>250000</v>
      </c>
      <c r="S37" s="16">
        <f t="shared" si="25"/>
        <v>5000</v>
      </c>
      <c r="T37" s="16">
        <f t="shared" ref="T37:T38" si="26">R37-S37</f>
        <v>245000</v>
      </c>
      <c r="U37" s="12" t="s">
        <v>37</v>
      </c>
      <c r="V37" s="12"/>
    </row>
    <row r="38" spans="1:23" ht="30" customHeight="1" x14ac:dyDescent="0.25">
      <c r="A38" s="32"/>
      <c r="B38" s="13"/>
      <c r="C38" s="14">
        <v>45293</v>
      </c>
      <c r="D38" s="20">
        <v>30</v>
      </c>
      <c r="E38" s="16">
        <v>832500</v>
      </c>
      <c r="F38" s="16">
        <v>0</v>
      </c>
      <c r="G38" s="16">
        <f t="shared" si="23"/>
        <v>832500</v>
      </c>
      <c r="H38" s="16">
        <f>ROUND(G38*18%,)</f>
        <v>149850</v>
      </c>
      <c r="I38" s="16">
        <f>ROUND(G38+H38,)</f>
        <v>982350</v>
      </c>
      <c r="J38" s="16">
        <f t="shared" si="24"/>
        <v>16650</v>
      </c>
      <c r="K38" s="16">
        <f>ROUND(G38*5%,)</f>
        <v>41625</v>
      </c>
      <c r="M38" s="16">
        <f>G38*10%</f>
        <v>83250</v>
      </c>
      <c r="N38" s="16">
        <f>H38</f>
        <v>149850</v>
      </c>
      <c r="O38" s="61">
        <f>I38-SUM(J38:N38)</f>
        <v>690975</v>
      </c>
      <c r="P38" s="23"/>
      <c r="Q38" s="16" t="s">
        <v>60</v>
      </c>
      <c r="R38" s="16">
        <v>100000</v>
      </c>
      <c r="S38" s="16">
        <f t="shared" si="25"/>
        <v>2000</v>
      </c>
      <c r="T38" s="16">
        <f t="shared" si="26"/>
        <v>98000</v>
      </c>
      <c r="U38" s="16" t="s">
        <v>59</v>
      </c>
      <c r="V38" s="12"/>
    </row>
    <row r="39" spans="1:23" ht="30" customHeight="1" x14ac:dyDescent="0.25">
      <c r="A39" s="34"/>
      <c r="B39" s="16" t="s">
        <v>118</v>
      </c>
      <c r="C39" s="21">
        <v>45276</v>
      </c>
      <c r="D39" s="16">
        <v>21</v>
      </c>
      <c r="E39" s="16">
        <v>49640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 t="s">
        <v>149</v>
      </c>
      <c r="Q39" s="16" t="s">
        <v>77</v>
      </c>
      <c r="R39" s="16">
        <v>400000</v>
      </c>
      <c r="S39" s="16">
        <f t="shared" si="25"/>
        <v>8000</v>
      </c>
      <c r="T39" s="16">
        <f>R39-S39</f>
        <v>392000</v>
      </c>
      <c r="U39" s="16" t="s">
        <v>76</v>
      </c>
      <c r="V39" s="12"/>
    </row>
    <row r="40" spans="1:23" ht="30" customHeight="1" x14ac:dyDescent="0.25">
      <c r="A40" s="34"/>
      <c r="B40" s="16" t="s">
        <v>118</v>
      </c>
      <c r="C40" s="21">
        <v>45276</v>
      </c>
      <c r="D40" s="16">
        <v>12</v>
      </c>
      <c r="E40" s="16">
        <v>29970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 t="s">
        <v>149</v>
      </c>
      <c r="Q40" s="16" t="s">
        <v>85</v>
      </c>
      <c r="R40" s="16">
        <v>500000</v>
      </c>
      <c r="S40" s="16">
        <f t="shared" si="25"/>
        <v>10000</v>
      </c>
      <c r="T40" s="16">
        <f t="shared" ref="T40" si="27">R40-S40</f>
        <v>490000</v>
      </c>
      <c r="U40" s="16" t="s">
        <v>84</v>
      </c>
      <c r="V40" s="12"/>
    </row>
    <row r="41" spans="1:23" ht="30" customHeight="1" x14ac:dyDescent="0.25">
      <c r="A41" s="34"/>
      <c r="B41" s="16" t="s">
        <v>118</v>
      </c>
      <c r="C41" s="21">
        <v>45335</v>
      </c>
      <c r="D41" s="16">
        <v>30</v>
      </c>
      <c r="E41" s="16">
        <v>149850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 t="s">
        <v>149</v>
      </c>
      <c r="Q41" s="16"/>
      <c r="R41" s="16"/>
      <c r="S41" s="16"/>
      <c r="T41" s="16"/>
      <c r="U41" s="16"/>
      <c r="V41" s="12"/>
    </row>
    <row r="42" spans="1:23" ht="30" customHeight="1" x14ac:dyDescent="0.25">
      <c r="A42" s="34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23"/>
      <c r="Q42" s="16"/>
      <c r="R42" s="16"/>
      <c r="S42" s="16"/>
      <c r="T42" s="16"/>
      <c r="U42" s="16"/>
      <c r="V42" s="12"/>
    </row>
    <row r="43" spans="1:23" ht="30" customHeight="1" x14ac:dyDescent="0.25">
      <c r="A43" s="73">
        <v>59514</v>
      </c>
      <c r="B43" s="74"/>
      <c r="C43" s="74"/>
      <c r="D43" s="74"/>
      <c r="E43" s="74"/>
      <c r="F43" s="74"/>
      <c r="G43" s="74"/>
      <c r="H43" s="75"/>
      <c r="I43" s="74"/>
      <c r="J43" s="75"/>
      <c r="K43" s="75"/>
      <c r="L43" s="75"/>
      <c r="M43" s="75"/>
      <c r="N43" s="75"/>
      <c r="O43" s="74"/>
      <c r="P43" s="76">
        <f>A43</f>
        <v>59514</v>
      </c>
      <c r="Q43" s="74"/>
      <c r="R43" s="74"/>
      <c r="S43" s="75"/>
      <c r="T43" s="74"/>
      <c r="U43" s="74"/>
      <c r="V43" s="88">
        <f>SUM(O36:O42)-SUM(T36:T42)</f>
        <v>-346287</v>
      </c>
      <c r="W43" s="1">
        <v>-116827.5</v>
      </c>
    </row>
    <row r="44" spans="1:23" ht="30" customHeight="1" x14ac:dyDescent="0.25">
      <c r="A44" s="32">
        <v>2756250</v>
      </c>
      <c r="B44" s="13" t="s">
        <v>153</v>
      </c>
      <c r="C44" s="14">
        <v>45210</v>
      </c>
      <c r="D44" s="20">
        <v>14</v>
      </c>
      <c r="E44" s="16">
        <v>137812</v>
      </c>
      <c r="F44" s="16">
        <v>0</v>
      </c>
      <c r="G44" s="16">
        <f t="shared" ref="G44:G46" si="28">E44-F44</f>
        <v>137812</v>
      </c>
      <c r="H44" s="16">
        <f>ROUND(G44*18%,)</f>
        <v>24806</v>
      </c>
      <c r="I44" s="16">
        <f>ROUND(G44+H44,)</f>
        <v>162618</v>
      </c>
      <c r="J44" s="16">
        <f t="shared" ref="J44:J46" si="29">G44*2%</f>
        <v>2756.2400000000002</v>
      </c>
      <c r="K44" s="16">
        <f>ROUND(G44*5%,)</f>
        <v>6891</v>
      </c>
      <c r="L44" s="16"/>
      <c r="M44" s="16"/>
      <c r="N44" s="16">
        <f>H44</f>
        <v>24806</v>
      </c>
      <c r="O44" s="61">
        <f>I44-SUM(J44:N44)</f>
        <v>128164.76000000001</v>
      </c>
      <c r="P44" s="17"/>
      <c r="Q44" s="16" t="s">
        <v>30</v>
      </c>
      <c r="R44" s="16">
        <v>200000</v>
      </c>
      <c r="S44" s="16">
        <f t="shared" ref="S44:S51" si="30">R44*$S$5</f>
        <v>4000</v>
      </c>
      <c r="T44" s="16">
        <f>R44-S44</f>
        <v>196000</v>
      </c>
      <c r="U44" s="12" t="s">
        <v>32</v>
      </c>
      <c r="V44" s="12"/>
    </row>
    <row r="45" spans="1:23" ht="30" customHeight="1" x14ac:dyDescent="0.25">
      <c r="A45" s="32"/>
      <c r="B45" s="13"/>
      <c r="C45" s="14">
        <v>45221</v>
      </c>
      <c r="D45" s="20">
        <v>22</v>
      </c>
      <c r="E45" s="16">
        <v>275626</v>
      </c>
      <c r="F45" s="16">
        <v>26705</v>
      </c>
      <c r="G45" s="16">
        <f t="shared" si="28"/>
        <v>248921</v>
      </c>
      <c r="H45" s="16">
        <f>ROUND(G45*18%,)</f>
        <v>44806</v>
      </c>
      <c r="I45" s="16">
        <f>ROUND(G45+H45,)</f>
        <v>293727</v>
      </c>
      <c r="J45" s="16">
        <f t="shared" si="29"/>
        <v>4978.42</v>
      </c>
      <c r="K45" s="16">
        <f>ROUND(G45*5%,)</f>
        <v>12446</v>
      </c>
      <c r="L45" s="16"/>
      <c r="M45" s="16"/>
      <c r="N45" s="16">
        <f>H45</f>
        <v>44806</v>
      </c>
      <c r="O45" s="61">
        <f>I45-SUM(J45:N45)</f>
        <v>231496.58000000002</v>
      </c>
      <c r="P45" s="17"/>
      <c r="Q45" s="16" t="s">
        <v>55</v>
      </c>
      <c r="R45" s="16">
        <v>200000</v>
      </c>
      <c r="S45" s="16">
        <f t="shared" si="30"/>
        <v>4000</v>
      </c>
      <c r="T45" s="16">
        <f t="shared" ref="T45:T51" si="31">R45-S45</f>
        <v>196000</v>
      </c>
      <c r="U45" s="12" t="s">
        <v>33</v>
      </c>
      <c r="V45" s="12"/>
    </row>
    <row r="46" spans="1:23" ht="30" customHeight="1" x14ac:dyDescent="0.25">
      <c r="A46" s="32"/>
      <c r="B46" s="13"/>
      <c r="C46" s="14">
        <v>45237</v>
      </c>
      <c r="D46" s="20">
        <v>25</v>
      </c>
      <c r="E46" s="16">
        <v>689062</v>
      </c>
      <c r="F46" s="16">
        <v>19075</v>
      </c>
      <c r="G46" s="16">
        <f t="shared" si="28"/>
        <v>669987</v>
      </c>
      <c r="H46" s="16">
        <f>ROUND(G46*18%,)</f>
        <v>120598</v>
      </c>
      <c r="I46" s="16">
        <f>ROUND(G46+H46,)</f>
        <v>790585</v>
      </c>
      <c r="J46" s="16">
        <f t="shared" si="29"/>
        <v>13399.74</v>
      </c>
      <c r="K46" s="16">
        <f>ROUND(G46*5%,)</f>
        <v>33499</v>
      </c>
      <c r="L46" s="77"/>
      <c r="M46" s="16">
        <f>G46*10%</f>
        <v>66998.7</v>
      </c>
      <c r="N46" s="16">
        <f>H46</f>
        <v>120598</v>
      </c>
      <c r="O46" s="61">
        <f>I46-SUM(J46:N46)</f>
        <v>556089.56000000006</v>
      </c>
      <c r="P46" s="17"/>
      <c r="Q46" s="16" t="s">
        <v>56</v>
      </c>
      <c r="R46" s="16">
        <v>200000</v>
      </c>
      <c r="S46" s="16">
        <f t="shared" si="30"/>
        <v>4000</v>
      </c>
      <c r="T46" s="16">
        <f t="shared" si="31"/>
        <v>196000</v>
      </c>
      <c r="U46" s="12" t="s">
        <v>45</v>
      </c>
      <c r="V46" s="12"/>
    </row>
    <row r="47" spans="1:23" ht="30" customHeight="1" x14ac:dyDescent="0.25">
      <c r="A47" s="32"/>
      <c r="B47" s="16" t="s">
        <v>117</v>
      </c>
      <c r="C47" s="21">
        <v>45276</v>
      </c>
      <c r="D47" s="20">
        <v>14</v>
      </c>
      <c r="E47" s="16">
        <v>24806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16" t="s">
        <v>57</v>
      </c>
      <c r="R47" s="16">
        <v>400000</v>
      </c>
      <c r="S47" s="16">
        <f t="shared" si="30"/>
        <v>8000</v>
      </c>
      <c r="T47" s="16">
        <f t="shared" si="31"/>
        <v>392000</v>
      </c>
      <c r="U47" s="12" t="s">
        <v>46</v>
      </c>
      <c r="V47" s="12"/>
    </row>
    <row r="48" spans="1:23" ht="30" customHeight="1" x14ac:dyDescent="0.25">
      <c r="A48" s="32"/>
      <c r="B48" s="16" t="s">
        <v>117</v>
      </c>
      <c r="C48" s="21">
        <v>45276</v>
      </c>
      <c r="D48" s="20">
        <v>22</v>
      </c>
      <c r="E48" s="16">
        <v>44806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16" t="s">
        <v>74</v>
      </c>
      <c r="R48" s="16">
        <v>300000</v>
      </c>
      <c r="S48" s="16">
        <f t="shared" si="30"/>
        <v>6000</v>
      </c>
      <c r="T48" s="16">
        <f t="shared" si="31"/>
        <v>294000</v>
      </c>
      <c r="U48" s="12" t="s">
        <v>73</v>
      </c>
      <c r="V48" s="12"/>
    </row>
    <row r="49" spans="1:23" ht="30" customHeight="1" x14ac:dyDescent="0.25">
      <c r="A49" s="32"/>
      <c r="B49" s="13"/>
      <c r="C49" s="21">
        <v>45324</v>
      </c>
      <c r="D49" s="20">
        <v>50</v>
      </c>
      <c r="E49" s="16">
        <v>689062</v>
      </c>
      <c r="F49" s="16">
        <v>0</v>
      </c>
      <c r="G49" s="16">
        <f t="shared" ref="G49:G50" si="32">E49-F49</f>
        <v>689062</v>
      </c>
      <c r="H49" s="16">
        <f>ROUND(G49*18%,)</f>
        <v>124031</v>
      </c>
      <c r="I49" s="16">
        <f>ROUND(G49+H49,)</f>
        <v>813093</v>
      </c>
      <c r="J49" s="16">
        <f t="shared" ref="J49:J50" si="33">G49*2%</f>
        <v>13781.24</v>
      </c>
      <c r="K49" s="16">
        <f>ROUND(G49*5%,)</f>
        <v>34453</v>
      </c>
      <c r="L49" s="16"/>
      <c r="M49" s="16"/>
      <c r="N49" s="86">
        <f>H49</f>
        <v>124031</v>
      </c>
      <c r="O49" s="61">
        <f>I49-SUM(J49:N49)</f>
        <v>640827.76</v>
      </c>
      <c r="P49" s="17"/>
      <c r="Q49" s="16" t="s">
        <v>126</v>
      </c>
      <c r="R49" s="16">
        <v>100000</v>
      </c>
      <c r="S49" s="16">
        <f t="shared" si="30"/>
        <v>2000</v>
      </c>
      <c r="T49" s="16">
        <f t="shared" si="31"/>
        <v>98000</v>
      </c>
      <c r="U49" s="12" t="s">
        <v>125</v>
      </c>
      <c r="V49" s="12"/>
    </row>
    <row r="50" spans="1:23" ht="30" customHeight="1" x14ac:dyDescent="0.25">
      <c r="A50" s="32"/>
      <c r="B50" s="16"/>
      <c r="C50" s="21">
        <v>45345</v>
      </c>
      <c r="D50" s="20">
        <v>61</v>
      </c>
      <c r="E50" s="16">
        <v>358312.5</v>
      </c>
      <c r="F50" s="16"/>
      <c r="G50" s="16">
        <f t="shared" si="32"/>
        <v>358312.5</v>
      </c>
      <c r="H50" s="16">
        <f>ROUND(G50*18%,)</f>
        <v>64496</v>
      </c>
      <c r="I50" s="16">
        <f>ROUND(G50+H50,)</f>
        <v>422809</v>
      </c>
      <c r="J50" s="16">
        <f t="shared" si="33"/>
        <v>7166.25</v>
      </c>
      <c r="K50" s="16">
        <f>ROUND(G50*5%,)</f>
        <v>17916</v>
      </c>
      <c r="L50" s="16"/>
      <c r="M50" s="16"/>
      <c r="N50" s="86">
        <f>H50</f>
        <v>64496</v>
      </c>
      <c r="O50" s="85">
        <f>I50-SUM(J50:N50)</f>
        <v>333230.75</v>
      </c>
      <c r="P50" s="17" t="s">
        <v>176</v>
      </c>
      <c r="Q50" s="16" t="s">
        <v>128</v>
      </c>
      <c r="R50" s="16">
        <v>400000</v>
      </c>
      <c r="S50" s="16">
        <f t="shared" si="30"/>
        <v>8000</v>
      </c>
      <c r="T50" s="16">
        <f t="shared" si="31"/>
        <v>392000</v>
      </c>
      <c r="U50" s="12" t="s">
        <v>127</v>
      </c>
      <c r="V50" s="12"/>
    </row>
    <row r="51" spans="1:23" ht="30" customHeight="1" x14ac:dyDescent="0.25">
      <c r="A51" s="32"/>
      <c r="B51" s="16"/>
      <c r="C51" s="16"/>
      <c r="D51" s="20"/>
      <c r="E51" s="16"/>
      <c r="F51" s="16"/>
      <c r="G51" s="16"/>
      <c r="H51" s="16"/>
      <c r="I51" s="16"/>
      <c r="J51" s="16"/>
      <c r="K51" s="16"/>
      <c r="L51" s="16"/>
      <c r="M51" s="16"/>
      <c r="N51" s="85"/>
      <c r="O51" s="16"/>
      <c r="P51" s="17"/>
      <c r="Q51" s="16"/>
      <c r="R51" s="16">
        <v>400000</v>
      </c>
      <c r="S51" s="16">
        <f t="shared" si="30"/>
        <v>8000</v>
      </c>
      <c r="T51" s="16">
        <f t="shared" si="31"/>
        <v>392000</v>
      </c>
      <c r="U51" s="12" t="s">
        <v>132</v>
      </c>
      <c r="V51" s="12"/>
    </row>
    <row r="52" spans="1:23" ht="30" customHeight="1" x14ac:dyDescent="0.25">
      <c r="A52" s="32"/>
      <c r="B52" s="16"/>
      <c r="C52" s="16"/>
      <c r="D52" s="20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  <c r="Q52" s="16"/>
      <c r="R52" s="16"/>
      <c r="S52" s="16"/>
      <c r="T52" s="16"/>
      <c r="U52" s="78"/>
      <c r="V52" s="12"/>
    </row>
    <row r="53" spans="1:23" ht="30" customHeight="1" x14ac:dyDescent="0.25">
      <c r="A53" s="73">
        <v>59515</v>
      </c>
      <c r="B53" s="74"/>
      <c r="C53" s="74"/>
      <c r="D53" s="74"/>
      <c r="E53" s="74"/>
      <c r="F53" s="74"/>
      <c r="G53" s="74"/>
      <c r="H53" s="75"/>
      <c r="I53" s="74"/>
      <c r="J53" s="75"/>
      <c r="K53" s="75"/>
      <c r="L53" s="75"/>
      <c r="M53" s="75"/>
      <c r="N53" s="75"/>
      <c r="O53" s="74"/>
      <c r="P53" s="76">
        <f>A53</f>
        <v>59515</v>
      </c>
      <c r="Q53" s="74"/>
      <c r="R53" s="74"/>
      <c r="S53" s="75"/>
      <c r="T53" s="74"/>
      <c r="U53" s="74"/>
      <c r="V53" s="88">
        <f>SUM(O44:O52)-SUM(T44:T52)</f>
        <v>-266190.58999999985</v>
      </c>
      <c r="W53" s="1">
        <v>-75981</v>
      </c>
    </row>
    <row r="54" spans="1:23" ht="30" customHeight="1" x14ac:dyDescent="0.25">
      <c r="A54" s="32">
        <v>2610000</v>
      </c>
      <c r="B54" s="13" t="s">
        <v>155</v>
      </c>
      <c r="C54" s="14">
        <v>45210</v>
      </c>
      <c r="D54" s="20">
        <v>15</v>
      </c>
      <c r="E54" s="16">
        <v>130500</v>
      </c>
      <c r="F54" s="16">
        <v>0</v>
      </c>
      <c r="G54" s="16">
        <f t="shared" ref="G54:G56" si="34">E54-F54</f>
        <v>130500</v>
      </c>
      <c r="H54" s="16">
        <f>ROUND(G54*18%,)</f>
        <v>23490</v>
      </c>
      <c r="I54" s="16">
        <f>ROUND(G54+H54,)</f>
        <v>153990</v>
      </c>
      <c r="J54" s="16">
        <f t="shared" ref="J54:J56" si="35">G54*2%</f>
        <v>2610</v>
      </c>
      <c r="K54" s="16">
        <f>ROUND(G54*5%,)</f>
        <v>6525</v>
      </c>
      <c r="L54" s="16"/>
      <c r="M54" s="16"/>
      <c r="N54" s="16">
        <f>H54</f>
        <v>23490</v>
      </c>
      <c r="O54" s="61">
        <f>I54-SUM(J54:N54)</f>
        <v>121365</v>
      </c>
      <c r="P54" s="17"/>
      <c r="Q54" s="16" t="s">
        <v>114</v>
      </c>
      <c r="R54" s="16">
        <v>200000</v>
      </c>
      <c r="S54" s="16">
        <f t="shared" ref="S54:S58" si="36">R54*$S$5</f>
        <v>4000</v>
      </c>
      <c r="T54" s="16">
        <f>R54-S54</f>
        <v>196000</v>
      </c>
      <c r="U54" s="78" t="s">
        <v>113</v>
      </c>
      <c r="V54" s="12"/>
    </row>
    <row r="55" spans="1:23" ht="30" customHeight="1" x14ac:dyDescent="0.25">
      <c r="A55" s="32"/>
      <c r="B55" s="13"/>
      <c r="C55" s="14">
        <v>45293</v>
      </c>
      <c r="D55" s="20">
        <v>35</v>
      </c>
      <c r="E55" s="16">
        <v>261000</v>
      </c>
      <c r="F55" s="16">
        <v>0</v>
      </c>
      <c r="G55" s="16">
        <f t="shared" si="34"/>
        <v>261000</v>
      </c>
      <c r="H55" s="16">
        <f>ROUND(G55*18%,)</f>
        <v>46980</v>
      </c>
      <c r="I55" s="16">
        <f>ROUND(G55+H55,)</f>
        <v>307980</v>
      </c>
      <c r="J55" s="16">
        <f t="shared" si="35"/>
        <v>5220</v>
      </c>
      <c r="K55" s="16">
        <f>ROUND(G55*5%,)</f>
        <v>13050</v>
      </c>
      <c r="L55" s="12"/>
      <c r="M55" s="16">
        <f>G55*10%</f>
        <v>26100</v>
      </c>
      <c r="N55" s="16">
        <f>H55</f>
        <v>46980</v>
      </c>
      <c r="O55" s="61">
        <f>I55-SUM(J55:N55)</f>
        <v>216630</v>
      </c>
      <c r="P55" s="17"/>
      <c r="Q55" s="16" t="s">
        <v>75</v>
      </c>
      <c r="R55" s="16">
        <v>100000</v>
      </c>
      <c r="S55" s="16">
        <f t="shared" si="36"/>
        <v>2000</v>
      </c>
      <c r="T55" s="16">
        <f t="shared" ref="T55:T58" si="37">R55-S55</f>
        <v>98000</v>
      </c>
      <c r="U55" s="12" t="s">
        <v>58</v>
      </c>
      <c r="V55" s="12"/>
    </row>
    <row r="56" spans="1:23" ht="30" customHeight="1" x14ac:dyDescent="0.25">
      <c r="A56" s="32"/>
      <c r="B56" s="13"/>
      <c r="C56" s="14">
        <v>45312</v>
      </c>
      <c r="D56" s="20">
        <v>37</v>
      </c>
      <c r="E56" s="16">
        <v>261000</v>
      </c>
      <c r="F56" s="16">
        <v>0</v>
      </c>
      <c r="G56" s="16">
        <f t="shared" si="34"/>
        <v>261000</v>
      </c>
      <c r="H56" s="16">
        <f>ROUND(G56*18%,)</f>
        <v>46980</v>
      </c>
      <c r="I56" s="16">
        <f>ROUND(G56+H56,)</f>
        <v>307980</v>
      </c>
      <c r="J56" s="16">
        <f t="shared" si="35"/>
        <v>5220</v>
      </c>
      <c r="K56" s="16">
        <f>ROUND(G56*5%,)</f>
        <v>13050</v>
      </c>
      <c r="L56" s="77"/>
      <c r="M56" s="16">
        <f>G56*10%</f>
        <v>26100</v>
      </c>
      <c r="N56" s="16">
        <f>H56</f>
        <v>46980</v>
      </c>
      <c r="O56" s="61">
        <f>I56-SUM(J56:N56)</f>
        <v>216630</v>
      </c>
      <c r="P56" s="17"/>
      <c r="Q56" s="16" t="s">
        <v>88</v>
      </c>
      <c r="R56" s="16">
        <v>100000</v>
      </c>
      <c r="S56" s="16">
        <f t="shared" si="36"/>
        <v>2000</v>
      </c>
      <c r="T56" s="16">
        <f t="shared" si="37"/>
        <v>98000</v>
      </c>
      <c r="U56" s="12" t="s">
        <v>86</v>
      </c>
      <c r="V56" s="12"/>
    </row>
    <row r="57" spans="1:23" ht="30" customHeight="1" x14ac:dyDescent="0.25">
      <c r="A57" s="32"/>
      <c r="B57" s="13" t="s">
        <v>156</v>
      </c>
      <c r="C57" s="14">
        <v>45335</v>
      </c>
      <c r="D57" s="20" t="s">
        <v>145</v>
      </c>
      <c r="E57" s="16">
        <f>H55+H56</f>
        <v>93960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  <c r="Q57" s="16" t="s">
        <v>89</v>
      </c>
      <c r="R57" s="16">
        <v>200000</v>
      </c>
      <c r="S57" s="16">
        <f t="shared" si="36"/>
        <v>4000</v>
      </c>
      <c r="T57" s="16">
        <f t="shared" si="37"/>
        <v>196000</v>
      </c>
      <c r="U57" s="12" t="s">
        <v>87</v>
      </c>
      <c r="V57" s="12"/>
    </row>
    <row r="58" spans="1:23" ht="30" customHeight="1" x14ac:dyDescent="0.25">
      <c r="A58" s="32"/>
      <c r="B58" s="13"/>
      <c r="C58" s="14"/>
      <c r="D58" s="20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7"/>
      <c r="Q58" s="16" t="s">
        <v>116</v>
      </c>
      <c r="R58" s="16">
        <v>100000</v>
      </c>
      <c r="S58" s="16">
        <f t="shared" si="36"/>
        <v>2000</v>
      </c>
      <c r="T58" s="16">
        <f t="shared" si="37"/>
        <v>98000</v>
      </c>
      <c r="U58" s="78" t="s">
        <v>115</v>
      </c>
      <c r="V58" s="12"/>
    </row>
    <row r="59" spans="1:23" ht="30" customHeight="1" x14ac:dyDescent="0.25">
      <c r="A59" s="73">
        <v>60549</v>
      </c>
      <c r="B59" s="74"/>
      <c r="C59" s="74"/>
      <c r="D59" s="74"/>
      <c r="E59" s="74"/>
      <c r="F59" s="74"/>
      <c r="G59" s="74"/>
      <c r="H59" s="75"/>
      <c r="I59" s="74"/>
      <c r="J59" s="75"/>
      <c r="K59" s="75"/>
      <c r="L59" s="75"/>
      <c r="M59" s="75"/>
      <c r="N59" s="75"/>
      <c r="O59" s="74"/>
      <c r="P59" s="76">
        <f>A59</f>
        <v>60549</v>
      </c>
      <c r="Q59" s="74"/>
      <c r="R59" s="74"/>
      <c r="S59" s="75"/>
      <c r="T59" s="74"/>
      <c r="U59" s="74"/>
      <c r="V59" s="88">
        <f>SUM(O54:O58)-SUM(T54:T58)</f>
        <v>-131375</v>
      </c>
      <c r="W59" s="1">
        <v>-13925</v>
      </c>
    </row>
    <row r="60" spans="1:23" ht="30" customHeight="1" x14ac:dyDescent="0.25">
      <c r="A60" s="32">
        <v>3150000</v>
      </c>
      <c r="B60" s="13" t="s">
        <v>158</v>
      </c>
      <c r="C60" s="14">
        <v>45293</v>
      </c>
      <c r="D60" s="20">
        <v>34</v>
      </c>
      <c r="E60" s="16">
        <v>315000</v>
      </c>
      <c r="F60" s="16">
        <v>0</v>
      </c>
      <c r="G60" s="16">
        <f t="shared" ref="G60:G62" si="38">E60-F60</f>
        <v>315000</v>
      </c>
      <c r="H60" s="16">
        <f>ROUND(G60*18%,)</f>
        <v>56700</v>
      </c>
      <c r="I60" s="16">
        <f>ROUND(G60+H60,)</f>
        <v>371700</v>
      </c>
      <c r="J60" s="16">
        <f t="shared" ref="J60:J62" si="39">G60*2%</f>
        <v>6300</v>
      </c>
      <c r="K60" s="16">
        <f>ROUND(G60*5%,)</f>
        <v>15750</v>
      </c>
      <c r="L60" s="16"/>
      <c r="M60" s="16">
        <f>G60*10%</f>
        <v>31500</v>
      </c>
      <c r="N60" s="16">
        <f>H60</f>
        <v>56700</v>
      </c>
      <c r="O60" s="61">
        <f>I60-SUM(J60:N60)</f>
        <v>261450</v>
      </c>
      <c r="P60" s="17"/>
      <c r="Q60" s="16" t="s">
        <v>68</v>
      </c>
      <c r="R60" s="16">
        <v>400000</v>
      </c>
      <c r="S60" s="16">
        <f t="shared" ref="S60:S62" si="40">R60*$S$5</f>
        <v>8000</v>
      </c>
      <c r="T60" s="16">
        <f>R60-S60</f>
        <v>392000</v>
      </c>
      <c r="U60" s="12" t="s">
        <v>67</v>
      </c>
      <c r="V60" s="12"/>
    </row>
    <row r="61" spans="1:23" ht="49.5" customHeight="1" x14ac:dyDescent="0.25">
      <c r="A61" s="32"/>
      <c r="B61" s="13"/>
      <c r="C61" s="14">
        <v>45293</v>
      </c>
      <c r="D61" s="20">
        <v>33</v>
      </c>
      <c r="E61" s="16">
        <v>472500</v>
      </c>
      <c r="F61" s="16">
        <v>0</v>
      </c>
      <c r="G61" s="16">
        <f t="shared" si="38"/>
        <v>472500</v>
      </c>
      <c r="H61" s="16">
        <f>ROUND(G61*18%,)</f>
        <v>85050</v>
      </c>
      <c r="I61" s="16">
        <f>ROUND(G61+H61,)</f>
        <v>557550</v>
      </c>
      <c r="J61" s="16">
        <f t="shared" si="39"/>
        <v>9450</v>
      </c>
      <c r="K61" s="16">
        <f>ROUND(G61*5%,)</f>
        <v>23625</v>
      </c>
      <c r="L61" s="16"/>
      <c r="M61" s="85"/>
      <c r="N61" s="16">
        <f>H61</f>
        <v>85050</v>
      </c>
      <c r="O61" s="16">
        <f>I61-SUM(J61:N61)</f>
        <v>439425</v>
      </c>
      <c r="P61" s="79" t="s">
        <v>159</v>
      </c>
      <c r="Q61" s="16" t="s">
        <v>93</v>
      </c>
      <c r="R61" s="16">
        <v>500000</v>
      </c>
      <c r="S61" s="16">
        <f t="shared" si="40"/>
        <v>10000</v>
      </c>
      <c r="T61" s="16">
        <f t="shared" ref="T61:T62" si="41">R61-S61</f>
        <v>490000</v>
      </c>
      <c r="U61" s="16" t="s">
        <v>92</v>
      </c>
      <c r="V61" s="12"/>
    </row>
    <row r="62" spans="1:23" ht="30" customHeight="1" x14ac:dyDescent="0.25">
      <c r="A62" s="32"/>
      <c r="B62" s="13"/>
      <c r="C62" s="14">
        <v>45312</v>
      </c>
      <c r="D62" s="20">
        <v>38</v>
      </c>
      <c r="E62" s="16">
        <v>472500</v>
      </c>
      <c r="F62" s="16">
        <v>0</v>
      </c>
      <c r="G62" s="16">
        <f t="shared" si="38"/>
        <v>472500</v>
      </c>
      <c r="H62" s="16">
        <f>ROUND(G62*18%,)</f>
        <v>85050</v>
      </c>
      <c r="I62" s="16">
        <f>ROUND(G62+H62,)</f>
        <v>557550</v>
      </c>
      <c r="J62" s="16">
        <f t="shared" si="39"/>
        <v>9450</v>
      </c>
      <c r="K62" s="16">
        <f>ROUND(G62*5%,)</f>
        <v>23625</v>
      </c>
      <c r="L62" s="16"/>
      <c r="M62" s="16">
        <f>G62*10%</f>
        <v>47250</v>
      </c>
      <c r="N62" s="87">
        <f>H62</f>
        <v>85050</v>
      </c>
      <c r="O62" s="61">
        <f>I62-SUM(J62:N62)</f>
        <v>392175</v>
      </c>
      <c r="P62" s="23"/>
      <c r="Q62" s="16" t="s">
        <v>91</v>
      </c>
      <c r="R62" s="16">
        <v>500000</v>
      </c>
      <c r="S62" s="16">
        <f t="shared" si="40"/>
        <v>10000</v>
      </c>
      <c r="T62" s="16">
        <f t="shared" si="41"/>
        <v>490000</v>
      </c>
      <c r="U62" s="16" t="s">
        <v>90</v>
      </c>
      <c r="V62" s="12"/>
    </row>
    <row r="63" spans="1:23" ht="30" customHeight="1" x14ac:dyDescent="0.25">
      <c r="A63" s="32"/>
      <c r="B63" s="13" t="s">
        <v>156</v>
      </c>
      <c r="C63" s="14" t="s">
        <v>143</v>
      </c>
      <c r="D63" s="20" t="s">
        <v>146</v>
      </c>
      <c r="E63" s="16">
        <f>H60+H61+H62</f>
        <v>226800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3"/>
      <c r="Q63" s="16"/>
      <c r="R63" s="16"/>
      <c r="S63" s="16"/>
      <c r="T63" s="16"/>
      <c r="U63" s="16"/>
      <c r="V63" s="12"/>
    </row>
    <row r="64" spans="1:23" ht="30" customHeight="1" x14ac:dyDescent="0.25">
      <c r="A64" s="32"/>
      <c r="B64" s="13"/>
      <c r="C64" s="14"/>
      <c r="D64" s="20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3"/>
      <c r="Q64" s="16"/>
      <c r="R64" s="16"/>
      <c r="S64" s="16"/>
      <c r="T64" s="16"/>
      <c r="U64" s="16"/>
      <c r="V64" s="12"/>
    </row>
    <row r="65" spans="1:23" ht="30" customHeight="1" x14ac:dyDescent="0.25">
      <c r="A65" s="73">
        <v>60550</v>
      </c>
      <c r="B65" s="74"/>
      <c r="C65" s="74"/>
      <c r="D65" s="74"/>
      <c r="E65" s="74"/>
      <c r="F65" s="74"/>
      <c r="G65" s="74"/>
      <c r="H65" s="75"/>
      <c r="I65" s="74"/>
      <c r="J65" s="75"/>
      <c r="K65" s="75"/>
      <c r="L65" s="75"/>
      <c r="M65" s="75"/>
      <c r="N65" s="75"/>
      <c r="O65" s="74"/>
      <c r="P65" s="76">
        <f>A65</f>
        <v>60550</v>
      </c>
      <c r="Q65" s="74"/>
      <c r="R65" s="74"/>
      <c r="S65" s="75"/>
      <c r="T65" s="74"/>
      <c r="U65" s="74"/>
      <c r="V65" s="88">
        <f>SUM(O60:O64)-SUM(T60:T64)</f>
        <v>-278950</v>
      </c>
      <c r="W65" s="1">
        <v>-137200</v>
      </c>
    </row>
    <row r="66" spans="1:23" ht="30" customHeight="1" x14ac:dyDescent="0.25">
      <c r="A66" s="32">
        <v>3675000</v>
      </c>
      <c r="B66" s="13" t="s">
        <v>160</v>
      </c>
      <c r="C66" s="14"/>
      <c r="D66" s="20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  <c r="Q66" s="16" t="s">
        <v>66</v>
      </c>
      <c r="R66" s="16">
        <v>400000</v>
      </c>
      <c r="S66" s="16">
        <f t="shared" ref="S66" si="42">R66*$S$5</f>
        <v>8000</v>
      </c>
      <c r="T66" s="16">
        <f>R66-S66</f>
        <v>392000</v>
      </c>
      <c r="U66" s="12" t="s">
        <v>65</v>
      </c>
      <c r="V66" s="12"/>
    </row>
    <row r="67" spans="1:23" ht="30" customHeight="1" x14ac:dyDescent="0.25">
      <c r="A67" s="34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3"/>
      <c r="Q67" s="16"/>
      <c r="R67" s="16"/>
      <c r="S67" s="16"/>
      <c r="T67" s="16"/>
      <c r="U67" s="16"/>
      <c r="V67" s="12"/>
    </row>
    <row r="68" spans="1:23" ht="30" customHeight="1" x14ac:dyDescent="0.25">
      <c r="A68" s="34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3"/>
      <c r="Q68" s="16"/>
      <c r="R68" s="16"/>
      <c r="S68" s="16"/>
      <c r="T68" s="16"/>
      <c r="U68" s="16"/>
      <c r="V68" s="12"/>
    </row>
    <row r="69" spans="1:23" ht="30" customHeight="1" x14ac:dyDescent="0.25">
      <c r="A69" s="73">
        <v>60705</v>
      </c>
      <c r="B69" s="74"/>
      <c r="C69" s="74"/>
      <c r="D69" s="74"/>
      <c r="E69" s="74"/>
      <c r="F69" s="74"/>
      <c r="G69" s="74"/>
      <c r="H69" s="75"/>
      <c r="I69" s="74"/>
      <c r="J69" s="75"/>
      <c r="K69" s="75"/>
      <c r="L69" s="75"/>
      <c r="M69" s="75"/>
      <c r="N69" s="75"/>
      <c r="O69" s="74"/>
      <c r="P69" s="76">
        <f>A69</f>
        <v>60705</v>
      </c>
      <c r="Q69" s="74"/>
      <c r="R69" s="74"/>
      <c r="S69" s="75"/>
      <c r="T69" s="74"/>
      <c r="U69" s="74"/>
      <c r="V69" s="74">
        <f>SUM(O66:O68)-SUM(T66:T68)</f>
        <v>-392000</v>
      </c>
    </row>
    <row r="70" spans="1:23" ht="30" customHeight="1" x14ac:dyDescent="0.25">
      <c r="A70" s="32">
        <v>3960000</v>
      </c>
      <c r="B70" s="13" t="s">
        <v>161</v>
      </c>
      <c r="C70" s="14"/>
      <c r="D70" s="20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7"/>
      <c r="Q70" s="16" t="s">
        <v>64</v>
      </c>
      <c r="R70" s="16">
        <v>400000</v>
      </c>
      <c r="S70" s="16">
        <f t="shared" ref="S70" si="43">R70*$S$5</f>
        <v>8000</v>
      </c>
      <c r="T70" s="16">
        <f>R70-S70</f>
        <v>392000</v>
      </c>
      <c r="U70" s="12" t="s">
        <v>63</v>
      </c>
      <c r="V70" s="12"/>
    </row>
    <row r="71" spans="1:23" ht="30" customHeight="1" x14ac:dyDescent="0.25">
      <c r="A71" s="34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3"/>
      <c r="Q71" s="16"/>
      <c r="R71" s="16"/>
      <c r="S71" s="16"/>
      <c r="T71" s="16"/>
      <c r="U71" s="16"/>
      <c r="V71" s="12"/>
    </row>
    <row r="72" spans="1:23" ht="30" customHeight="1" x14ac:dyDescent="0.25">
      <c r="A72" s="73">
        <v>60706</v>
      </c>
      <c r="B72" s="74"/>
      <c r="C72" s="74"/>
      <c r="D72" s="74"/>
      <c r="E72" s="74"/>
      <c r="F72" s="74"/>
      <c r="G72" s="74"/>
      <c r="H72" s="75"/>
      <c r="I72" s="74"/>
      <c r="J72" s="75"/>
      <c r="K72" s="75"/>
      <c r="L72" s="75"/>
      <c r="M72" s="75"/>
      <c r="N72" s="75"/>
      <c r="O72" s="74"/>
      <c r="P72" s="76">
        <f>A72</f>
        <v>60706</v>
      </c>
      <c r="Q72" s="74"/>
      <c r="R72" s="74"/>
      <c r="S72" s="75"/>
      <c r="T72" s="74"/>
      <c r="U72" s="74"/>
      <c r="V72" s="74">
        <f>SUM(O70:O71)-SUM(T70:T71)</f>
        <v>-392000</v>
      </c>
    </row>
    <row r="73" spans="1:23" ht="30" customHeight="1" x14ac:dyDescent="0.25">
      <c r="A73" s="32">
        <v>3500000</v>
      </c>
      <c r="B73" s="13" t="s">
        <v>162</v>
      </c>
      <c r="C73" s="14">
        <v>45293</v>
      </c>
      <c r="D73" s="20">
        <v>32</v>
      </c>
      <c r="E73" s="16">
        <v>525000</v>
      </c>
      <c r="F73" s="16">
        <v>0</v>
      </c>
      <c r="G73" s="16">
        <f t="shared" ref="G73:G75" si="44">E73-F73</f>
        <v>525000</v>
      </c>
      <c r="H73" s="16">
        <f>ROUND(G73*18%,)</f>
        <v>94500</v>
      </c>
      <c r="I73" s="16">
        <f>ROUND(G73+H73,)</f>
        <v>619500</v>
      </c>
      <c r="J73" s="16">
        <f t="shared" ref="J73:J75" si="45">G73*2%</f>
        <v>10500</v>
      </c>
      <c r="K73" s="16">
        <f>ROUND(G73*5%,)</f>
        <v>26250</v>
      </c>
      <c r="L73" s="16"/>
      <c r="M73" s="16">
        <f>G73*10%</f>
        <v>52500</v>
      </c>
      <c r="N73" s="16">
        <f>H73</f>
        <v>94500</v>
      </c>
      <c r="O73" s="61">
        <f>I73-SUM(J73:N73)</f>
        <v>435750</v>
      </c>
      <c r="P73" s="17"/>
      <c r="Q73" s="16" t="s">
        <v>79</v>
      </c>
      <c r="R73" s="16">
        <v>400000</v>
      </c>
      <c r="S73" s="16">
        <f t="shared" ref="S73:S76" si="46">R73*$S$5</f>
        <v>8000</v>
      </c>
      <c r="T73" s="16">
        <f>R73-S73</f>
        <v>392000</v>
      </c>
      <c r="U73" s="12" t="s">
        <v>78</v>
      </c>
      <c r="V73" s="12"/>
    </row>
    <row r="74" spans="1:23" ht="30" customHeight="1" x14ac:dyDescent="0.25">
      <c r="A74" s="32"/>
      <c r="B74" s="13"/>
      <c r="C74" s="14">
        <v>45312</v>
      </c>
      <c r="D74" s="20">
        <v>39</v>
      </c>
      <c r="E74" s="16">
        <v>350000</v>
      </c>
      <c r="F74" s="16">
        <v>0</v>
      </c>
      <c r="G74" s="16">
        <f t="shared" si="44"/>
        <v>350000</v>
      </c>
      <c r="H74" s="16">
        <f>ROUND(G74*18%,)</f>
        <v>63000</v>
      </c>
      <c r="I74" s="16">
        <f>ROUND(G74+H74,)</f>
        <v>413000</v>
      </c>
      <c r="J74" s="16">
        <f t="shared" si="45"/>
        <v>7000</v>
      </c>
      <c r="K74" s="16">
        <f>ROUND(G74*5%,)</f>
        <v>17500</v>
      </c>
      <c r="L74" s="16"/>
      <c r="M74" s="16">
        <f>G74*10%</f>
        <v>35000</v>
      </c>
      <c r="N74" s="16">
        <f>H74</f>
        <v>63000</v>
      </c>
      <c r="O74" s="61">
        <f>I74-SUM(J74:N74)</f>
        <v>290500</v>
      </c>
      <c r="P74" s="23"/>
      <c r="Q74" s="16" t="s">
        <v>101</v>
      </c>
      <c r="R74" s="16">
        <v>400000</v>
      </c>
      <c r="S74" s="16">
        <f t="shared" si="46"/>
        <v>8000</v>
      </c>
      <c r="T74" s="16">
        <f t="shared" ref="T74:T76" si="47">R74-S74</f>
        <v>392000</v>
      </c>
      <c r="U74" s="16" t="s">
        <v>100</v>
      </c>
      <c r="V74" s="12"/>
    </row>
    <row r="75" spans="1:23" ht="30" customHeight="1" x14ac:dyDescent="0.25">
      <c r="A75" s="34"/>
      <c r="B75" s="13"/>
      <c r="C75" s="14">
        <v>45334</v>
      </c>
      <c r="D75" s="20">
        <v>56</v>
      </c>
      <c r="E75" s="16">
        <v>525000</v>
      </c>
      <c r="F75" s="16">
        <v>0</v>
      </c>
      <c r="G75" s="16">
        <f t="shared" si="44"/>
        <v>525000</v>
      </c>
      <c r="H75" s="16">
        <f>ROUND(G75*18%,)</f>
        <v>94500</v>
      </c>
      <c r="I75" s="16">
        <f>ROUND(G75+H75,)</f>
        <v>619500</v>
      </c>
      <c r="J75" s="16">
        <f t="shared" si="45"/>
        <v>10500</v>
      </c>
      <c r="K75" s="16">
        <f>ROUND(G75*5%,)</f>
        <v>26250</v>
      </c>
      <c r="L75" s="16"/>
      <c r="M75" s="16"/>
      <c r="N75" s="86">
        <f>H75</f>
        <v>94500</v>
      </c>
      <c r="O75" s="61">
        <f>I75-SUM(J75:N75)</f>
        <v>488250</v>
      </c>
      <c r="P75" s="23"/>
      <c r="Q75" s="16"/>
      <c r="R75" s="16">
        <v>400000</v>
      </c>
      <c r="S75" s="16">
        <f t="shared" si="46"/>
        <v>8000</v>
      </c>
      <c r="T75" s="16">
        <f t="shared" si="47"/>
        <v>392000</v>
      </c>
      <c r="U75" s="16" t="s">
        <v>136</v>
      </c>
      <c r="V75" s="12"/>
    </row>
    <row r="76" spans="1:23" ht="30" customHeight="1" x14ac:dyDescent="0.25">
      <c r="A76" s="34"/>
      <c r="B76" s="13" t="s">
        <v>118</v>
      </c>
      <c r="C76" s="21">
        <v>45335</v>
      </c>
      <c r="D76" s="16" t="s">
        <v>138</v>
      </c>
      <c r="E76" s="16">
        <f>H73+H74</f>
        <v>157500</v>
      </c>
      <c r="F76" s="16">
        <v>0</v>
      </c>
      <c r="G76" s="16"/>
      <c r="H76" s="16">
        <f t="shared" ref="H76:H77" si="48">ROUND(G76*18%,)</f>
        <v>0</v>
      </c>
      <c r="I76" s="16">
        <f t="shared" ref="I76:I77" si="49">ROUND(G76+H76,)</f>
        <v>0</v>
      </c>
      <c r="J76" s="16">
        <f t="shared" ref="J76:J77" si="50">G76*2%</f>
        <v>0</v>
      </c>
      <c r="K76" s="16">
        <f t="shared" ref="K76:K77" si="51">ROUND(G76*5%,)</f>
        <v>0</v>
      </c>
      <c r="L76" s="16"/>
      <c r="M76" s="16">
        <f t="shared" ref="M76:M77" si="52">G76*10%</f>
        <v>0</v>
      </c>
      <c r="N76" s="16">
        <f t="shared" ref="N76:N77" si="53">H76</f>
        <v>0</v>
      </c>
      <c r="O76" s="16"/>
      <c r="P76" s="23" t="s">
        <v>149</v>
      </c>
      <c r="Q76" s="16"/>
      <c r="R76" s="16">
        <v>400000</v>
      </c>
      <c r="S76" s="16">
        <f t="shared" si="46"/>
        <v>8000</v>
      </c>
      <c r="T76" s="16">
        <f t="shared" si="47"/>
        <v>392000</v>
      </c>
      <c r="U76" s="16" t="s">
        <v>137</v>
      </c>
      <c r="V76" s="12"/>
    </row>
    <row r="77" spans="1:23" ht="30" customHeight="1" x14ac:dyDescent="0.25">
      <c r="A77" s="80"/>
      <c r="B77" s="13"/>
      <c r="C77" s="21"/>
      <c r="D77" s="77"/>
      <c r="E77" s="16"/>
      <c r="F77" s="16">
        <v>0</v>
      </c>
      <c r="G77" s="16">
        <f t="shared" ref="G77" si="54">E77-F77</f>
        <v>0</v>
      </c>
      <c r="H77" s="16">
        <f t="shared" si="48"/>
        <v>0</v>
      </c>
      <c r="I77" s="16">
        <f t="shared" si="49"/>
        <v>0</v>
      </c>
      <c r="J77" s="16">
        <f t="shared" si="50"/>
        <v>0</v>
      </c>
      <c r="K77" s="16">
        <f t="shared" si="51"/>
        <v>0</v>
      </c>
      <c r="L77" s="16"/>
      <c r="M77" s="16">
        <f t="shared" si="52"/>
        <v>0</v>
      </c>
      <c r="N77" s="16">
        <f t="shared" si="53"/>
        <v>0</v>
      </c>
      <c r="O77" s="16">
        <f>I77-SUM(J77:N77)</f>
        <v>0</v>
      </c>
      <c r="P77" s="23"/>
      <c r="Q77" s="16"/>
      <c r="R77" s="16"/>
      <c r="S77" s="16"/>
      <c r="T77" s="16"/>
      <c r="U77" s="78"/>
      <c r="V77" s="12"/>
    </row>
    <row r="78" spans="1:23" ht="30" customHeight="1" x14ac:dyDescent="0.25">
      <c r="A78" s="73">
        <v>60707</v>
      </c>
      <c r="B78" s="74"/>
      <c r="C78" s="74"/>
      <c r="D78" s="74"/>
      <c r="E78" s="74"/>
      <c r="F78" s="74"/>
      <c r="G78" s="74"/>
      <c r="H78" s="75"/>
      <c r="I78" s="74"/>
      <c r="J78" s="75"/>
      <c r="K78" s="75"/>
      <c r="L78" s="75"/>
      <c r="M78" s="75"/>
      <c r="N78" s="75"/>
      <c r="O78" s="74"/>
      <c r="P78" s="76">
        <f>A78</f>
        <v>60707</v>
      </c>
      <c r="Q78" s="74"/>
      <c r="R78" s="74"/>
      <c r="S78" s="75"/>
      <c r="T78" s="74"/>
      <c r="U78" s="74"/>
      <c r="V78" s="88">
        <f>SUM(O73:O77)-SUM(T73:T77)</f>
        <v>-353500</v>
      </c>
      <c r="W78" s="1">
        <v>-196000</v>
      </c>
    </row>
    <row r="79" spans="1:23" ht="30" customHeight="1" x14ac:dyDescent="0.25">
      <c r="A79" s="32">
        <v>1960000</v>
      </c>
      <c r="B79" s="13" t="s">
        <v>163</v>
      </c>
      <c r="C79" s="14"/>
      <c r="D79" s="20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  <c r="Q79" s="16"/>
      <c r="R79" s="16"/>
      <c r="S79" s="16"/>
      <c r="T79" s="16"/>
      <c r="U79" s="12"/>
      <c r="V79" s="12"/>
    </row>
    <row r="80" spans="1:23" ht="30" customHeight="1" x14ac:dyDescent="0.25">
      <c r="A80" s="34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3"/>
      <c r="Q80" s="16"/>
      <c r="R80" s="16"/>
      <c r="S80" s="16"/>
      <c r="T80" s="16"/>
      <c r="U80" s="16"/>
      <c r="V80" s="12"/>
    </row>
    <row r="81" spans="1:23" ht="30" customHeight="1" x14ac:dyDescent="0.25">
      <c r="A81" s="34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3"/>
      <c r="Q81" s="16"/>
      <c r="R81" s="16"/>
      <c r="S81" s="16"/>
      <c r="T81" s="16"/>
      <c r="U81" s="16"/>
      <c r="V81" s="12"/>
    </row>
    <row r="82" spans="1:23" ht="30" customHeight="1" x14ac:dyDescent="0.25">
      <c r="A82" s="73">
        <v>60708</v>
      </c>
      <c r="B82" s="74"/>
      <c r="C82" s="74"/>
      <c r="D82" s="74"/>
      <c r="E82" s="74"/>
      <c r="F82" s="74"/>
      <c r="G82" s="74"/>
      <c r="H82" s="75"/>
      <c r="I82" s="74"/>
      <c r="J82" s="75"/>
      <c r="K82" s="75"/>
      <c r="L82" s="75"/>
      <c r="M82" s="75"/>
      <c r="N82" s="75"/>
      <c r="O82" s="74"/>
      <c r="P82" s="76">
        <f>A82</f>
        <v>60708</v>
      </c>
      <c r="Q82" s="74"/>
      <c r="R82" s="74"/>
      <c r="S82" s="75"/>
      <c r="T82" s="74"/>
      <c r="U82" s="74"/>
      <c r="V82" s="26">
        <f>SUM(O79:O81)-SUM(T79:T81)</f>
        <v>0</v>
      </c>
    </row>
    <row r="83" spans="1:23" ht="30" customHeight="1" x14ac:dyDescent="0.25">
      <c r="A83" s="32">
        <v>3960000</v>
      </c>
      <c r="B83" s="13" t="s">
        <v>164</v>
      </c>
      <c r="C83" s="14"/>
      <c r="D83" s="20">
        <v>58</v>
      </c>
      <c r="E83" s="16">
        <v>198000</v>
      </c>
      <c r="F83" s="16"/>
      <c r="G83" s="16">
        <f t="shared" ref="G83" si="55">E83-F83</f>
        <v>198000</v>
      </c>
      <c r="H83" s="16">
        <f>ROUND(G83*18%,)</f>
        <v>35640</v>
      </c>
      <c r="I83" s="16">
        <f>ROUND(G83+H83,)</f>
        <v>233640</v>
      </c>
      <c r="J83" s="16">
        <f>G83*2%</f>
        <v>3960</v>
      </c>
      <c r="K83" s="16">
        <f>ROUND(G83*5%,)</f>
        <v>9900</v>
      </c>
      <c r="L83" s="16"/>
      <c r="M83" s="16"/>
      <c r="N83" s="16">
        <f>H83</f>
        <v>35640</v>
      </c>
      <c r="O83" s="61">
        <f>I83-SUM(J83:N83)</f>
        <v>184140</v>
      </c>
      <c r="P83" s="17"/>
      <c r="Q83" s="16"/>
      <c r="R83" s="16">
        <v>500000</v>
      </c>
      <c r="S83" s="16">
        <v>10000</v>
      </c>
      <c r="T83" s="16">
        <f>R83-S83</f>
        <v>490000</v>
      </c>
      <c r="U83" s="78" t="s">
        <v>139</v>
      </c>
      <c r="V83" s="12"/>
    </row>
    <row r="84" spans="1:23" ht="30" customHeight="1" x14ac:dyDescent="0.25">
      <c r="A84" s="34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3"/>
      <c r="Q84" s="16"/>
      <c r="R84" s="16"/>
      <c r="S84" s="16"/>
      <c r="T84" s="16"/>
      <c r="U84" s="16"/>
      <c r="V84" s="12"/>
    </row>
    <row r="85" spans="1:23" ht="30" customHeight="1" x14ac:dyDescent="0.25">
      <c r="A85" s="34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3"/>
      <c r="Q85" s="16"/>
      <c r="R85" s="16"/>
      <c r="S85" s="16"/>
      <c r="T85" s="16"/>
      <c r="U85" s="16"/>
      <c r="V85" s="12"/>
    </row>
    <row r="86" spans="1:23" ht="30" customHeight="1" x14ac:dyDescent="0.25">
      <c r="A86" s="73">
        <v>60709</v>
      </c>
      <c r="B86" s="74"/>
      <c r="C86" s="74"/>
      <c r="D86" s="74"/>
      <c r="E86" s="74"/>
      <c r="F86" s="74"/>
      <c r="G86" s="74"/>
      <c r="H86" s="75"/>
      <c r="I86" s="74"/>
      <c r="J86" s="75"/>
      <c r="K86" s="75"/>
      <c r="L86" s="75"/>
      <c r="M86" s="75"/>
      <c r="N86" s="75"/>
      <c r="O86" s="74"/>
      <c r="P86" s="76">
        <f>A86</f>
        <v>60709</v>
      </c>
      <c r="Q86" s="74"/>
      <c r="R86" s="74"/>
      <c r="S86" s="75"/>
      <c r="T86" s="74"/>
      <c r="U86" s="74"/>
      <c r="V86" s="37">
        <f>SUM(O83:O85)-SUM(T83:T85)</f>
        <v>-305860</v>
      </c>
    </row>
    <row r="87" spans="1:23" ht="30" customHeight="1" x14ac:dyDescent="0.25">
      <c r="A87" s="32">
        <v>4375000</v>
      </c>
      <c r="B87" s="13" t="s">
        <v>167</v>
      </c>
      <c r="C87" s="14"/>
      <c r="D87" s="20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7"/>
      <c r="Q87" s="16" t="s">
        <v>81</v>
      </c>
      <c r="R87" s="16">
        <v>400000</v>
      </c>
      <c r="S87" s="16">
        <f t="shared" ref="S87" si="56">R87*$S$5</f>
        <v>8000</v>
      </c>
      <c r="T87" s="16">
        <f>R87-S87</f>
        <v>392000</v>
      </c>
      <c r="U87" s="12" t="s">
        <v>80</v>
      </c>
      <c r="V87" s="12"/>
    </row>
    <row r="88" spans="1:23" ht="30" customHeight="1" x14ac:dyDescent="0.25">
      <c r="A88" s="32"/>
      <c r="B88" s="13"/>
      <c r="C88" s="14"/>
      <c r="D88" s="20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7"/>
      <c r="Q88" s="16"/>
      <c r="R88" s="16"/>
      <c r="S88" s="16"/>
      <c r="T88" s="16"/>
      <c r="U88" s="12"/>
      <c r="V88" s="12"/>
    </row>
    <row r="89" spans="1:23" ht="30" customHeight="1" x14ac:dyDescent="0.25">
      <c r="A89" s="73">
        <v>60931</v>
      </c>
      <c r="B89" s="74"/>
      <c r="C89" s="74"/>
      <c r="D89" s="74"/>
      <c r="E89" s="74"/>
      <c r="F89" s="74"/>
      <c r="G89" s="74"/>
      <c r="H89" s="75"/>
      <c r="I89" s="74"/>
      <c r="J89" s="75"/>
      <c r="K89" s="75"/>
      <c r="L89" s="75"/>
      <c r="M89" s="75"/>
      <c r="N89" s="75"/>
      <c r="O89" s="74"/>
      <c r="P89" s="76">
        <f>A89</f>
        <v>60931</v>
      </c>
      <c r="Q89" s="74"/>
      <c r="R89" s="74"/>
      <c r="S89" s="75"/>
      <c r="T89" s="74"/>
      <c r="U89" s="74"/>
      <c r="V89" s="37">
        <f>SUM(O87:O88)-SUM(T87:T88)</f>
        <v>-392000</v>
      </c>
    </row>
    <row r="90" spans="1:23" ht="30" customHeight="1" x14ac:dyDescent="0.25">
      <c r="A90" s="32">
        <v>4425000</v>
      </c>
      <c r="B90" s="13" t="s">
        <v>169</v>
      </c>
      <c r="C90" s="14">
        <v>45312</v>
      </c>
      <c r="D90" s="20">
        <v>41</v>
      </c>
      <c r="E90" s="16">
        <v>221550</v>
      </c>
      <c r="F90" s="16">
        <v>0</v>
      </c>
      <c r="G90" s="16">
        <v>221250</v>
      </c>
      <c r="H90" s="16">
        <f>ROUND(G90*18%,)</f>
        <v>39825</v>
      </c>
      <c r="I90" s="16">
        <f>ROUND(G90+H90,)</f>
        <v>261075</v>
      </c>
      <c r="J90" s="16">
        <f t="shared" ref="J90:J91" si="57">G90*2%</f>
        <v>4425</v>
      </c>
      <c r="K90" s="16">
        <f>ROUND(G90*5%,)</f>
        <v>11063</v>
      </c>
      <c r="L90" s="16"/>
      <c r="M90" s="16">
        <f>G90*10%</f>
        <v>22125</v>
      </c>
      <c r="N90" s="87">
        <f>H90</f>
        <v>39825</v>
      </c>
      <c r="O90" s="61">
        <f>I90-SUM(J90:N90)</f>
        <v>183637</v>
      </c>
      <c r="P90" s="17"/>
      <c r="Q90" s="16" t="s">
        <v>95</v>
      </c>
      <c r="R90" s="16">
        <v>400000</v>
      </c>
      <c r="S90" s="16">
        <f t="shared" ref="S90" si="58">R90*$S$5</f>
        <v>8000</v>
      </c>
      <c r="T90" s="16">
        <f>R90-S90</f>
        <v>392000</v>
      </c>
      <c r="U90" s="12" t="s">
        <v>96</v>
      </c>
      <c r="V90" s="12"/>
    </row>
    <row r="91" spans="1:23" ht="30" customHeight="1" x14ac:dyDescent="0.25">
      <c r="A91" s="34"/>
      <c r="B91" s="13"/>
      <c r="C91" s="16" t="s">
        <v>124</v>
      </c>
      <c r="D91" s="20">
        <v>44</v>
      </c>
      <c r="E91" s="16">
        <v>442500</v>
      </c>
      <c r="F91" s="16">
        <v>0</v>
      </c>
      <c r="G91" s="16">
        <f t="shared" ref="G91" si="59">E91-F91</f>
        <v>442500</v>
      </c>
      <c r="H91" s="16">
        <f>ROUND(G91*18%,)</f>
        <v>79650</v>
      </c>
      <c r="I91" s="16">
        <f>ROUND(G91+H91,)</f>
        <v>522150</v>
      </c>
      <c r="J91" s="16">
        <f t="shared" si="57"/>
        <v>8850</v>
      </c>
      <c r="K91" s="16">
        <f>ROUND(G91*5%,)</f>
        <v>22125</v>
      </c>
      <c r="L91" s="16"/>
      <c r="M91" s="16"/>
      <c r="N91" s="87">
        <f>H91</f>
        <v>79650</v>
      </c>
      <c r="O91" s="61">
        <f>I91-SUM(J91:N91)</f>
        <v>411525</v>
      </c>
      <c r="P91" s="23"/>
      <c r="Q91" s="16" t="s">
        <v>130</v>
      </c>
      <c r="R91" s="16">
        <v>300000</v>
      </c>
      <c r="S91" s="16">
        <v>6000</v>
      </c>
      <c r="T91" s="16">
        <f t="shared" ref="T91" si="60">R91-S91</f>
        <v>294000</v>
      </c>
      <c r="U91" s="12" t="s">
        <v>129</v>
      </c>
      <c r="V91" s="22"/>
    </row>
    <row r="92" spans="1:23" ht="30" customHeight="1" x14ac:dyDescent="0.25">
      <c r="A92" s="34"/>
      <c r="B92" s="13" t="s">
        <v>156</v>
      </c>
      <c r="C92" s="16" t="s">
        <v>131</v>
      </c>
      <c r="D92" s="20">
        <v>41</v>
      </c>
      <c r="E92" s="16">
        <v>39825</v>
      </c>
      <c r="F92" s="16"/>
      <c r="G92" s="16"/>
      <c r="H92" s="16">
        <f t="shared" ref="H92" si="61">ROUND(G92*18%,)</f>
        <v>0</v>
      </c>
      <c r="I92" s="16">
        <f t="shared" ref="I92" si="62">ROUND(G92+H92,)</f>
        <v>0</v>
      </c>
      <c r="J92" s="16">
        <f t="shared" ref="J92" si="63">G92*2%</f>
        <v>0</v>
      </c>
      <c r="K92" s="16">
        <f t="shared" ref="K92" si="64">ROUND(G92*5%,)</f>
        <v>0</v>
      </c>
      <c r="L92" s="16"/>
      <c r="M92" s="16"/>
      <c r="N92" s="16">
        <f t="shared" ref="N92" si="65">H92</f>
        <v>0</v>
      </c>
      <c r="O92" s="16"/>
      <c r="P92" s="23" t="s">
        <v>149</v>
      </c>
      <c r="Q92" s="16"/>
      <c r="R92" s="16">
        <v>400000</v>
      </c>
      <c r="S92" s="16">
        <v>8000</v>
      </c>
      <c r="T92" s="86"/>
      <c r="U92" s="12" t="s">
        <v>168</v>
      </c>
      <c r="V92" s="22"/>
    </row>
    <row r="93" spans="1:23" ht="30" customHeight="1" x14ac:dyDescent="0.25">
      <c r="A93" s="34"/>
      <c r="B93" s="13"/>
      <c r="C93" s="21">
        <v>45345</v>
      </c>
      <c r="D93" s="20">
        <v>59</v>
      </c>
      <c r="E93" s="16">
        <v>442500</v>
      </c>
      <c r="F93" s="16"/>
      <c r="G93" s="16">
        <f t="shared" ref="G93" si="66">E93-F93</f>
        <v>442500</v>
      </c>
      <c r="H93" s="16">
        <f>ROUND(G93*18%,)</f>
        <v>79650</v>
      </c>
      <c r="I93" s="16">
        <f>ROUND(G93+H93,)</f>
        <v>522150</v>
      </c>
      <c r="J93" s="16">
        <f>G93*2%</f>
        <v>8850</v>
      </c>
      <c r="K93" s="16">
        <f>ROUND(G93*5%,)</f>
        <v>22125</v>
      </c>
      <c r="L93" s="16"/>
      <c r="M93" s="16"/>
      <c r="N93" s="87">
        <f>H93</f>
        <v>79650</v>
      </c>
      <c r="O93" s="16">
        <f>I93-SUM(J93:N93)</f>
        <v>411525</v>
      </c>
      <c r="P93" s="79" t="s">
        <v>176</v>
      </c>
      <c r="Q93" s="16"/>
      <c r="R93" s="16"/>
      <c r="S93" s="16"/>
      <c r="T93" s="16"/>
      <c r="U93" s="78"/>
      <c r="V93" s="22"/>
    </row>
    <row r="94" spans="1:23" ht="30" customHeight="1" x14ac:dyDescent="0.25">
      <c r="A94" s="73">
        <v>60933</v>
      </c>
      <c r="B94" s="74"/>
      <c r="C94" s="74"/>
      <c r="D94" s="74"/>
      <c r="E94" s="74"/>
      <c r="F94" s="74"/>
      <c r="G94" s="74"/>
      <c r="H94" s="75"/>
      <c r="I94" s="74"/>
      <c r="J94" s="75"/>
      <c r="K94" s="75"/>
      <c r="L94" s="75"/>
      <c r="M94" s="75"/>
      <c r="N94" s="75"/>
      <c r="O94" s="74"/>
      <c r="P94" s="76">
        <f>A94</f>
        <v>60933</v>
      </c>
      <c r="Q94" s="74"/>
      <c r="R94" s="74"/>
      <c r="S94" s="75"/>
      <c r="T94" s="74"/>
      <c r="U94" s="74"/>
      <c r="V94" s="88">
        <f>SUM(O90:O93)-SUM(T90:T93)</f>
        <v>320687</v>
      </c>
      <c r="W94" s="1">
        <v>320936</v>
      </c>
    </row>
    <row r="95" spans="1:23" ht="30" customHeight="1" x14ac:dyDescent="0.25">
      <c r="A95" s="32">
        <v>2598750</v>
      </c>
      <c r="B95" s="13" t="s">
        <v>170</v>
      </c>
      <c r="C95" s="14">
        <v>45324</v>
      </c>
      <c r="D95" s="20">
        <v>51</v>
      </c>
      <c r="E95" s="16">
        <v>129937</v>
      </c>
      <c r="F95" s="16">
        <v>0</v>
      </c>
      <c r="G95" s="16">
        <f t="shared" ref="G95" si="67">E95-F95</f>
        <v>129937</v>
      </c>
      <c r="H95" s="16">
        <f>ROUND(G95*18%,)</f>
        <v>23389</v>
      </c>
      <c r="I95" s="16">
        <f>ROUND(G95+H95,)</f>
        <v>153326</v>
      </c>
      <c r="J95" s="16">
        <f>G95*2%</f>
        <v>2598.7400000000002</v>
      </c>
      <c r="K95" s="16">
        <f>ROUND(G95*5%,)</f>
        <v>6497</v>
      </c>
      <c r="L95" s="16"/>
      <c r="M95" s="16"/>
      <c r="N95" s="16">
        <f>H95</f>
        <v>23389</v>
      </c>
      <c r="O95" s="61">
        <f>I95-SUM(J95:N95)</f>
        <v>120841.26000000001</v>
      </c>
      <c r="P95" s="17"/>
      <c r="Q95" s="16" t="s">
        <v>112</v>
      </c>
      <c r="R95" s="16">
        <v>400000</v>
      </c>
      <c r="S95" s="16">
        <v>8000</v>
      </c>
      <c r="T95" s="16">
        <f t="shared" ref="T95" si="68">R95-S95</f>
        <v>392000</v>
      </c>
      <c r="U95" s="78" t="s">
        <v>111</v>
      </c>
      <c r="V95" s="12"/>
    </row>
    <row r="96" spans="1:23" ht="30" customHeight="1" x14ac:dyDescent="0.25">
      <c r="A96" s="34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3"/>
      <c r="Q96" s="16"/>
      <c r="R96" s="16"/>
      <c r="S96" s="16"/>
      <c r="T96" s="16"/>
      <c r="U96" s="16"/>
      <c r="V96" s="28"/>
    </row>
    <row r="97" spans="1:23" ht="30" customHeight="1" x14ac:dyDescent="0.25">
      <c r="A97" s="73">
        <v>60934</v>
      </c>
      <c r="B97" s="74"/>
      <c r="C97" s="74"/>
      <c r="D97" s="74"/>
      <c r="E97" s="74"/>
      <c r="F97" s="74"/>
      <c r="G97" s="74"/>
      <c r="H97" s="75"/>
      <c r="I97" s="74"/>
      <c r="J97" s="75"/>
      <c r="K97" s="75"/>
      <c r="L97" s="75"/>
      <c r="M97" s="75"/>
      <c r="N97" s="75"/>
      <c r="O97" s="74"/>
      <c r="P97" s="76">
        <f>A97</f>
        <v>60934</v>
      </c>
      <c r="Q97" s="74"/>
      <c r="R97" s="74"/>
      <c r="S97" s="75"/>
      <c r="T97" s="74"/>
      <c r="U97" s="74"/>
      <c r="V97" s="37">
        <f>SUM(O95:O96)-SUM(T95:T96)</f>
        <v>-271158.74</v>
      </c>
    </row>
    <row r="98" spans="1:23" ht="30" customHeight="1" x14ac:dyDescent="0.25">
      <c r="A98" s="32">
        <v>2598750</v>
      </c>
      <c r="B98" s="13" t="s">
        <v>172</v>
      </c>
      <c r="C98" s="14" t="s">
        <v>123</v>
      </c>
      <c r="D98" s="20">
        <v>52</v>
      </c>
      <c r="E98" s="16">
        <v>129937</v>
      </c>
      <c r="F98" s="16">
        <v>0</v>
      </c>
      <c r="G98" s="16">
        <f t="shared" ref="G98:G99" si="69">E98-F98</f>
        <v>129937</v>
      </c>
      <c r="H98" s="16">
        <f>ROUND(G98*18%,)</f>
        <v>23389</v>
      </c>
      <c r="I98" s="16">
        <f>ROUND(G98+H98,)</f>
        <v>153326</v>
      </c>
      <c r="J98" s="16">
        <f t="shared" ref="J98:J99" si="70">G98*2%</f>
        <v>2598.7400000000002</v>
      </c>
      <c r="K98" s="16">
        <f>ROUND(G98*5%,)</f>
        <v>6497</v>
      </c>
      <c r="L98" s="16"/>
      <c r="M98" s="16"/>
      <c r="N98" s="16">
        <f>H98</f>
        <v>23389</v>
      </c>
      <c r="O98" s="61">
        <f>I98-SUM(J98:N98)</f>
        <v>120841.26000000001</v>
      </c>
      <c r="P98" s="17"/>
      <c r="Q98" s="16" t="s">
        <v>109</v>
      </c>
      <c r="R98" s="16">
        <v>400000</v>
      </c>
      <c r="S98" s="16">
        <v>8000</v>
      </c>
      <c r="T98" s="16">
        <f t="shared" ref="T98" si="71">R98-S98</f>
        <v>392000</v>
      </c>
      <c r="U98" s="78" t="s">
        <v>110</v>
      </c>
      <c r="V98" s="12"/>
    </row>
    <row r="99" spans="1:23" ht="30" customHeight="1" x14ac:dyDescent="0.25">
      <c r="A99" s="32"/>
      <c r="B99" s="16"/>
      <c r="C99" s="14">
        <v>45345</v>
      </c>
      <c r="D99" s="20">
        <v>60</v>
      </c>
      <c r="E99" s="16">
        <v>259875</v>
      </c>
      <c r="F99" s="16"/>
      <c r="G99" s="16">
        <f t="shared" si="69"/>
        <v>259875</v>
      </c>
      <c r="H99" s="16">
        <f>ROUND(G99*18%,)</f>
        <v>46778</v>
      </c>
      <c r="I99" s="16">
        <f>ROUND(G99+H99,)</f>
        <v>306653</v>
      </c>
      <c r="J99" s="16">
        <f t="shared" si="70"/>
        <v>5197.5</v>
      </c>
      <c r="K99" s="16">
        <f>ROUND(G99*5%,)</f>
        <v>12994</v>
      </c>
      <c r="L99" s="16"/>
      <c r="M99" s="16"/>
      <c r="N99" s="16"/>
      <c r="O99" s="16">
        <f>I99-SUM(J99:N99)</f>
        <v>288461.5</v>
      </c>
      <c r="P99" s="79" t="s">
        <v>179</v>
      </c>
      <c r="Q99" s="16"/>
      <c r="R99" s="16">
        <v>300000</v>
      </c>
      <c r="S99" s="16">
        <v>6000</v>
      </c>
      <c r="T99" s="87"/>
      <c r="U99" s="16" t="s">
        <v>171</v>
      </c>
      <c r="V99" s="28"/>
    </row>
    <row r="100" spans="1:23" ht="30" customHeight="1" x14ac:dyDescent="0.25">
      <c r="A100" s="32"/>
      <c r="B100" s="16"/>
      <c r="C100" s="14"/>
      <c r="D100" s="20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3"/>
      <c r="Q100" s="16"/>
      <c r="R100" s="16"/>
      <c r="S100" s="16"/>
      <c r="T100" s="16"/>
      <c r="U100" s="16"/>
      <c r="V100" s="28"/>
    </row>
    <row r="101" spans="1:23" ht="30" customHeight="1" x14ac:dyDescent="0.25">
      <c r="A101" s="73">
        <v>60935</v>
      </c>
      <c r="B101" s="74"/>
      <c r="C101" s="74"/>
      <c r="D101" s="74"/>
      <c r="E101" s="74"/>
      <c r="F101" s="74"/>
      <c r="G101" s="74"/>
      <c r="H101" s="75"/>
      <c r="I101" s="74"/>
      <c r="J101" s="75"/>
      <c r="K101" s="75"/>
      <c r="L101" s="75"/>
      <c r="M101" s="75"/>
      <c r="N101" s="75"/>
      <c r="O101" s="74"/>
      <c r="P101" s="76">
        <f>A101</f>
        <v>60935</v>
      </c>
      <c r="Q101" s="74"/>
      <c r="R101" s="74"/>
      <c r="S101" s="75"/>
      <c r="T101" s="74"/>
      <c r="U101" s="74"/>
      <c r="V101" s="104">
        <f>SUM(O98:O100)-SUM(T98:T100)</f>
        <v>17302.760000000009</v>
      </c>
      <c r="W101" s="1">
        <v>-29474</v>
      </c>
    </row>
    <row r="102" spans="1:23" ht="30" customHeight="1" x14ac:dyDescent="0.25">
      <c r="A102" s="32">
        <v>2850000</v>
      </c>
      <c r="B102" s="13" t="s">
        <v>173</v>
      </c>
      <c r="C102" s="14"/>
      <c r="D102" s="20"/>
      <c r="E102" s="16"/>
      <c r="F102" s="16">
        <v>0</v>
      </c>
      <c r="G102" s="16">
        <f t="shared" ref="G102:G103" si="72">E102-F102</f>
        <v>0</v>
      </c>
      <c r="H102" s="16">
        <f>ROUND(G102*18%,)</f>
        <v>0</v>
      </c>
      <c r="I102" s="16">
        <f>ROUND(G102+H102,)</f>
        <v>0</v>
      </c>
      <c r="J102" s="16">
        <f>G102*2%</f>
        <v>0</v>
      </c>
      <c r="K102" s="16">
        <f>ROUND(G102*5%,)</f>
        <v>0</v>
      </c>
      <c r="L102" s="16"/>
      <c r="M102" s="16">
        <f>G102*10%</f>
        <v>0</v>
      </c>
      <c r="N102" s="16">
        <f>H102</f>
        <v>0</v>
      </c>
      <c r="O102" s="16">
        <f>I102-SUM(J102:N102)</f>
        <v>0</v>
      </c>
      <c r="P102" s="17"/>
      <c r="Q102" s="16" t="s">
        <v>108</v>
      </c>
      <c r="R102" s="16">
        <v>400000</v>
      </c>
      <c r="S102" s="16">
        <v>8000</v>
      </c>
      <c r="T102" s="16">
        <f t="shared" ref="T102" si="73">R102-S102</f>
        <v>392000</v>
      </c>
      <c r="U102" s="78" t="s">
        <v>107</v>
      </c>
      <c r="V102" s="12"/>
    </row>
    <row r="103" spans="1:23" ht="30" customHeight="1" x14ac:dyDescent="0.25">
      <c r="A103" s="34"/>
      <c r="B103" s="16"/>
      <c r="C103" s="16"/>
      <c r="D103" s="16"/>
      <c r="E103" s="16"/>
      <c r="F103" s="16"/>
      <c r="G103" s="16">
        <f t="shared" si="72"/>
        <v>0</v>
      </c>
      <c r="H103" s="16">
        <f>ROUND(G103*18%,)</f>
        <v>0</v>
      </c>
      <c r="I103" s="16">
        <f>ROUND(G103+H103,)</f>
        <v>0</v>
      </c>
      <c r="J103" s="16">
        <f>G103*2%</f>
        <v>0</v>
      </c>
      <c r="K103" s="16">
        <f>ROUND(G103*5%,)</f>
        <v>0</v>
      </c>
      <c r="L103" s="16"/>
      <c r="M103" s="16">
        <f>G103*10%</f>
        <v>0</v>
      </c>
      <c r="N103" s="16">
        <f>H103</f>
        <v>0</v>
      </c>
      <c r="O103" s="16">
        <f>I103-SUM(J103:N103)</f>
        <v>0</v>
      </c>
      <c r="P103" s="23"/>
      <c r="Q103" s="16"/>
      <c r="R103" s="16"/>
      <c r="S103" s="16"/>
      <c r="T103" s="16"/>
      <c r="U103" s="16"/>
      <c r="V103" s="12"/>
    </row>
    <row r="104" spans="1:23" ht="30" customHeight="1" x14ac:dyDescent="0.25">
      <c r="A104" s="73">
        <v>61017</v>
      </c>
      <c r="B104" s="74"/>
      <c r="C104" s="74"/>
      <c r="D104" s="74"/>
      <c r="E104" s="74"/>
      <c r="F104" s="74"/>
      <c r="G104" s="74"/>
      <c r="H104" s="75"/>
      <c r="I104" s="74"/>
      <c r="J104" s="75"/>
      <c r="K104" s="75"/>
      <c r="L104" s="75"/>
      <c r="M104" s="75"/>
      <c r="N104" s="75"/>
      <c r="O104" s="74"/>
      <c r="P104" s="76">
        <f>A104</f>
        <v>61017</v>
      </c>
      <c r="Q104" s="74"/>
      <c r="R104" s="74"/>
      <c r="S104" s="75"/>
      <c r="T104" s="74"/>
      <c r="U104" s="74"/>
      <c r="V104" s="37">
        <f>SUM(O102:O103)-SUM(T102:T103)</f>
        <v>-392000</v>
      </c>
    </row>
    <row r="105" spans="1:23" ht="30" customHeight="1" x14ac:dyDescent="0.25">
      <c r="A105" s="32">
        <v>2598750</v>
      </c>
      <c r="B105" s="13" t="s">
        <v>174</v>
      </c>
      <c r="C105" s="14">
        <v>45325</v>
      </c>
      <c r="D105" s="20">
        <v>43</v>
      </c>
      <c r="E105" s="16">
        <v>389812</v>
      </c>
      <c r="F105" s="16">
        <v>0</v>
      </c>
      <c r="G105" s="16">
        <f t="shared" ref="G105:G106" si="74">E105-F105</f>
        <v>389812</v>
      </c>
      <c r="H105" s="16">
        <f>ROUND(G105*18%,)</f>
        <v>70166</v>
      </c>
      <c r="I105" s="16">
        <f>ROUND(G105+H105,)</f>
        <v>459978</v>
      </c>
      <c r="J105" s="16">
        <f t="shared" ref="J105:J106" si="75">G105*2%</f>
        <v>7796.24</v>
      </c>
      <c r="K105" s="16">
        <f>ROUND(G105*5%,)</f>
        <v>19491</v>
      </c>
      <c r="L105" s="16"/>
      <c r="M105" s="16"/>
      <c r="N105" s="16">
        <f>H105</f>
        <v>70166</v>
      </c>
      <c r="O105" s="61">
        <f>I105-SUM(J105:N105)</f>
        <v>362524.76</v>
      </c>
      <c r="P105" s="17"/>
      <c r="Q105" s="78" t="s">
        <v>122</v>
      </c>
      <c r="R105" s="16">
        <v>400000</v>
      </c>
      <c r="S105" s="16">
        <v>8000</v>
      </c>
      <c r="T105" s="16">
        <f t="shared" ref="T105" si="76">R105-S105</f>
        <v>392000</v>
      </c>
      <c r="U105" s="78" t="s">
        <v>121</v>
      </c>
      <c r="V105" s="12"/>
    </row>
    <row r="106" spans="1:23" ht="30" customHeight="1" x14ac:dyDescent="0.25">
      <c r="A106" s="34"/>
      <c r="B106" s="16"/>
      <c r="C106" s="21">
        <v>45345</v>
      </c>
      <c r="D106" s="20">
        <v>62</v>
      </c>
      <c r="E106" s="16">
        <v>259875</v>
      </c>
      <c r="F106" s="16"/>
      <c r="G106" s="16">
        <f t="shared" si="74"/>
        <v>259875</v>
      </c>
      <c r="H106" s="16">
        <f>ROUND(G106*18%,)</f>
        <v>46778</v>
      </c>
      <c r="I106" s="16">
        <f>ROUND(G106+H106,)</f>
        <v>306653</v>
      </c>
      <c r="J106" s="16">
        <f t="shared" si="75"/>
        <v>5197.5</v>
      </c>
      <c r="K106" s="16">
        <f>ROUND(G106*5%,)</f>
        <v>12994</v>
      </c>
      <c r="L106" s="16"/>
      <c r="M106" s="16"/>
      <c r="N106" s="16">
        <f>H106</f>
        <v>46778</v>
      </c>
      <c r="O106" s="85">
        <f>I106-SUM(J106:N106)</f>
        <v>241683.5</v>
      </c>
      <c r="P106" s="79" t="s">
        <v>179</v>
      </c>
      <c r="Q106" s="16"/>
      <c r="R106" s="16"/>
      <c r="S106" s="16"/>
      <c r="T106" s="16"/>
      <c r="U106" s="16"/>
      <c r="V106" s="12"/>
    </row>
    <row r="107" spans="1:23" ht="30" customHeight="1" x14ac:dyDescent="0.25">
      <c r="A107" s="34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3"/>
      <c r="Q107" s="16"/>
      <c r="R107" s="16"/>
      <c r="S107" s="16"/>
      <c r="T107" s="16"/>
      <c r="U107" s="16"/>
      <c r="V107" s="12"/>
    </row>
    <row r="108" spans="1:23" ht="30" customHeight="1" x14ac:dyDescent="0.25">
      <c r="A108" s="73">
        <v>61509</v>
      </c>
      <c r="B108" s="74"/>
      <c r="C108" s="74"/>
      <c r="D108" s="74"/>
      <c r="E108" s="74"/>
      <c r="F108" s="74"/>
      <c r="G108" s="74"/>
      <c r="H108" s="75"/>
      <c r="I108" s="74"/>
      <c r="J108" s="75"/>
      <c r="K108" s="75"/>
      <c r="L108" s="75"/>
      <c r="M108" s="75"/>
      <c r="N108" s="75"/>
      <c r="O108" s="74"/>
      <c r="P108" s="76">
        <f>A108</f>
        <v>61509</v>
      </c>
      <c r="Q108" s="74"/>
      <c r="R108" s="74"/>
      <c r="S108" s="75"/>
      <c r="T108" s="74"/>
      <c r="U108" s="74"/>
      <c r="V108" s="37">
        <f>SUM(O105:O106)-SUM(T105:T106)</f>
        <v>212208.26</v>
      </c>
    </row>
    <row r="109" spans="1:23" ht="47.25" x14ac:dyDescent="0.25">
      <c r="A109" s="32">
        <v>3780000</v>
      </c>
      <c r="B109" s="13" t="s">
        <v>175</v>
      </c>
      <c r="C109" s="16" t="s">
        <v>135</v>
      </c>
      <c r="D109" s="20">
        <v>45</v>
      </c>
      <c r="E109" s="16">
        <v>945000</v>
      </c>
      <c r="F109" s="16">
        <v>0</v>
      </c>
      <c r="G109" s="16">
        <f t="shared" ref="G109:G110" si="77">E109-F109</f>
        <v>945000</v>
      </c>
      <c r="H109" s="16">
        <f>G109*18%</f>
        <v>170100</v>
      </c>
      <c r="I109" s="16">
        <f>ROUND(G109+H109,)</f>
        <v>1115100</v>
      </c>
      <c r="J109" s="16">
        <f>G109*2%</f>
        <v>18900</v>
      </c>
      <c r="K109" s="16">
        <f>ROUND(G109*5%,)</f>
        <v>47250</v>
      </c>
      <c r="L109" s="16"/>
      <c r="M109" s="16"/>
      <c r="N109" s="16">
        <f>H109</f>
        <v>170100</v>
      </c>
      <c r="O109" s="86">
        <f>I109-SUM(J109:N109)</f>
        <v>878850</v>
      </c>
      <c r="P109" s="17" t="s">
        <v>180</v>
      </c>
      <c r="Q109" s="16" t="s">
        <v>106</v>
      </c>
      <c r="R109" s="16">
        <v>300000</v>
      </c>
      <c r="S109" s="16">
        <f t="shared" ref="S109:S110" si="78">R109*$S$5</f>
        <v>6000</v>
      </c>
      <c r="T109" s="16">
        <f t="shared" ref="T109:T111" si="79">R109-S109</f>
        <v>294000</v>
      </c>
      <c r="U109" s="12" t="s">
        <v>105</v>
      </c>
      <c r="V109" s="12"/>
    </row>
    <row r="110" spans="1:23" ht="30" customHeight="1" x14ac:dyDescent="0.25">
      <c r="A110" s="32"/>
      <c r="B110" s="13"/>
      <c r="C110" s="16"/>
      <c r="D110" s="20"/>
      <c r="E110" s="16"/>
      <c r="F110" s="16">
        <v>0</v>
      </c>
      <c r="G110" s="16">
        <f t="shared" si="77"/>
        <v>0</v>
      </c>
      <c r="H110" s="16">
        <f>ROUND(G110*18%,)</f>
        <v>0</v>
      </c>
      <c r="I110" s="16">
        <f>ROUND(G110+H110,)</f>
        <v>0</v>
      </c>
      <c r="J110" s="16">
        <f>G110*2%</f>
        <v>0</v>
      </c>
      <c r="K110" s="16">
        <f>ROUND(G110*5%,)</f>
        <v>0</v>
      </c>
      <c r="L110" s="16"/>
      <c r="M110" s="16">
        <f>G110*10%</f>
        <v>0</v>
      </c>
      <c r="N110" s="16">
        <f>H110</f>
        <v>0</v>
      </c>
      <c r="O110" s="16">
        <f>I110-SUM(J110:N110)</f>
        <v>0</v>
      </c>
      <c r="P110" s="23"/>
      <c r="Q110" s="16" t="s">
        <v>101</v>
      </c>
      <c r="R110" s="16">
        <v>300000</v>
      </c>
      <c r="S110" s="16">
        <f t="shared" si="78"/>
        <v>6000</v>
      </c>
      <c r="T110" s="16">
        <f t="shared" si="79"/>
        <v>294000</v>
      </c>
      <c r="U110" s="12" t="s">
        <v>133</v>
      </c>
      <c r="V110" s="12"/>
    </row>
    <row r="111" spans="1:23" ht="30" customHeight="1" x14ac:dyDescent="0.25">
      <c r="A111" s="34"/>
      <c r="B111" s="1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3"/>
      <c r="Q111" s="16"/>
      <c r="R111" s="16">
        <v>600000</v>
      </c>
      <c r="S111" s="16">
        <v>12000</v>
      </c>
      <c r="T111" s="16">
        <f t="shared" si="79"/>
        <v>588000</v>
      </c>
      <c r="U111" s="12" t="s">
        <v>134</v>
      </c>
      <c r="V111" s="12"/>
    </row>
    <row r="112" spans="1:23" ht="30" customHeight="1" x14ac:dyDescent="0.25">
      <c r="A112" s="73">
        <v>61688</v>
      </c>
      <c r="B112" s="74"/>
      <c r="C112" s="74"/>
      <c r="D112" s="74"/>
      <c r="E112" s="74"/>
      <c r="F112" s="74"/>
      <c r="G112" s="74"/>
      <c r="H112" s="75"/>
      <c r="I112" s="74"/>
      <c r="J112" s="75"/>
      <c r="K112" s="75"/>
      <c r="L112" s="75"/>
      <c r="M112" s="75"/>
      <c r="N112" s="75"/>
      <c r="O112" s="74"/>
      <c r="P112" s="76">
        <f>A112</f>
        <v>61688</v>
      </c>
      <c r="Q112" s="74"/>
      <c r="R112" s="74"/>
      <c r="S112" s="75"/>
      <c r="T112" s="74"/>
      <c r="U112" s="74"/>
      <c r="V112" s="88">
        <f>SUM(O109:O111)-SUM(T109:T111)</f>
        <v>-297150</v>
      </c>
    </row>
    <row r="113" spans="1:22" ht="30" customHeight="1" x14ac:dyDescent="0.25">
      <c r="A113" s="32">
        <v>2598750</v>
      </c>
      <c r="B113" s="13" t="s">
        <v>166</v>
      </c>
      <c r="C113" s="14"/>
      <c r="D113" s="20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7"/>
      <c r="Q113" s="16" t="s">
        <v>99</v>
      </c>
      <c r="R113" s="16">
        <v>300000</v>
      </c>
      <c r="S113" s="16">
        <f t="shared" ref="S113" si="80">R113*$S$5</f>
        <v>6000</v>
      </c>
      <c r="T113" s="16">
        <f>R113-S113</f>
        <v>294000</v>
      </c>
      <c r="U113" s="12" t="s">
        <v>98</v>
      </c>
      <c r="V113" s="12"/>
    </row>
    <row r="114" spans="1:22" ht="30" customHeight="1" x14ac:dyDescent="0.25">
      <c r="A114" s="32"/>
      <c r="B114" s="13"/>
      <c r="C114" s="14"/>
      <c r="D114" s="20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7"/>
      <c r="Q114" s="16"/>
      <c r="R114" s="16">
        <v>300000</v>
      </c>
      <c r="S114" s="16">
        <v>6000</v>
      </c>
      <c r="T114" s="87"/>
      <c r="U114" s="12" t="s">
        <v>165</v>
      </c>
      <c r="V114" s="12"/>
    </row>
    <row r="115" spans="1:22" ht="30" customHeight="1" x14ac:dyDescent="0.25">
      <c r="A115" s="38"/>
      <c r="B115" s="39"/>
      <c r="C115" s="39"/>
      <c r="D115" s="39"/>
      <c r="E115" s="39"/>
      <c r="F115" s="39"/>
      <c r="G115" s="39"/>
      <c r="H115" s="40"/>
      <c r="I115" s="39"/>
      <c r="J115" s="40"/>
      <c r="K115" s="40"/>
      <c r="L115" s="40"/>
      <c r="M115" s="40"/>
      <c r="N115" s="40"/>
      <c r="O115" s="39"/>
      <c r="P115" s="41"/>
      <c r="Q115" s="39"/>
      <c r="R115" s="39"/>
      <c r="S115" s="40"/>
      <c r="T115" s="39"/>
      <c r="U115" s="39"/>
      <c r="V115" s="90">
        <f>SUM(O113:O114)-SUM(T113:T114)</f>
        <v>-294000</v>
      </c>
    </row>
    <row r="116" spans="1:22" ht="30" customHeight="1" x14ac:dyDescent="0.25">
      <c r="A116" s="32"/>
      <c r="B116" s="13"/>
      <c r="C116" s="14"/>
      <c r="D116" s="2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7"/>
      <c r="Q116" s="16"/>
      <c r="R116" s="16"/>
      <c r="S116" s="16"/>
      <c r="T116" s="16"/>
      <c r="U116" s="12"/>
      <c r="V116" s="12"/>
    </row>
    <row r="117" spans="1:22" ht="30" customHeight="1" x14ac:dyDescent="0.25">
      <c r="A117" s="32"/>
      <c r="B117" s="13"/>
      <c r="C117" s="14"/>
      <c r="D117" s="20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7"/>
      <c r="Q117" s="16"/>
      <c r="R117" s="16"/>
      <c r="S117" s="16"/>
      <c r="T117" s="16"/>
      <c r="U117" s="12"/>
      <c r="V117" s="12"/>
    </row>
    <row r="118" spans="1:22" ht="30" customHeight="1" x14ac:dyDescent="0.25">
      <c r="A118" s="32"/>
      <c r="B118" s="13"/>
      <c r="C118" s="14"/>
      <c r="D118" s="20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7"/>
      <c r="Q118" s="16"/>
      <c r="R118" s="16"/>
      <c r="S118" s="16"/>
      <c r="T118" s="16"/>
      <c r="U118" s="12"/>
      <c r="V118" s="12"/>
    </row>
    <row r="119" spans="1:22" ht="30" customHeight="1" x14ac:dyDescent="0.25">
      <c r="A119" s="32"/>
      <c r="B119" s="13"/>
      <c r="C119" s="14"/>
      <c r="D119" s="20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7"/>
      <c r="Q119" s="16"/>
      <c r="R119" s="16"/>
      <c r="S119" s="16"/>
      <c r="T119" s="16"/>
      <c r="U119" s="12"/>
      <c r="V119" s="12"/>
    </row>
    <row r="120" spans="1:22" ht="30" customHeight="1" thickBot="1" x14ac:dyDescent="0.3">
      <c r="A120" s="38"/>
      <c r="B120" s="39"/>
      <c r="C120" s="39"/>
      <c r="D120" s="39"/>
      <c r="E120" s="39"/>
      <c r="F120" s="39"/>
      <c r="G120" s="39"/>
      <c r="H120" s="40"/>
      <c r="I120" s="39"/>
      <c r="J120" s="40"/>
      <c r="K120" s="40"/>
      <c r="L120" s="40"/>
      <c r="M120" s="40"/>
      <c r="N120" s="40"/>
      <c r="O120" s="39"/>
      <c r="P120" s="81"/>
      <c r="Q120" s="82"/>
      <c r="R120" s="39"/>
      <c r="S120" s="40"/>
      <c r="T120" s="39"/>
      <c r="U120" s="83"/>
      <c r="V120" s="84"/>
    </row>
    <row r="121" spans="1:22" ht="30" customHeight="1" x14ac:dyDescent="0.25">
      <c r="A121" s="57"/>
      <c r="B121" s="58" t="s">
        <v>94</v>
      </c>
      <c r="C121" s="58" t="s">
        <v>94</v>
      </c>
      <c r="D121" s="58"/>
      <c r="E121" s="50">
        <f t="shared" ref="E121:F121" si="81">SUM(E7:E120)</f>
        <v>16643783.5</v>
      </c>
      <c r="F121" s="50">
        <f t="shared" si="81"/>
        <v>350980</v>
      </c>
      <c r="G121" s="50">
        <f>SUM(G7:G120)</f>
        <v>14817080.5</v>
      </c>
      <c r="H121" s="50">
        <f t="shared" ref="H121:I121" si="82">SUM(H7:H120)</f>
        <v>2667078.5</v>
      </c>
      <c r="I121" s="50">
        <f t="shared" si="82"/>
        <v>17484160</v>
      </c>
      <c r="J121" s="50">
        <f t="shared" ref="J121:O121" si="83">SUM(J7:J114)</f>
        <v>296341.61</v>
      </c>
      <c r="K121" s="50">
        <f t="shared" si="83"/>
        <v>740856.5</v>
      </c>
      <c r="L121" s="50">
        <f t="shared" si="83"/>
        <v>0</v>
      </c>
      <c r="M121" s="50">
        <f t="shared" si="83"/>
        <v>726891.2</v>
      </c>
      <c r="N121" s="50">
        <f t="shared" si="83"/>
        <v>2620300</v>
      </c>
      <c r="O121" s="50">
        <f t="shared" si="83"/>
        <v>13099770.689999999</v>
      </c>
      <c r="P121" s="54"/>
      <c r="Q121" s="44" t="s">
        <v>17</v>
      </c>
      <c r="R121" s="50">
        <f>SUM(R7:R114)</f>
        <v>19022281</v>
      </c>
      <c r="S121" s="50">
        <f>SUM(S7:S114)</f>
        <v>367000</v>
      </c>
      <c r="T121" s="50">
        <f>SUM(T7:T114)</f>
        <v>17478281</v>
      </c>
      <c r="U121" s="51"/>
      <c r="V121" s="50">
        <f>SUM(V7:V115)</f>
        <v>-4378510.3100000005</v>
      </c>
    </row>
    <row r="122" spans="1:22" ht="30" customHeight="1" x14ac:dyDescent="0.25">
      <c r="A122" s="34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55"/>
      <c r="Q122" s="45"/>
      <c r="R122" s="42"/>
      <c r="S122" s="48"/>
      <c r="T122" s="16"/>
      <c r="U122" s="52"/>
      <c r="V122" s="12"/>
    </row>
    <row r="123" spans="1:22" ht="30" customHeight="1" x14ac:dyDescent="0.25">
      <c r="A123" s="34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55"/>
      <c r="Q123" s="46" t="s">
        <v>18</v>
      </c>
      <c r="R123" s="42"/>
      <c r="S123" s="48"/>
      <c r="T123" s="23">
        <f>O121-T121</f>
        <v>-4378510.3100000005</v>
      </c>
      <c r="U123" s="52"/>
      <c r="V123" s="12"/>
    </row>
    <row r="124" spans="1:22" ht="30" customHeight="1" thickBot="1" x14ac:dyDescent="0.3">
      <c r="A124" s="3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56"/>
      <c r="Q124" s="47"/>
      <c r="R124" s="43"/>
      <c r="S124" s="49"/>
      <c r="T124" s="25"/>
      <c r="U124" s="53"/>
      <c r="V124" s="25"/>
    </row>
    <row r="126" spans="1:22" ht="30" customHeight="1" x14ac:dyDescent="0.25">
      <c r="B126" s="109"/>
      <c r="C126" s="110" t="s">
        <v>197</v>
      </c>
    </row>
    <row r="127" spans="1:22" ht="30" customHeight="1" x14ac:dyDescent="0.25">
      <c r="C127" s="110"/>
    </row>
    <row r="128" spans="1:22" ht="30" customHeight="1" thickBot="1" x14ac:dyDescent="0.3">
      <c r="C128" s="110"/>
    </row>
    <row r="129" spans="5:11" ht="30" customHeight="1" x14ac:dyDescent="0.25">
      <c r="E129" s="170" t="s">
        <v>193</v>
      </c>
      <c r="F129" s="171"/>
      <c r="G129" s="171"/>
      <c r="H129" s="171"/>
      <c r="I129" s="171"/>
      <c r="J129" s="172"/>
      <c r="K129" s="105">
        <f>G121-J121-K121-M121</f>
        <v>13052991.190000001</v>
      </c>
    </row>
    <row r="130" spans="5:11" ht="30" customHeight="1" x14ac:dyDescent="0.25">
      <c r="E130" s="173" t="s">
        <v>194</v>
      </c>
      <c r="F130" s="174"/>
      <c r="G130" s="174"/>
      <c r="H130" s="174"/>
      <c r="I130" s="174"/>
      <c r="J130" s="175"/>
      <c r="K130" s="106">
        <f>T121</f>
        <v>17478281</v>
      </c>
    </row>
    <row r="131" spans="5:11" ht="30" customHeight="1" thickBot="1" x14ac:dyDescent="0.3">
      <c r="E131" s="176" t="s">
        <v>195</v>
      </c>
      <c r="F131" s="177"/>
      <c r="G131" s="177"/>
      <c r="H131" s="177"/>
      <c r="I131" s="177"/>
      <c r="J131" s="178"/>
      <c r="K131" s="107">
        <f>K129-K130</f>
        <v>-4425289.8099999987</v>
      </c>
    </row>
  </sheetData>
  <mergeCells count="3">
    <mergeCell ref="E129:J129"/>
    <mergeCell ref="E130:J130"/>
    <mergeCell ref="E131:J131"/>
  </mergeCells>
  <pageMargins left="0.70866141732283472" right="0.70866141732283472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C12"/>
  <sheetViews>
    <sheetView workbookViewId="0">
      <selection activeCell="C21" sqref="C21"/>
    </sheetView>
  </sheetViews>
  <sheetFormatPr defaultRowHeight="15" x14ac:dyDescent="0.25"/>
  <cols>
    <col min="2" max="2" width="18.7109375" style="92" bestFit="1" customWidth="1"/>
    <col min="3" max="3" width="68.7109375" bestFit="1" customWidth="1"/>
  </cols>
  <sheetData>
    <row r="2" spans="1:3" x14ac:dyDescent="0.25">
      <c r="A2" s="103" t="s">
        <v>191</v>
      </c>
    </row>
    <row r="3" spans="1:3" ht="15.75" thickBot="1" x14ac:dyDescent="0.3"/>
    <row r="4" spans="1:3" x14ac:dyDescent="0.25">
      <c r="A4" s="95" t="s">
        <v>181</v>
      </c>
      <c r="B4" s="96" t="s">
        <v>182</v>
      </c>
      <c r="C4" s="97" t="s">
        <v>189</v>
      </c>
    </row>
    <row r="5" spans="1:3" x14ac:dyDescent="0.25">
      <c r="A5" s="98">
        <v>1</v>
      </c>
      <c r="B5" s="91">
        <v>61509</v>
      </c>
      <c r="C5" s="99" t="s">
        <v>183</v>
      </c>
    </row>
    <row r="6" spans="1:3" x14ac:dyDescent="0.25">
      <c r="A6" s="98">
        <v>2</v>
      </c>
      <c r="B6" s="91" t="s">
        <v>192</v>
      </c>
      <c r="C6" s="99" t="s">
        <v>184</v>
      </c>
    </row>
    <row r="7" spans="1:3" x14ac:dyDescent="0.25">
      <c r="A7" s="98">
        <v>3</v>
      </c>
      <c r="B7" s="91" t="s">
        <v>186</v>
      </c>
      <c r="C7" s="99" t="s">
        <v>185</v>
      </c>
    </row>
    <row r="8" spans="1:3" x14ac:dyDescent="0.25">
      <c r="A8" s="98">
        <v>4</v>
      </c>
      <c r="B8" s="91"/>
      <c r="C8" s="99" t="s">
        <v>190</v>
      </c>
    </row>
    <row r="9" spans="1:3" ht="15.75" thickBot="1" x14ac:dyDescent="0.3">
      <c r="A9" s="100">
        <v>5</v>
      </c>
      <c r="B9" s="101"/>
      <c r="C9" s="102" t="s">
        <v>187</v>
      </c>
    </row>
    <row r="12" spans="1:3" x14ac:dyDescent="0.25">
      <c r="A12" s="93" t="s">
        <v>188</v>
      </c>
      <c r="B12" s="94"/>
      <c r="C12" s="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 filterMode="1"/>
  <dimension ref="A1:Y285"/>
  <sheetViews>
    <sheetView zoomScale="85" zoomScaleNormal="85" workbookViewId="0">
      <selection activeCell="E273" sqref="E273"/>
    </sheetView>
  </sheetViews>
  <sheetFormatPr defaultColWidth="9" defaultRowHeight="15.75" x14ac:dyDescent="0.25"/>
  <cols>
    <col min="1" max="1" width="11.7109375" style="2" bestFit="1" customWidth="1"/>
    <col min="2" max="2" width="39.5703125" style="1" customWidth="1"/>
    <col min="3" max="3" width="13.7109375" style="1" bestFit="1" customWidth="1"/>
    <col min="4" max="4" width="11.85546875" style="112" customWidth="1"/>
    <col min="5" max="5" width="17.42578125" style="1" customWidth="1"/>
    <col min="6" max="6" width="13.7109375" style="1" bestFit="1" customWidth="1"/>
    <col min="7" max="7" width="16.5703125" style="1" bestFit="1" customWidth="1"/>
    <col min="8" max="8" width="13.7109375" style="7" bestFit="1" customWidth="1"/>
    <col min="9" max="9" width="15.28515625" style="7" bestFit="1" customWidth="1"/>
    <col min="10" max="10" width="13.7109375" style="1" bestFit="1" customWidth="1"/>
    <col min="11" max="11" width="15" style="1" bestFit="1" customWidth="1"/>
    <col min="12" max="12" width="19.85546875" style="1" bestFit="1" customWidth="1"/>
    <col min="13" max="13" width="15.28515625" style="1" bestFit="1" customWidth="1"/>
    <col min="14" max="14" width="15" style="1" bestFit="1" customWidth="1"/>
    <col min="15" max="15" width="20.85546875" style="1" customWidth="1"/>
    <col min="16" max="16" width="16.7109375" style="1" bestFit="1" customWidth="1"/>
    <col min="17" max="17" width="20.7109375" style="2" bestFit="1" customWidth="1"/>
    <col min="18" max="18" width="15.5703125" style="1" customWidth="1"/>
    <col min="19" max="19" width="16.7109375" style="1" bestFit="1" customWidth="1"/>
    <col min="20" max="20" width="16.42578125" style="1" bestFit="1" customWidth="1"/>
    <col min="21" max="21" width="16.7109375" style="1" bestFit="1" customWidth="1"/>
    <col min="22" max="22" width="101.7109375" style="1" bestFit="1" customWidth="1"/>
    <col min="23" max="23" width="16.7109375" style="1" customWidth="1"/>
    <col min="24" max="24" width="28.7109375" style="1" bestFit="1" customWidth="1"/>
    <col min="25" max="25" width="2.28515625" style="1" bestFit="1" customWidth="1"/>
    <col min="26" max="16384" width="9" style="1"/>
  </cols>
  <sheetData>
    <row r="1" spans="1:23" ht="26.25" x14ac:dyDescent="0.25">
      <c r="B1" s="64" t="s">
        <v>104</v>
      </c>
      <c r="E1" s="3"/>
      <c r="F1" s="3"/>
      <c r="G1" s="3"/>
      <c r="H1" s="4"/>
      <c r="I1" s="4"/>
    </row>
    <row r="2" spans="1:23" ht="26.25" hidden="1" x14ac:dyDescent="0.25">
      <c r="A2" s="29"/>
      <c r="B2" s="62" t="s">
        <v>0</v>
      </c>
      <c r="C2" s="5"/>
      <c r="D2" s="113" t="s">
        <v>31</v>
      </c>
      <c r="G2" s="6"/>
      <c r="I2" s="63" t="s">
        <v>103</v>
      </c>
      <c r="J2" s="60"/>
    </row>
    <row r="3" spans="1:23" hidden="1" x14ac:dyDescent="0.25">
      <c r="A3" s="30"/>
      <c r="B3" s="8"/>
      <c r="C3" s="8"/>
      <c r="D3" s="114"/>
      <c r="E3" s="8"/>
      <c r="H3" s="4"/>
      <c r="I3" s="4"/>
      <c r="Q3" s="118">
        <v>45474</v>
      </c>
      <c r="S3" s="9"/>
      <c r="T3" s="9"/>
      <c r="U3" s="9"/>
      <c r="V3" s="9"/>
      <c r="W3" s="9"/>
    </row>
    <row r="4" spans="1:23" ht="78.75" hidden="1" customHeight="1" x14ac:dyDescent="0.25">
      <c r="A4" s="57"/>
      <c r="B4" s="65" t="s">
        <v>1</v>
      </c>
      <c r="C4" s="57" t="s">
        <v>2</v>
      </c>
      <c r="D4" s="57" t="s">
        <v>3</v>
      </c>
      <c r="E4" s="66" t="s">
        <v>4</v>
      </c>
      <c r="F4" s="57" t="s">
        <v>13</v>
      </c>
      <c r="G4" s="67" t="s">
        <v>14</v>
      </c>
      <c r="H4" s="68" t="s">
        <v>5</v>
      </c>
      <c r="I4" s="69" t="s">
        <v>6</v>
      </c>
      <c r="J4" s="11" t="s">
        <v>97</v>
      </c>
      <c r="K4" s="70" t="s">
        <v>12</v>
      </c>
      <c r="L4" s="70" t="s">
        <v>15</v>
      </c>
      <c r="M4" s="70" t="s">
        <v>16</v>
      </c>
      <c r="N4" s="70" t="s">
        <v>7</v>
      </c>
      <c r="O4" s="70" t="s">
        <v>19</v>
      </c>
      <c r="P4" s="70" t="s">
        <v>8</v>
      </c>
      <c r="Q4" s="71"/>
      <c r="R4" s="11" t="s">
        <v>9</v>
      </c>
      <c r="S4" s="11" t="s">
        <v>6</v>
      </c>
      <c r="T4" s="11" t="s">
        <v>20</v>
      </c>
      <c r="U4" s="11" t="s">
        <v>10</v>
      </c>
      <c r="V4" s="70" t="s">
        <v>11</v>
      </c>
      <c r="W4" s="11" t="s">
        <v>102</v>
      </c>
    </row>
    <row r="5" spans="1:23" hidden="1" x14ac:dyDescent="0.25">
      <c r="A5" s="34"/>
      <c r="B5" s="16"/>
      <c r="C5" s="16"/>
      <c r="D5" s="115"/>
      <c r="E5" s="16"/>
      <c r="F5" s="16"/>
      <c r="G5" s="16"/>
      <c r="H5" s="72">
        <v>0.18</v>
      </c>
      <c r="I5" s="16"/>
      <c r="J5" s="72">
        <v>0.02</v>
      </c>
      <c r="K5" s="72">
        <v>0.05</v>
      </c>
      <c r="L5" s="72">
        <v>0.1</v>
      </c>
      <c r="M5" s="72">
        <v>0.1</v>
      </c>
      <c r="N5" s="72">
        <v>0.18</v>
      </c>
      <c r="O5" s="72"/>
      <c r="P5" s="16"/>
      <c r="Q5" s="17"/>
      <c r="R5" s="16"/>
      <c r="S5" s="16"/>
      <c r="T5" s="72">
        <v>0.02</v>
      </c>
      <c r="U5" s="16"/>
      <c r="V5" s="16"/>
      <c r="W5" s="16"/>
    </row>
    <row r="6" spans="1:23" hidden="1" x14ac:dyDescent="0.25">
      <c r="A6" s="73">
        <v>59061</v>
      </c>
      <c r="B6" s="74"/>
      <c r="C6" s="74"/>
      <c r="D6" s="116"/>
      <c r="E6" s="74"/>
      <c r="F6" s="74"/>
      <c r="G6" s="74"/>
      <c r="H6" s="75"/>
      <c r="I6" s="74"/>
      <c r="J6" s="75"/>
      <c r="K6" s="75"/>
      <c r="L6" s="75"/>
      <c r="M6" s="75"/>
      <c r="N6" s="75"/>
      <c r="O6" s="75"/>
      <c r="P6" s="74"/>
      <c r="Q6" s="119">
        <f>A6</f>
        <v>59061</v>
      </c>
      <c r="R6" s="74"/>
      <c r="S6" s="74"/>
      <c r="T6" s="75"/>
      <c r="U6" s="74"/>
      <c r="V6" s="74"/>
      <c r="W6" s="74"/>
    </row>
    <row r="7" spans="1:23" hidden="1" x14ac:dyDescent="0.25">
      <c r="A7" s="31">
        <v>3500000</v>
      </c>
      <c r="B7" s="13" t="s">
        <v>148</v>
      </c>
      <c r="C7" s="14">
        <v>45210</v>
      </c>
      <c r="D7" s="15">
        <v>8</v>
      </c>
      <c r="E7" s="16">
        <v>525000</v>
      </c>
      <c r="F7" s="16">
        <v>95375</v>
      </c>
      <c r="G7" s="16">
        <f>E7-F7</f>
        <v>429625</v>
      </c>
      <c r="H7" s="16">
        <f>ROUND(G7*H5,0)</f>
        <v>77333</v>
      </c>
      <c r="I7" s="16">
        <f>ROUND(G7+H7,)</f>
        <v>506958</v>
      </c>
      <c r="J7" s="16">
        <f>G7*2%</f>
        <v>8592.5</v>
      </c>
      <c r="K7" s="16">
        <f>G7*$K$5</f>
        <v>21481.25</v>
      </c>
      <c r="L7" s="16">
        <v>0</v>
      </c>
      <c r="M7" s="16">
        <v>0</v>
      </c>
      <c r="N7" s="122">
        <f>H7</f>
        <v>77333</v>
      </c>
      <c r="O7" s="16">
        <v>0</v>
      </c>
      <c r="P7" s="61">
        <f>ROUND(I7-SUM(J7:O7),0)</f>
        <v>399551</v>
      </c>
      <c r="Q7" s="17"/>
      <c r="R7" s="16" t="s">
        <v>24</v>
      </c>
      <c r="S7" s="16">
        <v>200000</v>
      </c>
      <c r="T7" s="16">
        <f>S7*$T$5</f>
        <v>4000</v>
      </c>
      <c r="U7" s="16">
        <f>S7-T7</f>
        <v>196000</v>
      </c>
      <c r="V7" s="18" t="s">
        <v>21</v>
      </c>
      <c r="W7" s="16">
        <f>SUM(P7:P21)-SUM(U7:U21)</f>
        <v>193088.5</v>
      </c>
    </row>
    <row r="8" spans="1:23" hidden="1" x14ac:dyDescent="0.25">
      <c r="A8" s="31"/>
      <c r="B8" s="13" t="s">
        <v>148</v>
      </c>
      <c r="C8" s="14">
        <v>45227</v>
      </c>
      <c r="D8" s="15">
        <v>19</v>
      </c>
      <c r="E8" s="16">
        <v>525000</v>
      </c>
      <c r="F8" s="16">
        <v>57225</v>
      </c>
      <c r="G8" s="16">
        <f>E8-F8</f>
        <v>467775</v>
      </c>
      <c r="H8" s="16">
        <f>ROUND(G8*H5,0)</f>
        <v>84200</v>
      </c>
      <c r="I8" s="16">
        <f>ROUND(G8+H8,)</f>
        <v>551975</v>
      </c>
      <c r="J8" s="16">
        <f t="shared" ref="J8:J9" si="0">G8*2%</f>
        <v>9355.5</v>
      </c>
      <c r="K8" s="16">
        <f>G8*$K$5</f>
        <v>23388.75</v>
      </c>
      <c r="L8" s="12"/>
      <c r="M8" s="122">
        <f>G8*10%</f>
        <v>46777.5</v>
      </c>
      <c r="N8" s="122">
        <f>H8</f>
        <v>84200</v>
      </c>
      <c r="O8" s="16">
        <v>0</v>
      </c>
      <c r="P8" s="61">
        <f>ROUND(I8-SUM(J8:O8),0)</f>
        <v>388253</v>
      </c>
      <c r="Q8" s="17"/>
      <c r="R8" s="16" t="s">
        <v>25</v>
      </c>
      <c r="S8" s="16">
        <v>200000</v>
      </c>
      <c r="T8" s="16">
        <f t="shared" ref="T8:T14" si="1">S8*$T$5</f>
        <v>4000</v>
      </c>
      <c r="U8" s="16">
        <f t="shared" ref="U8:U17" si="2">S8-T8</f>
        <v>196000</v>
      </c>
      <c r="V8" s="19" t="s">
        <v>22</v>
      </c>
      <c r="W8" s="16"/>
    </row>
    <row r="9" spans="1:23" hidden="1" x14ac:dyDescent="0.25">
      <c r="A9" s="31"/>
      <c r="B9" s="13" t="s">
        <v>148</v>
      </c>
      <c r="C9" s="14">
        <v>45237</v>
      </c>
      <c r="D9" s="15">
        <v>26</v>
      </c>
      <c r="E9" s="16">
        <v>350000</v>
      </c>
      <c r="F9" s="16">
        <v>38150</v>
      </c>
      <c r="G9" s="16">
        <f>E9-F9</f>
        <v>311850</v>
      </c>
      <c r="H9" s="16">
        <f>ROUND(G9*H5,0)</f>
        <v>56133</v>
      </c>
      <c r="I9" s="16">
        <f>ROUND(G9+H9,)</f>
        <v>367983</v>
      </c>
      <c r="J9" s="16">
        <f t="shared" si="0"/>
        <v>6237</v>
      </c>
      <c r="K9" s="16">
        <f>G9*$K$5</f>
        <v>15592.5</v>
      </c>
      <c r="L9" s="12"/>
      <c r="M9" s="122">
        <f>G9*10%</f>
        <v>31185</v>
      </c>
      <c r="N9" s="122">
        <f>H9</f>
        <v>56133</v>
      </c>
      <c r="O9" s="16">
        <v>0</v>
      </c>
      <c r="P9" s="61">
        <f>ROUND(I9-SUM(J9:O9),0)</f>
        <v>258836</v>
      </c>
      <c r="Q9" s="17"/>
      <c r="R9" s="16" t="s">
        <v>26</v>
      </c>
      <c r="S9" s="16">
        <v>200000</v>
      </c>
      <c r="T9" s="16">
        <f t="shared" si="1"/>
        <v>4000</v>
      </c>
      <c r="U9" s="16">
        <f t="shared" si="2"/>
        <v>196000</v>
      </c>
      <c r="V9" s="19" t="s">
        <v>23</v>
      </c>
      <c r="W9" s="16"/>
    </row>
    <row r="10" spans="1:23" hidden="1" x14ac:dyDescent="0.25">
      <c r="A10" s="32"/>
      <c r="B10" s="13" t="s">
        <v>42</v>
      </c>
      <c r="C10" s="14">
        <v>45250</v>
      </c>
      <c r="D10" s="20">
        <v>8</v>
      </c>
      <c r="E10" s="16">
        <f>N7</f>
        <v>77333</v>
      </c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22">
        <f>E10</f>
        <v>77333</v>
      </c>
      <c r="Q10" s="17"/>
      <c r="R10" s="16" t="s">
        <v>35</v>
      </c>
      <c r="S10" s="16">
        <v>250000</v>
      </c>
      <c r="T10" s="16">
        <f t="shared" si="1"/>
        <v>5000</v>
      </c>
      <c r="U10" s="16">
        <f t="shared" si="2"/>
        <v>245000</v>
      </c>
      <c r="V10" s="19" t="s">
        <v>34</v>
      </c>
      <c r="W10" s="16"/>
    </row>
    <row r="11" spans="1:23" hidden="1" x14ac:dyDescent="0.25">
      <c r="A11" s="32"/>
      <c r="B11" s="13" t="s">
        <v>42</v>
      </c>
      <c r="C11" s="14">
        <v>45227</v>
      </c>
      <c r="D11" s="20">
        <v>19</v>
      </c>
      <c r="E11" s="16">
        <f>N8</f>
        <v>84200</v>
      </c>
      <c r="F11" s="12"/>
      <c r="G11" s="16"/>
      <c r="H11" s="16"/>
      <c r="I11" s="16"/>
      <c r="J11" s="16"/>
      <c r="K11" s="16"/>
      <c r="L11" s="16"/>
      <c r="M11" s="16"/>
      <c r="N11" s="16"/>
      <c r="O11" s="16"/>
      <c r="P11" s="122">
        <f>E11</f>
        <v>84200</v>
      </c>
      <c r="Q11" s="17"/>
      <c r="R11" s="16" t="s">
        <v>48</v>
      </c>
      <c r="S11" s="16">
        <v>100000</v>
      </c>
      <c r="T11" s="16">
        <f t="shared" si="1"/>
        <v>2000</v>
      </c>
      <c r="U11" s="16">
        <f t="shared" si="2"/>
        <v>98000</v>
      </c>
      <c r="V11" s="19" t="s">
        <v>39</v>
      </c>
      <c r="W11" s="16"/>
    </row>
    <row r="12" spans="1:23" hidden="1" x14ac:dyDescent="0.25">
      <c r="A12" s="32"/>
      <c r="B12" s="13" t="s">
        <v>148</v>
      </c>
      <c r="C12" s="14">
        <v>45324</v>
      </c>
      <c r="D12" s="20">
        <v>49</v>
      </c>
      <c r="E12" s="16">
        <v>525000</v>
      </c>
      <c r="F12" s="12"/>
      <c r="G12" s="16">
        <f t="shared" ref="G12:G13" si="3">E12-F12</f>
        <v>525000</v>
      </c>
      <c r="H12" s="16">
        <f>G12*18%</f>
        <v>94500</v>
      </c>
      <c r="I12" s="16">
        <f t="shared" ref="I12:I13" si="4">ROUND(G12+H12,)</f>
        <v>619500</v>
      </c>
      <c r="J12" s="16">
        <f>G12*2%</f>
        <v>10500</v>
      </c>
      <c r="K12" s="16">
        <f t="shared" ref="K12:K13" si="5">G12*$K$5</f>
        <v>26250</v>
      </c>
      <c r="L12" s="16"/>
      <c r="M12" s="16">
        <v>0</v>
      </c>
      <c r="N12" s="122">
        <f t="shared" ref="N12:N13" si="6">H12</f>
        <v>94500</v>
      </c>
      <c r="O12" s="16">
        <v>0</v>
      </c>
      <c r="P12" s="61">
        <f t="shared" ref="P12:P13" si="7">ROUND(I12-SUM(J12:O12),0)</f>
        <v>488250</v>
      </c>
      <c r="Q12" s="17"/>
      <c r="R12" s="16" t="s">
        <v>49</v>
      </c>
      <c r="S12" s="16">
        <v>200000</v>
      </c>
      <c r="T12" s="16">
        <f t="shared" si="1"/>
        <v>4000</v>
      </c>
      <c r="U12" s="16">
        <f t="shared" si="2"/>
        <v>196000</v>
      </c>
      <c r="V12" s="19" t="s">
        <v>40</v>
      </c>
      <c r="W12" s="16"/>
    </row>
    <row r="13" spans="1:23" hidden="1" x14ac:dyDescent="0.25">
      <c r="A13" s="32"/>
      <c r="B13" s="13" t="s">
        <v>148</v>
      </c>
      <c r="C13" s="14">
        <v>45334</v>
      </c>
      <c r="D13" s="20">
        <v>57</v>
      </c>
      <c r="E13" s="12">
        <v>525000</v>
      </c>
      <c r="F13" s="12"/>
      <c r="G13" s="16">
        <f t="shared" si="3"/>
        <v>525000</v>
      </c>
      <c r="H13" s="16">
        <f>G13*18%</f>
        <v>94500</v>
      </c>
      <c r="I13" s="16">
        <f t="shared" si="4"/>
        <v>619500</v>
      </c>
      <c r="J13" s="16">
        <f>G13*2%</f>
        <v>10500</v>
      </c>
      <c r="K13" s="16">
        <f t="shared" si="5"/>
        <v>26250</v>
      </c>
      <c r="L13" s="16"/>
      <c r="M13" s="16">
        <v>0</v>
      </c>
      <c r="N13" s="122">
        <f t="shared" si="6"/>
        <v>94500</v>
      </c>
      <c r="O13" s="16">
        <v>0</v>
      </c>
      <c r="P13" s="61">
        <f t="shared" si="7"/>
        <v>488250</v>
      </c>
      <c r="Q13" s="17"/>
      <c r="R13" s="16" t="s">
        <v>50</v>
      </c>
      <c r="S13" s="16">
        <v>200000</v>
      </c>
      <c r="T13" s="16">
        <f t="shared" si="1"/>
        <v>4000</v>
      </c>
      <c r="U13" s="16">
        <f t="shared" si="2"/>
        <v>196000</v>
      </c>
      <c r="V13" s="19" t="s">
        <v>41</v>
      </c>
      <c r="W13" s="16"/>
    </row>
    <row r="14" spans="1:23" hidden="1" x14ac:dyDescent="0.25">
      <c r="A14" s="33"/>
      <c r="B14" s="12" t="s">
        <v>42</v>
      </c>
      <c r="C14" s="132">
        <v>45348</v>
      </c>
      <c r="D14" s="20">
        <v>26</v>
      </c>
      <c r="E14" s="28">
        <f>H9</f>
        <v>56133</v>
      </c>
      <c r="F14" s="12"/>
      <c r="G14" s="16"/>
      <c r="H14" s="16"/>
      <c r="I14" s="16"/>
      <c r="J14" s="16"/>
      <c r="K14" s="16"/>
      <c r="L14" s="16"/>
      <c r="M14" s="16"/>
      <c r="N14" s="16"/>
      <c r="O14" s="16"/>
      <c r="P14" s="122">
        <f>E14</f>
        <v>56133</v>
      </c>
      <c r="Q14" s="17"/>
      <c r="R14" s="16" t="s">
        <v>51</v>
      </c>
      <c r="S14" s="16">
        <v>400000</v>
      </c>
      <c r="T14" s="16">
        <f t="shared" si="1"/>
        <v>8000</v>
      </c>
      <c r="U14" s="16">
        <f t="shared" si="2"/>
        <v>392000</v>
      </c>
      <c r="V14" s="19" t="s">
        <v>47</v>
      </c>
      <c r="W14" s="16"/>
    </row>
    <row r="15" spans="1:23" hidden="1" x14ac:dyDescent="0.25">
      <c r="A15" s="33"/>
      <c r="B15" s="12" t="s">
        <v>42</v>
      </c>
      <c r="C15" s="12"/>
      <c r="D15" s="20">
        <v>49</v>
      </c>
      <c r="E15" s="28">
        <f>N12</f>
        <v>94500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22">
        <f>E15</f>
        <v>94500</v>
      </c>
      <c r="Q15" s="17"/>
      <c r="R15" s="16" t="s">
        <v>71</v>
      </c>
      <c r="S15" s="16">
        <v>77333</v>
      </c>
      <c r="T15" s="16">
        <v>0</v>
      </c>
      <c r="U15" s="16">
        <f t="shared" si="2"/>
        <v>77333</v>
      </c>
      <c r="V15" s="19" t="s">
        <v>69</v>
      </c>
      <c r="W15" s="16"/>
    </row>
    <row r="16" spans="1:23" hidden="1" x14ac:dyDescent="0.25">
      <c r="A16" s="33"/>
      <c r="B16" s="12" t="s">
        <v>231</v>
      </c>
      <c r="C16" s="12"/>
      <c r="D16" s="20" t="s">
        <v>245</v>
      </c>
      <c r="E16" s="28">
        <f>M8+M9</f>
        <v>77962.5</v>
      </c>
      <c r="F16" s="12"/>
      <c r="G16" s="16"/>
      <c r="H16" s="16"/>
      <c r="I16" s="16"/>
      <c r="J16" s="16"/>
      <c r="K16" s="16"/>
      <c r="L16" s="16"/>
      <c r="M16" s="16"/>
      <c r="N16" s="16"/>
      <c r="O16" s="16"/>
      <c r="P16" s="122">
        <f>E16</f>
        <v>77962.5</v>
      </c>
      <c r="Q16" s="17"/>
      <c r="R16" s="16" t="s">
        <v>72</v>
      </c>
      <c r="S16" s="16">
        <v>300000</v>
      </c>
      <c r="T16" s="16">
        <f t="shared" ref="T16:T18" si="8">S16*$T$5</f>
        <v>6000</v>
      </c>
      <c r="U16" s="16">
        <f t="shared" si="2"/>
        <v>294000</v>
      </c>
      <c r="V16" s="19" t="s">
        <v>70</v>
      </c>
      <c r="W16" s="16"/>
    </row>
    <row r="17" spans="1:23" hidden="1" x14ac:dyDescent="0.25">
      <c r="A17" s="33"/>
      <c r="B17" s="13" t="s">
        <v>148</v>
      </c>
      <c r="C17" s="27">
        <v>45362</v>
      </c>
      <c r="D17" s="20">
        <v>74</v>
      </c>
      <c r="E17" s="12">
        <f>A7*5%</f>
        <v>175000</v>
      </c>
      <c r="F17" s="12"/>
      <c r="G17" s="16">
        <f t="shared" ref="G17" si="9">E17-F17</f>
        <v>175000</v>
      </c>
      <c r="H17" s="16">
        <f>G17*18%</f>
        <v>31500</v>
      </c>
      <c r="I17" s="16">
        <f t="shared" ref="I17" si="10">ROUND(G17+H17,)</f>
        <v>206500</v>
      </c>
      <c r="J17" s="16">
        <f>G17*$J$5</f>
        <v>3500</v>
      </c>
      <c r="K17" s="16">
        <f t="shared" ref="K17" si="11">G17*$K$5</f>
        <v>8750</v>
      </c>
      <c r="L17" s="16"/>
      <c r="M17" s="16">
        <v>0</v>
      </c>
      <c r="N17" s="122">
        <f t="shared" ref="N17" si="12">H17</f>
        <v>31500</v>
      </c>
      <c r="O17" s="16">
        <v>0</v>
      </c>
      <c r="P17" s="85">
        <f t="shared" ref="P17" si="13">ROUND(I17-SUM(J17:O17),0)</f>
        <v>162750</v>
      </c>
      <c r="Q17" s="17"/>
      <c r="R17" s="16" t="s">
        <v>147</v>
      </c>
      <c r="S17" s="16">
        <v>500000</v>
      </c>
      <c r="T17" s="16">
        <f t="shared" si="8"/>
        <v>10000</v>
      </c>
      <c r="U17" s="16">
        <f t="shared" si="2"/>
        <v>490000</v>
      </c>
      <c r="V17" s="19" t="s">
        <v>140</v>
      </c>
      <c r="W17" s="16"/>
    </row>
    <row r="18" spans="1:23" hidden="1" x14ac:dyDescent="0.25">
      <c r="A18" s="33"/>
      <c r="B18" s="12" t="s">
        <v>42</v>
      </c>
      <c r="C18" s="12"/>
      <c r="D18" s="20" t="s">
        <v>246</v>
      </c>
      <c r="E18" s="28">
        <f>N13+N17</f>
        <v>126000</v>
      </c>
      <c r="F18" s="12"/>
      <c r="G18" s="12"/>
      <c r="H18" s="16"/>
      <c r="I18" s="16"/>
      <c r="J18" s="12"/>
      <c r="K18" s="12"/>
      <c r="L18" s="12"/>
      <c r="M18" s="12"/>
      <c r="N18" s="12"/>
      <c r="O18" s="12"/>
      <c r="P18" s="123">
        <f>E18</f>
        <v>126000</v>
      </c>
      <c r="Q18" s="17"/>
      <c r="R18" s="16"/>
      <c r="S18" s="16">
        <v>200000</v>
      </c>
      <c r="T18" s="16">
        <f t="shared" si="8"/>
        <v>4000</v>
      </c>
      <c r="U18" s="16">
        <v>196000</v>
      </c>
      <c r="V18" s="19" t="s">
        <v>291</v>
      </c>
      <c r="W18" s="16"/>
    </row>
    <row r="19" spans="1:23" hidden="1" x14ac:dyDescent="0.25">
      <c r="A19" s="33"/>
      <c r="B19" s="13" t="s">
        <v>148</v>
      </c>
      <c r="C19" s="27">
        <v>45362</v>
      </c>
      <c r="D19" s="20">
        <v>16</v>
      </c>
      <c r="E19" s="12">
        <v>455000</v>
      </c>
      <c r="F19" s="12">
        <v>217700</v>
      </c>
      <c r="G19" s="16">
        <f t="shared" ref="G19" si="14">E19-F19</f>
        <v>237300</v>
      </c>
      <c r="H19" s="16">
        <f>G19*18%</f>
        <v>42714</v>
      </c>
      <c r="I19" s="16">
        <f t="shared" ref="I19" si="15">ROUND(G19+H19,)</f>
        <v>280014</v>
      </c>
      <c r="J19" s="16">
        <f>G19*$J$5</f>
        <v>4746</v>
      </c>
      <c r="K19" s="16">
        <f t="shared" ref="K19" si="16">G19*$K$5</f>
        <v>11865</v>
      </c>
      <c r="L19" s="16"/>
      <c r="M19" s="16">
        <v>0</v>
      </c>
      <c r="N19" s="122">
        <f t="shared" ref="N19" si="17">H19</f>
        <v>42714</v>
      </c>
      <c r="O19" s="16">
        <v>0</v>
      </c>
      <c r="P19" s="85">
        <f t="shared" ref="P19" si="18">ROUND(I19-SUM(J19:O19),0)</f>
        <v>220689</v>
      </c>
      <c r="Q19" s="17"/>
      <c r="R19" s="16"/>
      <c r="S19" s="16"/>
      <c r="T19" s="16"/>
      <c r="U19" s="16"/>
      <c r="V19" s="19"/>
      <c r="W19" s="16"/>
    </row>
    <row r="20" spans="1:23" hidden="1" x14ac:dyDescent="0.25">
      <c r="A20" s="33"/>
      <c r="B20" s="13" t="s">
        <v>42</v>
      </c>
      <c r="C20" s="27"/>
      <c r="D20" s="20">
        <v>16</v>
      </c>
      <c r="E20" s="28">
        <f>N19</f>
        <v>42714</v>
      </c>
      <c r="F20" s="12"/>
      <c r="G20" s="16"/>
      <c r="H20" s="16"/>
      <c r="I20" s="16"/>
      <c r="J20" s="16"/>
      <c r="K20" s="16"/>
      <c r="L20" s="16"/>
      <c r="M20" s="16"/>
      <c r="N20" s="16"/>
      <c r="O20" s="16"/>
      <c r="P20" s="123">
        <f>E20</f>
        <v>42714</v>
      </c>
      <c r="Q20" s="17"/>
      <c r="R20" s="16"/>
      <c r="S20" s="16"/>
      <c r="T20" s="16"/>
      <c r="U20" s="16"/>
      <c r="V20" s="19"/>
      <c r="W20" s="16"/>
    </row>
    <row r="21" spans="1:23" hidden="1" x14ac:dyDescent="0.25">
      <c r="A21" s="33"/>
      <c r="B21" s="13"/>
      <c r="C21" s="27"/>
      <c r="D21" s="20"/>
      <c r="E21" s="12"/>
      <c r="F21" s="12"/>
      <c r="G21" s="16"/>
      <c r="H21" s="16"/>
      <c r="I21" s="16"/>
      <c r="J21" s="16"/>
      <c r="K21" s="16"/>
      <c r="L21" s="16"/>
      <c r="M21" s="16"/>
      <c r="N21" s="16"/>
      <c r="O21" s="16"/>
      <c r="P21" s="85"/>
      <c r="Q21" s="17"/>
      <c r="R21" s="16"/>
      <c r="S21" s="16"/>
      <c r="T21" s="16"/>
      <c r="U21" s="16"/>
      <c r="V21" s="19"/>
      <c r="W21" s="16"/>
    </row>
    <row r="22" spans="1:23" hidden="1" x14ac:dyDescent="0.25">
      <c r="A22" s="73">
        <v>59314</v>
      </c>
      <c r="B22" s="74"/>
      <c r="C22" s="74"/>
      <c r="D22" s="116"/>
      <c r="E22" s="74"/>
      <c r="F22" s="74"/>
      <c r="G22" s="74"/>
      <c r="H22" s="75"/>
      <c r="I22" s="74"/>
      <c r="J22" s="75"/>
      <c r="K22" s="75"/>
      <c r="L22" s="75"/>
      <c r="M22" s="75"/>
      <c r="N22" s="75"/>
      <c r="O22" s="75"/>
      <c r="P22" s="74"/>
      <c r="Q22" s="119">
        <f>A22</f>
        <v>59314</v>
      </c>
      <c r="R22" s="74"/>
      <c r="S22" s="74"/>
      <c r="T22" s="75"/>
      <c r="U22" s="74"/>
      <c r="V22" s="74"/>
      <c r="W22" s="74"/>
    </row>
    <row r="23" spans="1:23" x14ac:dyDescent="0.25">
      <c r="A23" s="32">
        <v>2850000</v>
      </c>
      <c r="B23" s="13" t="s">
        <v>150</v>
      </c>
      <c r="C23" s="14">
        <v>45210</v>
      </c>
      <c r="D23" s="20">
        <v>13</v>
      </c>
      <c r="E23" s="16">
        <v>142500</v>
      </c>
      <c r="F23" s="16">
        <v>0</v>
      </c>
      <c r="G23" s="16">
        <f>E23-F23</f>
        <v>142500</v>
      </c>
      <c r="H23" s="16">
        <f>ROUND(G23*18%,)</f>
        <v>25650</v>
      </c>
      <c r="I23" s="16">
        <f>ROUND(G23+H23,)</f>
        <v>168150</v>
      </c>
      <c r="J23" s="16">
        <f>ROUND(G23*$J$5,)</f>
        <v>2850</v>
      </c>
      <c r="K23" s="16">
        <f>ROUND(G23*5%,)</f>
        <v>7125</v>
      </c>
      <c r="L23" s="16">
        <v>0</v>
      </c>
      <c r="M23" s="16">
        <v>0</v>
      </c>
      <c r="N23" s="122">
        <f>H23</f>
        <v>25650</v>
      </c>
      <c r="O23" s="16">
        <v>0</v>
      </c>
      <c r="P23" s="61">
        <f>ROUND(I23-SUM(J23:O23),)</f>
        <v>132525</v>
      </c>
      <c r="Q23" s="17"/>
      <c r="R23" s="16" t="s">
        <v>28</v>
      </c>
      <c r="S23" s="16">
        <v>300000</v>
      </c>
      <c r="T23" s="16">
        <f t="shared" ref="T23:T27" si="19">S23*$T$5</f>
        <v>6000</v>
      </c>
      <c r="U23" s="16">
        <f t="shared" ref="U23:U27" si="20">S23-T23</f>
        <v>294000</v>
      </c>
      <c r="V23" s="12" t="s">
        <v>27</v>
      </c>
      <c r="W23" s="16">
        <f>SUM(P23:P31)-SUM(U23:U31)</f>
        <v>-611119.5</v>
      </c>
    </row>
    <row r="24" spans="1:23" hidden="1" x14ac:dyDescent="0.25">
      <c r="A24" s="32"/>
      <c r="B24" s="13" t="s">
        <v>150</v>
      </c>
      <c r="C24" s="14">
        <v>45227</v>
      </c>
      <c r="D24" s="20">
        <v>20</v>
      </c>
      <c r="E24" s="16">
        <v>285000</v>
      </c>
      <c r="F24" s="16">
        <v>57225</v>
      </c>
      <c r="G24" s="16">
        <f>E24-F24</f>
        <v>227775</v>
      </c>
      <c r="H24" s="16">
        <f>G24*18%</f>
        <v>40999.5</v>
      </c>
      <c r="I24" s="16">
        <f>ROUND(G24+H24,)</f>
        <v>268775</v>
      </c>
      <c r="J24" s="16">
        <f>ROUND(G24*$J$5,)</f>
        <v>4556</v>
      </c>
      <c r="K24" s="16">
        <f>ROUND(G24*5%,)</f>
        <v>11389</v>
      </c>
      <c r="L24" s="12"/>
      <c r="M24" s="122">
        <f>G24*10%</f>
        <v>22777.5</v>
      </c>
      <c r="N24" s="122">
        <v>40100</v>
      </c>
      <c r="O24" s="16">
        <v>0</v>
      </c>
      <c r="P24" s="61">
        <f>ROUND(I24-SUM(J24:O24),)</f>
        <v>189953</v>
      </c>
      <c r="Q24" s="17"/>
      <c r="R24" s="16" t="s">
        <v>52</v>
      </c>
      <c r="S24" s="16">
        <v>250000</v>
      </c>
      <c r="T24" s="16">
        <f t="shared" si="19"/>
        <v>5000</v>
      </c>
      <c r="U24" s="16">
        <f t="shared" si="20"/>
        <v>245000</v>
      </c>
      <c r="V24" s="12" t="s">
        <v>36</v>
      </c>
      <c r="W24" s="16"/>
    </row>
    <row r="25" spans="1:23" hidden="1" x14ac:dyDescent="0.25">
      <c r="A25" s="32"/>
      <c r="B25" s="13" t="s">
        <v>150</v>
      </c>
      <c r="C25" s="14">
        <v>45238</v>
      </c>
      <c r="D25" s="20">
        <v>27</v>
      </c>
      <c r="E25" s="16">
        <v>285000</v>
      </c>
      <c r="F25" s="16">
        <v>0</v>
      </c>
      <c r="G25" s="16">
        <f>E25-F25</f>
        <v>285000</v>
      </c>
      <c r="H25" s="16">
        <f>ROUND(G25*18%,)</f>
        <v>51300</v>
      </c>
      <c r="I25" s="16">
        <f>ROUND(G25+H25,)</f>
        <v>336300</v>
      </c>
      <c r="J25" s="16">
        <f t="shared" ref="J25:J26" si="21">ROUND(G25*$J$5,)</f>
        <v>5700</v>
      </c>
      <c r="K25" s="16">
        <f>ROUND(G25*5%,)</f>
        <v>14250</v>
      </c>
      <c r="L25" s="12"/>
      <c r="M25" s="122">
        <f>G25*10%</f>
        <v>28500</v>
      </c>
      <c r="N25" s="122">
        <f>H25</f>
        <v>51300</v>
      </c>
      <c r="O25" s="16">
        <v>0</v>
      </c>
      <c r="P25" s="61">
        <f>ROUND(I25-SUM(J25:O25),)</f>
        <v>236550</v>
      </c>
      <c r="Q25" s="17"/>
      <c r="R25" s="16" t="s">
        <v>53</v>
      </c>
      <c r="S25" s="16">
        <v>100000</v>
      </c>
      <c r="T25" s="16">
        <f t="shared" si="19"/>
        <v>2000</v>
      </c>
      <c r="U25" s="16">
        <f t="shared" si="20"/>
        <v>98000</v>
      </c>
      <c r="V25" s="12" t="s">
        <v>43</v>
      </c>
      <c r="W25" s="16"/>
    </row>
    <row r="26" spans="1:23" hidden="1" x14ac:dyDescent="0.25">
      <c r="A26" s="32"/>
      <c r="B26" s="13" t="s">
        <v>150</v>
      </c>
      <c r="C26" s="14">
        <v>45293</v>
      </c>
      <c r="D26" s="20">
        <v>29</v>
      </c>
      <c r="E26" s="16">
        <v>427500</v>
      </c>
      <c r="F26" s="16">
        <v>0</v>
      </c>
      <c r="G26" s="16">
        <f>E26-F26</f>
        <v>427500</v>
      </c>
      <c r="H26" s="16">
        <f>ROUND(G26*18%,)</f>
        <v>76950</v>
      </c>
      <c r="I26" s="16">
        <f>ROUND(G26+H26,)</f>
        <v>504450</v>
      </c>
      <c r="J26" s="16">
        <f t="shared" si="21"/>
        <v>8550</v>
      </c>
      <c r="K26" s="16">
        <f>ROUND(G26*5%,)</f>
        <v>21375</v>
      </c>
      <c r="L26" s="77"/>
      <c r="M26" s="122">
        <f>G26*10%</f>
        <v>42750</v>
      </c>
      <c r="N26" s="122">
        <f>H26</f>
        <v>76950</v>
      </c>
      <c r="O26" s="16">
        <v>0</v>
      </c>
      <c r="P26" s="61">
        <f>ROUND(I26-SUM(J26:O26),)</f>
        <v>354825</v>
      </c>
      <c r="Q26" s="17"/>
      <c r="R26" s="16" t="s">
        <v>54</v>
      </c>
      <c r="S26" s="16">
        <v>400000</v>
      </c>
      <c r="T26" s="16">
        <f t="shared" si="19"/>
        <v>8000</v>
      </c>
      <c r="U26" s="16">
        <f t="shared" si="20"/>
        <v>392000</v>
      </c>
      <c r="V26" s="12" t="s">
        <v>44</v>
      </c>
      <c r="W26" s="16"/>
    </row>
    <row r="27" spans="1:23" hidden="1" x14ac:dyDescent="0.25">
      <c r="A27" s="32"/>
      <c r="B27" s="13" t="s">
        <v>42</v>
      </c>
      <c r="C27" s="14"/>
      <c r="D27" s="20">
        <v>13</v>
      </c>
      <c r="E27" s="16">
        <f>N23</f>
        <v>25650</v>
      </c>
      <c r="F27" s="12"/>
      <c r="G27" s="16"/>
      <c r="H27" s="16"/>
      <c r="I27" s="16"/>
      <c r="J27" s="16"/>
      <c r="K27" s="16"/>
      <c r="L27" s="16"/>
      <c r="M27" s="16"/>
      <c r="N27" s="16"/>
      <c r="O27" s="16"/>
      <c r="P27" s="122">
        <f t="shared" ref="P27:P30" si="22">E27</f>
        <v>25650</v>
      </c>
      <c r="Q27" s="17" t="s">
        <v>151</v>
      </c>
      <c r="R27" s="16" t="s">
        <v>209</v>
      </c>
      <c r="S27" s="16">
        <v>100000</v>
      </c>
      <c r="T27" s="16">
        <f t="shared" si="19"/>
        <v>2000</v>
      </c>
      <c r="U27" s="16">
        <f t="shared" si="20"/>
        <v>98000</v>
      </c>
      <c r="V27" s="12" t="s">
        <v>208</v>
      </c>
      <c r="W27" s="16"/>
    </row>
    <row r="28" spans="1:23" hidden="1" x14ac:dyDescent="0.25">
      <c r="A28" s="32"/>
      <c r="B28" s="13" t="s">
        <v>42</v>
      </c>
      <c r="C28" s="14"/>
      <c r="D28" s="20">
        <v>20</v>
      </c>
      <c r="E28" s="16">
        <f>N24</f>
        <v>40100</v>
      </c>
      <c r="F28" s="12"/>
      <c r="G28" s="16"/>
      <c r="H28" s="16"/>
      <c r="I28" s="16"/>
      <c r="J28" s="16"/>
      <c r="K28" s="16"/>
      <c r="L28" s="16"/>
      <c r="M28" s="16"/>
      <c r="N28" s="16"/>
      <c r="O28" s="16"/>
      <c r="P28" s="122">
        <f t="shared" si="22"/>
        <v>40100</v>
      </c>
      <c r="Q28" s="17"/>
      <c r="R28" s="16" t="s">
        <v>371</v>
      </c>
      <c r="S28" s="16">
        <v>300000</v>
      </c>
      <c r="T28" s="16">
        <v>6000</v>
      </c>
      <c r="U28" s="16">
        <v>294000</v>
      </c>
      <c r="V28" s="12" t="s">
        <v>261</v>
      </c>
      <c r="W28" s="16"/>
    </row>
    <row r="29" spans="1:23" hidden="1" x14ac:dyDescent="0.25">
      <c r="A29" s="34"/>
      <c r="B29" s="13" t="s">
        <v>42</v>
      </c>
      <c r="C29" s="19" t="s">
        <v>141</v>
      </c>
      <c r="D29" s="20">
        <v>29</v>
      </c>
      <c r="E29" s="16">
        <f>N26</f>
        <v>76950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22">
        <f t="shared" si="22"/>
        <v>76950</v>
      </c>
      <c r="Q29" s="17"/>
      <c r="R29" s="16" t="s">
        <v>372</v>
      </c>
      <c r="S29" s="16">
        <v>400000</v>
      </c>
      <c r="T29" s="16">
        <f t="shared" ref="T29" si="23">S29*$T$5</f>
        <v>8000</v>
      </c>
      <c r="U29" s="16">
        <f t="shared" ref="U29" si="24">S29-T29</f>
        <v>392000</v>
      </c>
      <c r="V29" s="12" t="s">
        <v>312</v>
      </c>
      <c r="W29" s="16"/>
    </row>
    <row r="30" spans="1:23" hidden="1" x14ac:dyDescent="0.25">
      <c r="A30" s="34"/>
      <c r="B30" s="13" t="s">
        <v>42</v>
      </c>
      <c r="C30" s="14">
        <v>45348</v>
      </c>
      <c r="D30" s="20">
        <v>27</v>
      </c>
      <c r="E30" s="16">
        <f>N25</f>
        <v>51300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22">
        <f t="shared" si="22"/>
        <v>51300</v>
      </c>
      <c r="Q30" s="17"/>
      <c r="R30" s="16"/>
      <c r="S30" s="16"/>
      <c r="T30" s="16"/>
      <c r="U30" s="16"/>
      <c r="V30" s="12"/>
      <c r="W30" s="16"/>
    </row>
    <row r="31" spans="1:23" hidden="1" x14ac:dyDescent="0.25">
      <c r="A31" s="34"/>
      <c r="B31" s="13" t="s">
        <v>202</v>
      </c>
      <c r="C31" s="12"/>
      <c r="D31" s="115" t="s">
        <v>203</v>
      </c>
      <c r="E31" s="16">
        <f>M24+M25+M26</f>
        <v>94027.5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22">
        <f>E31</f>
        <v>94027.5</v>
      </c>
      <c r="Q31" s="17"/>
      <c r="R31" s="16"/>
      <c r="S31" s="16"/>
      <c r="T31" s="16"/>
      <c r="U31" s="16"/>
      <c r="V31" s="12"/>
      <c r="W31" s="16"/>
    </row>
    <row r="32" spans="1:23" hidden="1" x14ac:dyDescent="0.25">
      <c r="A32" s="73">
        <v>59315</v>
      </c>
      <c r="B32" s="74"/>
      <c r="C32" s="74"/>
      <c r="D32" s="116"/>
      <c r="E32" s="74"/>
      <c r="F32" s="74"/>
      <c r="G32" s="74"/>
      <c r="H32" s="75"/>
      <c r="I32" s="74"/>
      <c r="J32" s="75"/>
      <c r="K32" s="75"/>
      <c r="L32" s="75"/>
      <c r="M32" s="75"/>
      <c r="N32" s="75"/>
      <c r="O32" s="75"/>
      <c r="P32" s="74"/>
      <c r="Q32" s="119">
        <f>A32</f>
        <v>59315</v>
      </c>
      <c r="R32" s="74"/>
      <c r="S32" s="74"/>
      <c r="T32" s="75"/>
      <c r="U32" s="74"/>
      <c r="V32" s="74"/>
      <c r="W32" s="74"/>
    </row>
    <row r="33" spans="1:24" x14ac:dyDescent="0.25">
      <c r="A33" s="32">
        <v>3412500</v>
      </c>
      <c r="B33" s="13" t="s">
        <v>154</v>
      </c>
      <c r="C33" s="14">
        <v>45293</v>
      </c>
      <c r="D33" s="20">
        <v>31</v>
      </c>
      <c r="E33" s="16">
        <v>511875</v>
      </c>
      <c r="F33" s="16">
        <v>0</v>
      </c>
      <c r="G33" s="16">
        <f t="shared" ref="G33:G34" si="25">E33-F33</f>
        <v>511875</v>
      </c>
      <c r="H33" s="16">
        <f>ROUND(G33*18%,)</f>
        <v>92138</v>
      </c>
      <c r="I33" s="16">
        <f>ROUND(G33+H33,)</f>
        <v>604013</v>
      </c>
      <c r="J33" s="16">
        <f>ROUND(G33*$J$5,)</f>
        <v>10238</v>
      </c>
      <c r="K33" s="16">
        <f>ROUND(G33*5%,)</f>
        <v>25594</v>
      </c>
      <c r="L33" s="12"/>
      <c r="M33" s="122">
        <f>G33*10%</f>
        <v>51187.5</v>
      </c>
      <c r="N33" s="122">
        <f>H33</f>
        <v>92138</v>
      </c>
      <c r="O33" s="16">
        <v>0</v>
      </c>
      <c r="P33" s="61">
        <f t="shared" ref="P33:P34" si="26">I33-SUM(J33:O33)</f>
        <v>424855.5</v>
      </c>
      <c r="Q33" s="17"/>
      <c r="R33" s="16" t="s">
        <v>62</v>
      </c>
      <c r="S33" s="16">
        <v>200000</v>
      </c>
      <c r="T33" s="16">
        <f t="shared" ref="T33:T34" si="27">S33*$T$5</f>
        <v>4000</v>
      </c>
      <c r="U33" s="16">
        <f t="shared" ref="U33:U34" si="28">S33-T33</f>
        <v>196000</v>
      </c>
      <c r="V33" s="12" t="s">
        <v>61</v>
      </c>
      <c r="W33" s="16">
        <f>SUM(P33:P40)-SUM(U33:U40)</f>
        <v>-702361</v>
      </c>
    </row>
    <row r="34" spans="1:24" hidden="1" x14ac:dyDescent="0.25">
      <c r="A34" s="32"/>
      <c r="B34" s="13"/>
      <c r="C34" s="14">
        <v>45312</v>
      </c>
      <c r="D34" s="20">
        <v>40</v>
      </c>
      <c r="E34" s="16">
        <v>853125</v>
      </c>
      <c r="F34" s="16">
        <v>0</v>
      </c>
      <c r="G34" s="16">
        <f t="shared" si="25"/>
        <v>853125</v>
      </c>
      <c r="H34" s="16">
        <f>ROUND(G34*18%,)</f>
        <v>153563</v>
      </c>
      <c r="I34" s="16">
        <f>ROUND(G34+H34,)</f>
        <v>1006688</v>
      </c>
      <c r="J34" s="16">
        <f>ROUND(G34*$J$5,)</f>
        <v>17063</v>
      </c>
      <c r="K34" s="16">
        <f>ROUND(G34*5%,)</f>
        <v>42656</v>
      </c>
      <c r="L34" s="77"/>
      <c r="M34" s="122">
        <f>G34*10%</f>
        <v>85312.5</v>
      </c>
      <c r="N34" s="122">
        <f>H34</f>
        <v>153563</v>
      </c>
      <c r="O34" s="16">
        <v>0</v>
      </c>
      <c r="P34" s="61">
        <f t="shared" si="26"/>
        <v>708093.5</v>
      </c>
      <c r="Q34" s="17"/>
      <c r="R34" s="16" t="s">
        <v>83</v>
      </c>
      <c r="S34" s="16">
        <v>400000</v>
      </c>
      <c r="T34" s="16">
        <f t="shared" si="27"/>
        <v>8000</v>
      </c>
      <c r="U34" s="16">
        <f t="shared" si="28"/>
        <v>392000</v>
      </c>
      <c r="V34" s="12" t="s">
        <v>82</v>
      </c>
      <c r="W34" s="16"/>
    </row>
    <row r="35" spans="1:24" hidden="1" x14ac:dyDescent="0.25">
      <c r="A35" s="32"/>
      <c r="B35" s="13" t="s">
        <v>42</v>
      </c>
      <c r="C35" s="12" t="s">
        <v>143</v>
      </c>
      <c r="D35" s="20" t="s">
        <v>230</v>
      </c>
      <c r="E35" s="16">
        <f>N33</f>
        <v>92138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22">
        <f>E35</f>
        <v>92138</v>
      </c>
      <c r="Q35" s="17"/>
      <c r="R35" s="16" t="s">
        <v>120</v>
      </c>
      <c r="S35" s="16">
        <v>544948</v>
      </c>
      <c r="T35" s="12"/>
      <c r="U35" s="16">
        <v>544948</v>
      </c>
      <c r="V35" s="12" t="s">
        <v>119</v>
      </c>
      <c r="W35" s="16"/>
    </row>
    <row r="36" spans="1:24" hidden="1" x14ac:dyDescent="0.25">
      <c r="A36" s="32"/>
      <c r="B36" s="13" t="s">
        <v>202</v>
      </c>
      <c r="C36" s="12"/>
      <c r="D36" s="20" t="s">
        <v>230</v>
      </c>
      <c r="E36" s="16">
        <f>M33+M34</f>
        <v>136500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22">
        <f>E36</f>
        <v>136500</v>
      </c>
      <c r="Q36" s="17"/>
      <c r="R36" s="16" t="s">
        <v>211</v>
      </c>
      <c r="S36" s="16">
        <v>150000</v>
      </c>
      <c r="T36" s="16">
        <v>3000</v>
      </c>
      <c r="U36" s="16">
        <v>147000</v>
      </c>
      <c r="V36" s="12" t="s">
        <v>142</v>
      </c>
      <c r="W36" s="16"/>
    </row>
    <row r="37" spans="1:24" hidden="1" x14ac:dyDescent="0.25">
      <c r="A37" s="32"/>
      <c r="B37" s="13" t="s">
        <v>42</v>
      </c>
      <c r="C37" s="12"/>
      <c r="D37" s="20">
        <v>64</v>
      </c>
      <c r="E37" s="16">
        <v>22419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36"/>
      <c r="Q37" s="131" t="s">
        <v>380</v>
      </c>
      <c r="R37" s="16" t="s">
        <v>212</v>
      </c>
      <c r="S37" s="16">
        <v>200000</v>
      </c>
      <c r="T37" s="16">
        <v>3000</v>
      </c>
      <c r="U37" s="16">
        <v>196000</v>
      </c>
      <c r="V37" s="12" t="s">
        <v>152</v>
      </c>
      <c r="W37" s="16"/>
    </row>
    <row r="38" spans="1:24" hidden="1" x14ac:dyDescent="0.25">
      <c r="A38" s="32"/>
      <c r="B38" s="13"/>
      <c r="C38" s="12"/>
      <c r="D38" s="2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 t="s">
        <v>213</v>
      </c>
      <c r="S38" s="16">
        <v>100000</v>
      </c>
      <c r="T38" s="16">
        <v>2000</v>
      </c>
      <c r="U38" s="16">
        <f>S38-T38</f>
        <v>98000</v>
      </c>
      <c r="V38" s="12" t="s">
        <v>210</v>
      </c>
      <c r="W38" s="16"/>
    </row>
    <row r="39" spans="1:24" hidden="1" x14ac:dyDescent="0.25">
      <c r="A39" s="32"/>
      <c r="B39" s="13"/>
      <c r="C39" s="12"/>
      <c r="D39" s="2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 t="s">
        <v>373</v>
      </c>
      <c r="S39" s="16">
        <v>500000</v>
      </c>
      <c r="T39" s="16">
        <v>10000</v>
      </c>
      <c r="U39" s="16">
        <v>490000</v>
      </c>
      <c r="V39" s="12" t="s">
        <v>311</v>
      </c>
      <c r="W39" s="16"/>
    </row>
    <row r="40" spans="1:24" hidden="1" x14ac:dyDescent="0.25">
      <c r="A40" s="32"/>
      <c r="B40" s="13"/>
      <c r="C40" s="12"/>
      <c r="D40" s="2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2"/>
      <c r="W40" s="16"/>
    </row>
    <row r="41" spans="1:24" hidden="1" x14ac:dyDescent="0.25">
      <c r="A41" s="73">
        <v>59513</v>
      </c>
      <c r="B41" s="74"/>
      <c r="C41" s="74"/>
      <c r="D41" s="116"/>
      <c r="E41" s="74"/>
      <c r="F41" s="74"/>
      <c r="G41" s="74"/>
      <c r="H41" s="75"/>
      <c r="I41" s="74"/>
      <c r="J41" s="75"/>
      <c r="K41" s="75"/>
      <c r="L41" s="75" t="s">
        <v>94</v>
      </c>
      <c r="M41" s="75"/>
      <c r="N41" s="75"/>
      <c r="O41" s="75"/>
      <c r="P41" s="74"/>
      <c r="Q41" s="119">
        <v>59513</v>
      </c>
      <c r="R41" s="74"/>
      <c r="S41" s="74"/>
      <c r="T41" s="75"/>
      <c r="U41" s="74"/>
      <c r="V41" s="74"/>
      <c r="W41" s="74"/>
    </row>
    <row r="42" spans="1:24" hidden="1" x14ac:dyDescent="0.25">
      <c r="A42" s="32">
        <v>3330000</v>
      </c>
      <c r="B42" s="13" t="s">
        <v>157</v>
      </c>
      <c r="C42" s="14">
        <v>45210</v>
      </c>
      <c r="D42" s="20">
        <v>12</v>
      </c>
      <c r="E42" s="16">
        <v>166500</v>
      </c>
      <c r="F42" s="16">
        <v>0</v>
      </c>
      <c r="G42" s="16">
        <f t="shared" ref="G42:G44" si="29">E42-F42</f>
        <v>166500</v>
      </c>
      <c r="H42" s="16">
        <f>ROUND(G42*18%,)</f>
        <v>29970</v>
      </c>
      <c r="I42" s="16">
        <f>ROUND(G42+H42,)</f>
        <v>196470</v>
      </c>
      <c r="J42" s="16">
        <f>ROUND(G42*$J$5,)</f>
        <v>3330</v>
      </c>
      <c r="K42" s="16">
        <f>ROUND(G42*5%,)</f>
        <v>8325</v>
      </c>
      <c r="L42" s="16"/>
      <c r="M42" s="16"/>
      <c r="N42" s="122">
        <f>H42</f>
        <v>29970</v>
      </c>
      <c r="O42" s="16"/>
      <c r="P42" s="61">
        <f t="shared" ref="P42:P43" si="30">I42-SUM(J42:O42)</f>
        <v>154845</v>
      </c>
      <c r="Q42" s="17"/>
      <c r="R42" s="16" t="s">
        <v>30</v>
      </c>
      <c r="S42" s="16">
        <v>200000</v>
      </c>
      <c r="T42" s="16">
        <f t="shared" ref="T42:T49" si="31">S42*$T$5</f>
        <v>4000</v>
      </c>
      <c r="U42" s="16">
        <f>S42-T42</f>
        <v>196000</v>
      </c>
      <c r="V42" s="12" t="s">
        <v>29</v>
      </c>
      <c r="W42" s="16">
        <f>SUM(P42:P55)-SUM(U42:U55)</f>
        <v>424827.44460000005</v>
      </c>
    </row>
    <row r="43" spans="1:24" hidden="1" x14ac:dyDescent="0.25">
      <c r="A43" s="32"/>
      <c r="B43" s="13" t="s">
        <v>157</v>
      </c>
      <c r="C43" s="14">
        <v>45227</v>
      </c>
      <c r="D43" s="20">
        <v>21</v>
      </c>
      <c r="E43" s="16">
        <v>333000</v>
      </c>
      <c r="F43" s="16">
        <v>57225</v>
      </c>
      <c r="G43" s="16">
        <f t="shared" si="29"/>
        <v>275775</v>
      </c>
      <c r="H43" s="16">
        <f>ROUND(G43*18%,)</f>
        <v>49640</v>
      </c>
      <c r="I43" s="16">
        <f>ROUND(G43+H43,)</f>
        <v>325415</v>
      </c>
      <c r="J43" s="16">
        <f t="shared" ref="J43:J44" si="32">ROUND(G43*$J$5,)</f>
        <v>5516</v>
      </c>
      <c r="K43" s="16">
        <f>ROUND(G43*5%,)</f>
        <v>13789</v>
      </c>
      <c r="L43" s="12"/>
      <c r="M43" s="122">
        <f>G43*10%</f>
        <v>27577.5</v>
      </c>
      <c r="N43" s="122">
        <v>46640</v>
      </c>
      <c r="O43" s="16"/>
      <c r="P43" s="61">
        <f t="shared" si="30"/>
        <v>231892.5</v>
      </c>
      <c r="Q43" s="17"/>
      <c r="R43" s="16" t="s">
        <v>38</v>
      </c>
      <c r="S43" s="16">
        <v>250000</v>
      </c>
      <c r="T43" s="16">
        <f t="shared" si="31"/>
        <v>5000</v>
      </c>
      <c r="U43" s="16">
        <f t="shared" ref="U43:U44" si="33">S43-T43</f>
        <v>245000</v>
      </c>
      <c r="V43" s="12" t="s">
        <v>37</v>
      </c>
      <c r="W43" s="16"/>
      <c r="X43" s="1" t="s">
        <v>177</v>
      </c>
    </row>
    <row r="44" spans="1:24" hidden="1" x14ac:dyDescent="0.25">
      <c r="A44" s="32"/>
      <c r="B44" s="13" t="s">
        <v>157</v>
      </c>
      <c r="C44" s="14">
        <v>45293</v>
      </c>
      <c r="D44" s="20">
        <v>30</v>
      </c>
      <c r="E44" s="16">
        <v>832500</v>
      </c>
      <c r="F44" s="16">
        <v>0</v>
      </c>
      <c r="G44" s="16">
        <f t="shared" si="29"/>
        <v>832500</v>
      </c>
      <c r="H44" s="16">
        <f>ROUND(G44*18%,)</f>
        <v>149850</v>
      </c>
      <c r="I44" s="16">
        <f>ROUND(G44+H44,)</f>
        <v>982350</v>
      </c>
      <c r="J44" s="16">
        <f t="shared" si="32"/>
        <v>16650</v>
      </c>
      <c r="K44" s="16">
        <f>ROUND(G44*5%,)</f>
        <v>41625</v>
      </c>
      <c r="M44" s="122">
        <f>G44*10%</f>
        <v>83250</v>
      </c>
      <c r="N44" s="122">
        <f>H44</f>
        <v>149850</v>
      </c>
      <c r="O44" s="16"/>
      <c r="P44" s="61">
        <f t="shared" ref="P44" si="34">I44-SUM(J44:O44)</f>
        <v>690975</v>
      </c>
      <c r="Q44" s="23"/>
      <c r="R44" s="16" t="s">
        <v>60</v>
      </c>
      <c r="S44" s="16">
        <v>100000</v>
      </c>
      <c r="T44" s="16">
        <f t="shared" si="31"/>
        <v>2000</v>
      </c>
      <c r="U44" s="16">
        <f t="shared" si="33"/>
        <v>98000</v>
      </c>
      <c r="V44" s="16" t="s">
        <v>59</v>
      </c>
      <c r="W44" s="16"/>
    </row>
    <row r="45" spans="1:24" hidden="1" x14ac:dyDescent="0.25">
      <c r="A45" s="34"/>
      <c r="B45" s="16" t="s">
        <v>118</v>
      </c>
      <c r="C45" s="21">
        <v>45276</v>
      </c>
      <c r="D45" s="115">
        <v>21</v>
      </c>
      <c r="E45" s="16">
        <v>49640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22">
        <f t="shared" ref="P45:P47" si="35">E45</f>
        <v>49640</v>
      </c>
      <c r="Q45" s="17"/>
      <c r="R45" s="16" t="s">
        <v>77</v>
      </c>
      <c r="S45" s="16">
        <v>400000</v>
      </c>
      <c r="T45" s="16">
        <f t="shared" si="31"/>
        <v>8000</v>
      </c>
      <c r="U45" s="16">
        <f>S45-T45</f>
        <v>392000</v>
      </c>
      <c r="V45" s="16" t="s">
        <v>76</v>
      </c>
      <c r="W45" s="16"/>
    </row>
    <row r="46" spans="1:24" hidden="1" x14ac:dyDescent="0.25">
      <c r="A46" s="34"/>
      <c r="B46" s="16" t="s">
        <v>118</v>
      </c>
      <c r="C46" s="21">
        <v>45276</v>
      </c>
      <c r="D46" s="115">
        <v>12</v>
      </c>
      <c r="E46" s="16">
        <v>29970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22">
        <f t="shared" si="35"/>
        <v>29970</v>
      </c>
      <c r="Q46" s="17"/>
      <c r="R46" s="16" t="s">
        <v>85</v>
      </c>
      <c r="S46" s="16">
        <v>500000</v>
      </c>
      <c r="T46" s="16">
        <f t="shared" si="31"/>
        <v>10000</v>
      </c>
      <c r="U46" s="16">
        <f t="shared" ref="U46" si="36">S46-T46</f>
        <v>490000</v>
      </c>
      <c r="V46" s="16" t="s">
        <v>84</v>
      </c>
      <c r="W46" s="16"/>
    </row>
    <row r="47" spans="1:24" hidden="1" x14ac:dyDescent="0.25">
      <c r="A47" s="34"/>
      <c r="B47" s="16" t="s">
        <v>118</v>
      </c>
      <c r="C47" s="21">
        <v>45335</v>
      </c>
      <c r="D47" s="115">
        <v>30</v>
      </c>
      <c r="E47" s="16">
        <v>149850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22">
        <f t="shared" si="35"/>
        <v>149850</v>
      </c>
      <c r="Q47" s="17"/>
      <c r="R47" s="16" t="s">
        <v>215</v>
      </c>
      <c r="S47" s="16">
        <v>200000</v>
      </c>
      <c r="T47" s="16">
        <f t="shared" si="31"/>
        <v>4000</v>
      </c>
      <c r="U47" s="16">
        <v>196000</v>
      </c>
      <c r="V47" s="16" t="s">
        <v>265</v>
      </c>
      <c r="W47" s="16"/>
    </row>
    <row r="48" spans="1:24" hidden="1" x14ac:dyDescent="0.25">
      <c r="A48" s="34"/>
      <c r="B48" s="13" t="s">
        <v>202</v>
      </c>
      <c r="C48" s="12"/>
      <c r="D48" s="20" t="s">
        <v>204</v>
      </c>
      <c r="E48" s="16">
        <f>M43+M44</f>
        <v>110827.5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22">
        <f>E48</f>
        <v>110827.5</v>
      </c>
      <c r="Q48" s="23"/>
      <c r="R48" s="16"/>
      <c r="S48" s="16">
        <v>100000</v>
      </c>
      <c r="T48" s="16">
        <f t="shared" si="31"/>
        <v>2000</v>
      </c>
      <c r="U48" s="16">
        <f t="shared" ref="U48" si="37">S48-T48</f>
        <v>98000</v>
      </c>
      <c r="V48" s="16" t="s">
        <v>214</v>
      </c>
      <c r="W48" s="16"/>
    </row>
    <row r="49" spans="1:25" hidden="1" x14ac:dyDescent="0.25">
      <c r="A49" s="34"/>
      <c r="B49" s="13" t="s">
        <v>157</v>
      </c>
      <c r="C49" s="21">
        <v>45390</v>
      </c>
      <c r="D49" s="20">
        <v>4</v>
      </c>
      <c r="E49" s="16">
        <f>A42*15%</f>
        <v>499500</v>
      </c>
      <c r="F49" s="16"/>
      <c r="G49" s="16">
        <f t="shared" ref="G49:G51" si="38">E49-F49</f>
        <v>499500</v>
      </c>
      <c r="H49" s="16">
        <f>ROUND(G49*18%,)</f>
        <v>89910</v>
      </c>
      <c r="I49" s="16">
        <f>ROUND(G49+H49,)</f>
        <v>589410</v>
      </c>
      <c r="J49" s="16">
        <f>G49*2%</f>
        <v>9990</v>
      </c>
      <c r="K49" s="16">
        <f>ROUND(G49*5%,)</f>
        <v>24975</v>
      </c>
      <c r="L49" s="16"/>
      <c r="M49" s="16"/>
      <c r="N49" s="122">
        <f>H49</f>
        <v>89910</v>
      </c>
      <c r="O49" s="16"/>
      <c r="P49" s="16">
        <f t="shared" ref="P49:P51" si="39">I49-SUM(J49:O49)</f>
        <v>464535</v>
      </c>
      <c r="Q49" s="23"/>
      <c r="R49" s="16"/>
      <c r="S49" s="16">
        <v>200000</v>
      </c>
      <c r="T49" s="16">
        <f t="shared" si="31"/>
        <v>4000</v>
      </c>
      <c r="U49" s="16">
        <v>196000</v>
      </c>
      <c r="V49" s="16" t="s">
        <v>244</v>
      </c>
      <c r="W49" s="16"/>
    </row>
    <row r="50" spans="1:25" hidden="1" x14ac:dyDescent="0.25">
      <c r="A50" s="34"/>
      <c r="B50" s="13" t="s">
        <v>157</v>
      </c>
      <c r="C50" s="21">
        <v>45400</v>
      </c>
      <c r="D50" s="20">
        <v>7</v>
      </c>
      <c r="E50" s="16">
        <f>A42*15%</f>
        <v>499500</v>
      </c>
      <c r="F50" s="16"/>
      <c r="G50" s="16">
        <f t="shared" si="38"/>
        <v>499500</v>
      </c>
      <c r="H50" s="16">
        <f>ROUND(G50*18%,)</f>
        <v>89910</v>
      </c>
      <c r="I50" s="16">
        <f>ROUND(G50+H50,)</f>
        <v>589410</v>
      </c>
      <c r="J50" s="16">
        <f>G50*2%</f>
        <v>9990</v>
      </c>
      <c r="K50" s="16">
        <f>ROUND(G50*5%,)</f>
        <v>24975</v>
      </c>
      <c r="L50" s="16"/>
      <c r="M50" s="16"/>
      <c r="N50" s="122">
        <f>H50</f>
        <v>89910</v>
      </c>
      <c r="O50" s="16"/>
      <c r="P50" s="16">
        <f t="shared" si="39"/>
        <v>464535</v>
      </c>
      <c r="Q50" s="23"/>
      <c r="R50" s="16"/>
      <c r="S50" s="16">
        <v>500000</v>
      </c>
      <c r="T50" s="16">
        <v>10000</v>
      </c>
      <c r="U50" s="16">
        <v>490000</v>
      </c>
      <c r="V50" s="16" t="s">
        <v>288</v>
      </c>
      <c r="W50" s="16"/>
    </row>
    <row r="51" spans="1:25" hidden="1" x14ac:dyDescent="0.25">
      <c r="A51" s="34"/>
      <c r="B51" s="13" t="s">
        <v>157</v>
      </c>
      <c r="C51" s="27">
        <v>45422</v>
      </c>
      <c r="D51" s="20">
        <v>13</v>
      </c>
      <c r="E51" s="16">
        <v>166500</v>
      </c>
      <c r="F51" s="16"/>
      <c r="G51" s="16">
        <f t="shared" si="38"/>
        <v>166500</v>
      </c>
      <c r="H51" s="16">
        <f>ROUND(G51*18%,)</f>
        <v>29970</v>
      </c>
      <c r="I51" s="16">
        <f>ROUND(G51+H51,)</f>
        <v>196470</v>
      </c>
      <c r="J51" s="16">
        <f>G51*2%</f>
        <v>3330</v>
      </c>
      <c r="K51" s="16">
        <f>ROUND(G51*5%,)</f>
        <v>8325</v>
      </c>
      <c r="L51" s="16"/>
      <c r="M51" s="16"/>
      <c r="N51" s="122">
        <f>H51</f>
        <v>29970</v>
      </c>
      <c r="O51" s="16"/>
      <c r="P51" s="16">
        <f t="shared" si="39"/>
        <v>154845</v>
      </c>
      <c r="Q51" s="23"/>
      <c r="R51" s="16"/>
      <c r="S51" s="16">
        <v>300000</v>
      </c>
      <c r="T51" s="16">
        <v>6000</v>
      </c>
      <c r="U51" s="16">
        <v>294000</v>
      </c>
      <c r="V51" s="16" t="s">
        <v>287</v>
      </c>
      <c r="W51" s="16"/>
    </row>
    <row r="52" spans="1:25" hidden="1" x14ac:dyDescent="0.25">
      <c r="A52" s="34"/>
      <c r="B52" s="13" t="s">
        <v>118</v>
      </c>
      <c r="C52" s="12"/>
      <c r="D52" s="20" t="s">
        <v>264</v>
      </c>
      <c r="E52" s="16">
        <f>N49+N50</f>
        <v>179820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22">
        <f>E52</f>
        <v>179820</v>
      </c>
      <c r="Q52" s="23"/>
      <c r="R52" s="16"/>
      <c r="S52" s="16"/>
      <c r="T52" s="16"/>
      <c r="U52" s="16"/>
      <c r="V52" s="16"/>
      <c r="W52" s="16"/>
    </row>
    <row r="53" spans="1:25" hidden="1" x14ac:dyDescent="0.25">
      <c r="A53" s="34"/>
      <c r="B53" s="13" t="s">
        <v>118</v>
      </c>
      <c r="C53" s="12"/>
      <c r="D53" s="20">
        <v>13</v>
      </c>
      <c r="E53" s="16">
        <f>N51</f>
        <v>29970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22">
        <f>E53</f>
        <v>29970</v>
      </c>
      <c r="Q53" s="23"/>
      <c r="R53" s="16"/>
      <c r="S53" s="16"/>
      <c r="T53" s="16"/>
      <c r="U53" s="16"/>
      <c r="V53" s="16"/>
      <c r="W53" s="16"/>
      <c r="Y53" s="1">
        <v>1</v>
      </c>
    </row>
    <row r="54" spans="1:25" hidden="1" x14ac:dyDescent="0.25">
      <c r="A54" s="34"/>
      <c r="B54" s="13"/>
      <c r="C54" s="27">
        <v>45565</v>
      </c>
      <c r="D54" s="20">
        <v>58</v>
      </c>
      <c r="E54" s="16">
        <v>599400</v>
      </c>
      <c r="F54" s="16">
        <v>231722.23</v>
      </c>
      <c r="G54" s="16">
        <f t="shared" ref="G54" si="40">E54-F54</f>
        <v>367677.77</v>
      </c>
      <c r="H54" s="16">
        <f>ROUND(G54*18%,)</f>
        <v>66182</v>
      </c>
      <c r="I54" s="16">
        <f>ROUND(G54+H54,)</f>
        <v>433860</v>
      </c>
      <c r="J54" s="16">
        <f>G54*2%</f>
        <v>7353.5554000000002</v>
      </c>
      <c r="K54" s="16">
        <f>ROUND(G54*5%,)</f>
        <v>18384</v>
      </c>
      <c r="L54" s="16"/>
      <c r="M54" s="16"/>
      <c r="N54" s="122">
        <f>H54</f>
        <v>66182</v>
      </c>
      <c r="O54" s="16"/>
      <c r="P54" s="16">
        <f t="shared" ref="P54" si="41">I54-SUM(J54:O54)</f>
        <v>341940.44459999999</v>
      </c>
      <c r="Q54" s="23"/>
      <c r="R54" s="16"/>
      <c r="S54" s="16"/>
      <c r="T54" s="16"/>
      <c r="U54" s="16"/>
      <c r="V54" s="16"/>
      <c r="W54" s="16"/>
    </row>
    <row r="55" spans="1:25" hidden="1" x14ac:dyDescent="0.25">
      <c r="A55" s="34"/>
      <c r="B55" s="13" t="s">
        <v>118</v>
      </c>
      <c r="C55" s="12"/>
      <c r="D55" s="20">
        <v>58</v>
      </c>
      <c r="E55" s="16">
        <f>N54</f>
        <v>66182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22">
        <f>E55</f>
        <v>66182</v>
      </c>
      <c r="Q55" s="23"/>
      <c r="R55" s="16"/>
      <c r="S55" s="16"/>
      <c r="T55" s="16"/>
      <c r="U55" s="16"/>
      <c r="V55" s="16"/>
      <c r="W55" s="16"/>
    </row>
    <row r="56" spans="1:25" hidden="1" x14ac:dyDescent="0.25">
      <c r="A56" s="73">
        <v>59514</v>
      </c>
      <c r="B56" s="74"/>
      <c r="C56" s="74"/>
      <c r="D56" s="116"/>
      <c r="E56" s="74"/>
      <c r="F56" s="74"/>
      <c r="G56" s="74"/>
      <c r="H56" s="75"/>
      <c r="I56" s="74"/>
      <c r="J56" s="75"/>
      <c r="K56" s="75"/>
      <c r="L56" s="75"/>
      <c r="M56" s="75"/>
      <c r="N56" s="75"/>
      <c r="O56" s="75"/>
      <c r="P56" s="74"/>
      <c r="Q56" s="119">
        <f>A56</f>
        <v>59514</v>
      </c>
      <c r="R56" s="74"/>
      <c r="S56" s="74"/>
      <c r="T56" s="75"/>
      <c r="U56" s="74"/>
      <c r="V56" s="74"/>
      <c r="W56" s="74"/>
    </row>
    <row r="57" spans="1:25" ht="31.5" x14ac:dyDescent="0.25">
      <c r="A57" s="32">
        <v>2756250</v>
      </c>
      <c r="B57" s="13" t="s">
        <v>153</v>
      </c>
      <c r="C57" s="14">
        <v>45210</v>
      </c>
      <c r="D57" s="20">
        <v>14</v>
      </c>
      <c r="E57" s="16">
        <v>137812</v>
      </c>
      <c r="F57" s="16">
        <v>0</v>
      </c>
      <c r="G57" s="16">
        <f t="shared" ref="G57:G59" si="42">E57-F57</f>
        <v>137812</v>
      </c>
      <c r="H57" s="16">
        <f>ROUND(G57*18%,)</f>
        <v>24806</v>
      </c>
      <c r="I57" s="16">
        <f>ROUND(G57+H57,)</f>
        <v>162618</v>
      </c>
      <c r="J57" s="16">
        <f>ROUND(G57*$J$5,)</f>
        <v>2756</v>
      </c>
      <c r="K57" s="16">
        <f>ROUND(G57*5%,)</f>
        <v>6891</v>
      </c>
      <c r="L57" s="16"/>
      <c r="M57" s="16"/>
      <c r="N57" s="122">
        <f>H57</f>
        <v>24806</v>
      </c>
      <c r="O57" s="16">
        <v>0</v>
      </c>
      <c r="P57" s="61">
        <f t="shared" ref="P57" si="43">I57-SUM(J57:O57)</f>
        <v>128165</v>
      </c>
      <c r="Q57" s="17"/>
      <c r="R57" s="16" t="s">
        <v>30</v>
      </c>
      <c r="S57" s="16">
        <v>200000</v>
      </c>
      <c r="T57" s="16">
        <f t="shared" ref="T57:T65" si="44">S57*$T$5</f>
        <v>4000</v>
      </c>
      <c r="U57" s="16">
        <f>S57-T57</f>
        <v>196000</v>
      </c>
      <c r="V57" s="12" t="s">
        <v>32</v>
      </c>
      <c r="W57" s="16">
        <f>SUM(P57:P70)-SUM(U57:U70)</f>
        <v>-144479</v>
      </c>
    </row>
    <row r="58" spans="1:25" hidden="1" x14ac:dyDescent="0.25">
      <c r="A58" s="32"/>
      <c r="B58" s="13"/>
      <c r="C58" s="14">
        <v>45221</v>
      </c>
      <c r="D58" s="20">
        <v>22</v>
      </c>
      <c r="E58" s="16">
        <v>275626</v>
      </c>
      <c r="F58" s="16">
        <v>26705</v>
      </c>
      <c r="G58" s="16">
        <f t="shared" si="42"/>
        <v>248921</v>
      </c>
      <c r="H58" s="16">
        <f>ROUND(G58*18%,)</f>
        <v>44806</v>
      </c>
      <c r="I58" s="16">
        <f>ROUND(G58+H58,)</f>
        <v>293727</v>
      </c>
      <c r="J58" s="16">
        <f t="shared" ref="J58:J59" si="45">ROUND(G58*$J$5,)</f>
        <v>4978</v>
      </c>
      <c r="K58" s="16">
        <f>ROUND(G58*5%,)</f>
        <v>12446</v>
      </c>
      <c r="L58" s="16"/>
      <c r="M58" s="16"/>
      <c r="N58" s="122">
        <f>H58</f>
        <v>44806</v>
      </c>
      <c r="O58" s="16">
        <v>0</v>
      </c>
      <c r="P58" s="61">
        <f t="shared" ref="P58" si="46">I58-SUM(J58:O58)</f>
        <v>231497</v>
      </c>
      <c r="Q58" s="17"/>
      <c r="R58" s="16" t="s">
        <v>55</v>
      </c>
      <c r="S58" s="16">
        <v>200000</v>
      </c>
      <c r="T58" s="16">
        <f t="shared" si="44"/>
        <v>4000</v>
      </c>
      <c r="U58" s="16">
        <f t="shared" ref="U58:U65" si="47">S58-T58</f>
        <v>196000</v>
      </c>
      <c r="V58" s="12" t="s">
        <v>33</v>
      </c>
      <c r="W58" s="16"/>
    </row>
    <row r="59" spans="1:25" hidden="1" x14ac:dyDescent="0.25">
      <c r="A59" s="32"/>
      <c r="B59" s="13"/>
      <c r="C59" s="14">
        <v>45237</v>
      </c>
      <c r="D59" s="20">
        <v>25</v>
      </c>
      <c r="E59" s="16">
        <v>689062</v>
      </c>
      <c r="F59" s="16">
        <v>19075</v>
      </c>
      <c r="G59" s="16">
        <f t="shared" si="42"/>
        <v>669987</v>
      </c>
      <c r="H59" s="16">
        <f>ROUND(G59*18%,)</f>
        <v>120598</v>
      </c>
      <c r="I59" s="16">
        <f>ROUND(G59+H59,)</f>
        <v>790585</v>
      </c>
      <c r="J59" s="16">
        <f t="shared" si="45"/>
        <v>13400</v>
      </c>
      <c r="K59" s="16">
        <f>ROUND(G59*5%,)</f>
        <v>33499</v>
      </c>
      <c r="L59" s="77"/>
      <c r="M59" s="122">
        <f>G59*10%</f>
        <v>66998.7</v>
      </c>
      <c r="N59" s="122">
        <f>H59</f>
        <v>120598</v>
      </c>
      <c r="O59" s="16">
        <v>0</v>
      </c>
      <c r="P59" s="61">
        <f t="shared" ref="P59" si="48">I59-SUM(J59:O59)</f>
        <v>556089.30000000005</v>
      </c>
      <c r="Q59" s="17"/>
      <c r="R59" s="16" t="s">
        <v>56</v>
      </c>
      <c r="S59" s="16">
        <v>200000</v>
      </c>
      <c r="T59" s="16">
        <f t="shared" si="44"/>
        <v>4000</v>
      </c>
      <c r="U59" s="16">
        <f t="shared" si="47"/>
        <v>196000</v>
      </c>
      <c r="V59" s="12" t="s">
        <v>45</v>
      </c>
      <c r="W59" s="16"/>
    </row>
    <row r="60" spans="1:25" hidden="1" x14ac:dyDescent="0.25">
      <c r="A60" s="32"/>
      <c r="B60" s="16" t="s">
        <v>117</v>
      </c>
      <c r="C60" s="21">
        <v>45276</v>
      </c>
      <c r="D60" s="20">
        <v>14</v>
      </c>
      <c r="E60" s="16">
        <v>24806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22">
        <f t="shared" ref="P60:P61" si="49">E60</f>
        <v>24806</v>
      </c>
      <c r="Q60" s="17"/>
      <c r="R60" s="16" t="s">
        <v>57</v>
      </c>
      <c r="S60" s="16">
        <v>400000</v>
      </c>
      <c r="T60" s="16">
        <f t="shared" si="44"/>
        <v>8000</v>
      </c>
      <c r="U60" s="16">
        <f t="shared" si="47"/>
        <v>392000</v>
      </c>
      <c r="V60" s="12" t="s">
        <v>46</v>
      </c>
      <c r="W60" s="16"/>
    </row>
    <row r="61" spans="1:25" hidden="1" x14ac:dyDescent="0.25">
      <c r="A61" s="32"/>
      <c r="B61" s="16" t="s">
        <v>117</v>
      </c>
      <c r="C61" s="21">
        <v>45276</v>
      </c>
      <c r="D61" s="20">
        <v>22</v>
      </c>
      <c r="E61" s="16">
        <v>44806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2">
        <f t="shared" si="49"/>
        <v>44806</v>
      </c>
      <c r="Q61" s="17"/>
      <c r="R61" s="16" t="s">
        <v>74</v>
      </c>
      <c r="S61" s="16">
        <v>300000</v>
      </c>
      <c r="T61" s="16">
        <f t="shared" si="44"/>
        <v>6000</v>
      </c>
      <c r="U61" s="16">
        <f t="shared" si="47"/>
        <v>294000</v>
      </c>
      <c r="V61" s="12" t="s">
        <v>73</v>
      </c>
      <c r="W61" s="16"/>
    </row>
    <row r="62" spans="1:25" hidden="1" x14ac:dyDescent="0.25">
      <c r="A62" s="32"/>
      <c r="B62" s="13"/>
      <c r="C62" s="21">
        <v>45324</v>
      </c>
      <c r="D62" s="20">
        <v>50</v>
      </c>
      <c r="E62" s="16">
        <v>689062</v>
      </c>
      <c r="F62" s="16">
        <v>0</v>
      </c>
      <c r="G62" s="16">
        <f t="shared" ref="G62:G63" si="50">E62-F62</f>
        <v>689062</v>
      </c>
      <c r="H62" s="16">
        <f>ROUND(G62*18%,)</f>
        <v>124031</v>
      </c>
      <c r="I62" s="16">
        <f>ROUND(G62+H62,)</f>
        <v>813093</v>
      </c>
      <c r="J62" s="16">
        <f>ROUND(G62*$J$5,)</f>
        <v>13781</v>
      </c>
      <c r="K62" s="16">
        <f>ROUND(G62*5%,)</f>
        <v>34453</v>
      </c>
      <c r="L62" s="16"/>
      <c r="M62" s="16"/>
      <c r="N62" s="122">
        <f>H62</f>
        <v>124031</v>
      </c>
      <c r="O62" s="16"/>
      <c r="P62" s="61">
        <f t="shared" ref="P62:P63" si="51">I62-SUM(J62:O62)</f>
        <v>640828</v>
      </c>
      <c r="Q62" s="17"/>
      <c r="R62" s="16" t="s">
        <v>126</v>
      </c>
      <c r="S62" s="16">
        <v>100000</v>
      </c>
      <c r="T62" s="16">
        <f t="shared" si="44"/>
        <v>2000</v>
      </c>
      <c r="U62" s="16">
        <f t="shared" si="47"/>
        <v>98000</v>
      </c>
      <c r="V62" s="12" t="s">
        <v>125</v>
      </c>
      <c r="W62" s="16"/>
    </row>
    <row r="63" spans="1:25" hidden="1" x14ac:dyDescent="0.25">
      <c r="A63" s="32"/>
      <c r="B63" s="16"/>
      <c r="C63" s="21">
        <v>45345</v>
      </c>
      <c r="D63" s="20">
        <v>61</v>
      </c>
      <c r="E63" s="16">
        <v>358312.5</v>
      </c>
      <c r="F63" s="16"/>
      <c r="G63" s="16">
        <f t="shared" si="50"/>
        <v>358312.5</v>
      </c>
      <c r="H63" s="16">
        <f>ROUND(G63*18%,)</f>
        <v>64496</v>
      </c>
      <c r="I63" s="16">
        <f>ROUND(G63+H63,)</f>
        <v>422809</v>
      </c>
      <c r="J63" s="16">
        <f>ROUND(G63*$J$5,)</f>
        <v>7166</v>
      </c>
      <c r="K63" s="16">
        <f>ROUND(G63*5%,)</f>
        <v>17916</v>
      </c>
      <c r="L63" s="16"/>
      <c r="M63" s="16"/>
      <c r="N63" s="122">
        <f>H63</f>
        <v>64496</v>
      </c>
      <c r="O63" s="16"/>
      <c r="P63" s="61">
        <f t="shared" si="51"/>
        <v>333231</v>
      </c>
      <c r="Q63" s="17"/>
      <c r="R63" s="16" t="s">
        <v>128</v>
      </c>
      <c r="S63" s="16">
        <v>400000</v>
      </c>
      <c r="T63" s="16">
        <f t="shared" si="44"/>
        <v>8000</v>
      </c>
      <c r="U63" s="16">
        <f t="shared" si="47"/>
        <v>392000</v>
      </c>
      <c r="V63" s="12" t="s">
        <v>127</v>
      </c>
      <c r="W63" s="16"/>
    </row>
    <row r="64" spans="1:25" hidden="1" x14ac:dyDescent="0.25">
      <c r="A64" s="32"/>
      <c r="B64" s="13" t="s">
        <v>202</v>
      </c>
      <c r="C64" s="12"/>
      <c r="D64" s="20">
        <v>25</v>
      </c>
      <c r="E64" s="16">
        <f>M59</f>
        <v>66998.7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22">
        <f>E64</f>
        <v>66998.7</v>
      </c>
      <c r="Q64" s="17"/>
      <c r="R64" s="16" t="s">
        <v>218</v>
      </c>
      <c r="S64" s="16">
        <v>400000</v>
      </c>
      <c r="T64" s="16">
        <f t="shared" si="44"/>
        <v>8000</v>
      </c>
      <c r="U64" s="16">
        <f t="shared" si="47"/>
        <v>392000</v>
      </c>
      <c r="V64" s="12" t="s">
        <v>132</v>
      </c>
      <c r="W64" s="16"/>
    </row>
    <row r="65" spans="1:23" hidden="1" x14ac:dyDescent="0.25">
      <c r="A65" s="32"/>
      <c r="B65" s="16" t="s">
        <v>42</v>
      </c>
      <c r="C65" s="16"/>
      <c r="D65" s="20">
        <v>50</v>
      </c>
      <c r="E65" s="16">
        <f>N62</f>
        <v>124031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22">
        <f>E65</f>
        <v>124031</v>
      </c>
      <c r="Q65" s="17"/>
      <c r="R65" s="16" t="s">
        <v>217</v>
      </c>
      <c r="S65" s="16">
        <v>100000</v>
      </c>
      <c r="T65" s="16">
        <f t="shared" si="44"/>
        <v>2000</v>
      </c>
      <c r="U65" s="16">
        <f t="shared" si="47"/>
        <v>98000</v>
      </c>
      <c r="V65" s="12" t="s">
        <v>216</v>
      </c>
      <c r="W65" s="16"/>
    </row>
    <row r="66" spans="1:23" hidden="1" x14ac:dyDescent="0.25">
      <c r="A66" s="32"/>
      <c r="B66" s="16" t="s">
        <v>117</v>
      </c>
      <c r="C66" s="16"/>
      <c r="D66" s="20">
        <v>61</v>
      </c>
      <c r="E66" s="16">
        <f>N63</f>
        <v>64496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2">
        <f>E66</f>
        <v>64496</v>
      </c>
      <c r="Q66" s="17"/>
      <c r="R66" s="16"/>
      <c r="S66" s="16">
        <v>400000</v>
      </c>
      <c r="T66" s="16">
        <v>8000</v>
      </c>
      <c r="U66" s="16">
        <v>392000</v>
      </c>
      <c r="V66" s="12" t="s">
        <v>286</v>
      </c>
      <c r="W66" s="16"/>
    </row>
    <row r="67" spans="1:23" hidden="1" x14ac:dyDescent="0.25">
      <c r="A67" s="32"/>
      <c r="B67" s="16" t="s">
        <v>117</v>
      </c>
      <c r="C67" s="16"/>
      <c r="D67" s="20">
        <v>25</v>
      </c>
      <c r="E67" s="16">
        <f>N59</f>
        <v>120598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22">
        <f>E67</f>
        <v>120598</v>
      </c>
      <c r="Q67" s="17"/>
      <c r="R67" s="16"/>
      <c r="S67" s="16"/>
      <c r="T67" s="16"/>
      <c r="U67" s="16"/>
      <c r="V67" s="78"/>
      <c r="W67" s="16"/>
    </row>
    <row r="68" spans="1:23" hidden="1" x14ac:dyDescent="0.25">
      <c r="A68" s="32"/>
      <c r="B68" s="16"/>
      <c r="C68" s="21">
        <v>45565</v>
      </c>
      <c r="D68" s="20">
        <v>57</v>
      </c>
      <c r="E68" s="16">
        <v>358312.5</v>
      </c>
      <c r="F68" s="16">
        <v>208785.9</v>
      </c>
      <c r="G68" s="16">
        <f t="shared" ref="G68" si="52">E68-F68</f>
        <v>149526.6</v>
      </c>
      <c r="H68" s="16">
        <f>ROUND(G68*18%,)</f>
        <v>26915</v>
      </c>
      <c r="I68" s="16">
        <f>ROUND(G68+H68,)</f>
        <v>176442</v>
      </c>
      <c r="J68" s="16">
        <f>ROUND(G68*$J$5,)</f>
        <v>2991</v>
      </c>
      <c r="K68" s="16">
        <f>ROUND(G68*5%,)</f>
        <v>7476</v>
      </c>
      <c r="L68" s="16"/>
      <c r="M68" s="16"/>
      <c r="N68" s="122">
        <f>H68</f>
        <v>26915</v>
      </c>
      <c r="O68" s="16"/>
      <c r="P68" s="61">
        <f t="shared" ref="P68" si="53">I68-SUM(J68:O68)</f>
        <v>139060</v>
      </c>
      <c r="Q68" s="17"/>
      <c r="R68" s="16"/>
      <c r="S68" s="16"/>
      <c r="T68" s="16"/>
      <c r="U68" s="16"/>
      <c r="V68" s="78"/>
      <c r="W68" s="16"/>
    </row>
    <row r="69" spans="1:23" hidden="1" x14ac:dyDescent="0.25">
      <c r="A69" s="32"/>
      <c r="B69" s="16" t="s">
        <v>118</v>
      </c>
      <c r="C69" s="16"/>
      <c r="D69" s="20">
        <v>57</v>
      </c>
      <c r="E69" s="16">
        <f>N68</f>
        <v>26915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22">
        <f>E69</f>
        <v>26915</v>
      </c>
      <c r="Q69" s="17"/>
      <c r="R69" s="16"/>
      <c r="S69" s="16"/>
      <c r="T69" s="16"/>
      <c r="U69" s="16"/>
      <c r="V69" s="78"/>
      <c r="W69" s="16"/>
    </row>
    <row r="70" spans="1:23" hidden="1" x14ac:dyDescent="0.25">
      <c r="A70" s="32"/>
      <c r="B70" s="16"/>
      <c r="C70" s="16"/>
      <c r="D70" s="20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78"/>
      <c r="W70" s="16"/>
    </row>
    <row r="71" spans="1:23" hidden="1" x14ac:dyDescent="0.25">
      <c r="A71" s="73">
        <v>59515</v>
      </c>
      <c r="B71" s="74"/>
      <c r="C71" s="74"/>
      <c r="D71" s="116"/>
      <c r="E71" s="74"/>
      <c r="F71" s="74"/>
      <c r="G71" s="74"/>
      <c r="H71" s="75"/>
      <c r="I71" s="74"/>
      <c r="J71" s="75"/>
      <c r="K71" s="75"/>
      <c r="L71" s="75"/>
      <c r="M71" s="75"/>
      <c r="N71" s="75"/>
      <c r="O71" s="75"/>
      <c r="P71" s="74"/>
      <c r="Q71" s="119">
        <f>A71</f>
        <v>59515</v>
      </c>
      <c r="R71" s="74"/>
      <c r="S71" s="74"/>
      <c r="T71" s="75"/>
      <c r="U71" s="74"/>
      <c r="V71" s="74"/>
      <c r="W71" s="74"/>
    </row>
    <row r="72" spans="1:23" x14ac:dyDescent="0.25">
      <c r="A72" s="32">
        <v>2610000</v>
      </c>
      <c r="B72" s="13" t="s">
        <v>155</v>
      </c>
      <c r="C72" s="14">
        <v>45210</v>
      </c>
      <c r="D72" s="20">
        <v>15</v>
      </c>
      <c r="E72" s="16">
        <v>130500</v>
      </c>
      <c r="F72" s="16">
        <v>0</v>
      </c>
      <c r="G72" s="16">
        <f t="shared" ref="G72:G74" si="54">E72-F72</f>
        <v>130500</v>
      </c>
      <c r="H72" s="16">
        <f>ROUND(G72*18%,)</f>
        <v>23490</v>
      </c>
      <c r="I72" s="16">
        <f>ROUND(G72+H72,)</f>
        <v>153990</v>
      </c>
      <c r="J72" s="16">
        <f>ROUND(G72*$J$5,)</f>
        <v>2610</v>
      </c>
      <c r="K72" s="16">
        <f>ROUND(G72*5%,)</f>
        <v>6525</v>
      </c>
      <c r="L72" s="16"/>
      <c r="M72" s="16"/>
      <c r="N72" s="16">
        <f>H72</f>
        <v>23490</v>
      </c>
      <c r="O72" s="16">
        <v>0</v>
      </c>
      <c r="P72" s="61">
        <f t="shared" ref="P72" si="55">I72-SUM(J72:O72)</f>
        <v>121365</v>
      </c>
      <c r="Q72" s="17"/>
      <c r="R72" s="16" t="s">
        <v>114</v>
      </c>
      <c r="S72" s="16">
        <v>200000</v>
      </c>
      <c r="T72" s="16">
        <f t="shared" ref="T72:T78" si="56">S72*$T$5</f>
        <v>4000</v>
      </c>
      <c r="U72" s="16">
        <f>S72-T72</f>
        <v>196000</v>
      </c>
      <c r="V72" s="78" t="s">
        <v>113</v>
      </c>
      <c r="W72" s="16">
        <f>SUM(P72:P79)-SUM(U72:U79)</f>
        <v>-965215</v>
      </c>
    </row>
    <row r="73" spans="1:23" hidden="1" x14ac:dyDescent="0.25">
      <c r="A73" s="32"/>
      <c r="B73" s="13"/>
      <c r="C73" s="14">
        <v>45293</v>
      </c>
      <c r="D73" s="20">
        <v>35</v>
      </c>
      <c r="E73" s="16">
        <v>261000</v>
      </c>
      <c r="F73" s="16">
        <v>0</v>
      </c>
      <c r="G73" s="16">
        <f t="shared" si="54"/>
        <v>261000</v>
      </c>
      <c r="H73" s="16">
        <f>ROUND(G73*18%,)</f>
        <v>46980</v>
      </c>
      <c r="I73" s="16">
        <f>ROUND(G73+H73,)</f>
        <v>307980</v>
      </c>
      <c r="J73" s="16">
        <f t="shared" ref="J73:J74" si="57">ROUND(G73*$J$5,)</f>
        <v>5220</v>
      </c>
      <c r="K73" s="16">
        <f>ROUND(G73*5%,)</f>
        <v>13050</v>
      </c>
      <c r="L73" s="12"/>
      <c r="M73" s="122">
        <f>G73*10%</f>
        <v>26100</v>
      </c>
      <c r="N73" s="122">
        <f>H73</f>
        <v>46980</v>
      </c>
      <c r="O73" s="16">
        <v>0</v>
      </c>
      <c r="P73" s="61">
        <f t="shared" ref="P73" si="58">I73-SUM(J73:O73)</f>
        <v>216630</v>
      </c>
      <c r="Q73" s="17"/>
      <c r="R73" s="16" t="s">
        <v>75</v>
      </c>
      <c r="S73" s="16">
        <v>100000</v>
      </c>
      <c r="T73" s="16">
        <f t="shared" si="56"/>
        <v>2000</v>
      </c>
      <c r="U73" s="16">
        <f t="shared" ref="U73:U76" si="59">S73-T73</f>
        <v>98000</v>
      </c>
      <c r="V73" s="12" t="s">
        <v>58</v>
      </c>
      <c r="W73" s="16"/>
    </row>
    <row r="74" spans="1:23" hidden="1" x14ac:dyDescent="0.25">
      <c r="A74" s="32"/>
      <c r="B74" s="13"/>
      <c r="C74" s="14">
        <v>45312</v>
      </c>
      <c r="D74" s="20">
        <v>37</v>
      </c>
      <c r="E74" s="16">
        <v>261000</v>
      </c>
      <c r="F74" s="16">
        <v>0</v>
      </c>
      <c r="G74" s="16">
        <f t="shared" si="54"/>
        <v>261000</v>
      </c>
      <c r="H74" s="16">
        <f>ROUND(G74*18%,)</f>
        <v>46980</v>
      </c>
      <c r="I74" s="16">
        <f>ROUND(G74+H74,)</f>
        <v>307980</v>
      </c>
      <c r="J74" s="16">
        <f t="shared" si="57"/>
        <v>5220</v>
      </c>
      <c r="K74" s="16">
        <f>ROUND(G74*5%,)</f>
        <v>13050</v>
      </c>
      <c r="L74" s="77"/>
      <c r="M74" s="122">
        <f>G74*10%</f>
        <v>26100</v>
      </c>
      <c r="N74" s="122">
        <f>H74</f>
        <v>46980</v>
      </c>
      <c r="O74" s="16">
        <v>0</v>
      </c>
      <c r="P74" s="61">
        <f t="shared" ref="P74" si="60">I74-SUM(J74:O74)</f>
        <v>216630</v>
      </c>
      <c r="Q74" s="17"/>
      <c r="R74" s="16" t="s">
        <v>88</v>
      </c>
      <c r="S74" s="16">
        <v>100000</v>
      </c>
      <c r="T74" s="16">
        <f t="shared" si="56"/>
        <v>2000</v>
      </c>
      <c r="U74" s="16">
        <f t="shared" si="59"/>
        <v>98000</v>
      </c>
      <c r="V74" s="12" t="s">
        <v>86</v>
      </c>
      <c r="W74" s="16"/>
    </row>
    <row r="75" spans="1:23" hidden="1" x14ac:dyDescent="0.25">
      <c r="A75" s="32"/>
      <c r="B75" s="13" t="s">
        <v>156</v>
      </c>
      <c r="C75" s="14">
        <v>45335</v>
      </c>
      <c r="D75" s="20" t="s">
        <v>145</v>
      </c>
      <c r="E75" s="16">
        <f>H73+H74</f>
        <v>93960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2">
        <f>E75</f>
        <v>93960</v>
      </c>
      <c r="Q75" s="17"/>
      <c r="R75" s="16" t="s">
        <v>89</v>
      </c>
      <c r="S75" s="16">
        <v>200000</v>
      </c>
      <c r="T75" s="16">
        <f t="shared" si="56"/>
        <v>4000</v>
      </c>
      <c r="U75" s="16">
        <f t="shared" si="59"/>
        <v>196000</v>
      </c>
      <c r="V75" s="12" t="s">
        <v>87</v>
      </c>
      <c r="W75" s="16"/>
    </row>
    <row r="76" spans="1:23" hidden="1" x14ac:dyDescent="0.25">
      <c r="A76" s="32"/>
      <c r="B76" s="13" t="s">
        <v>247</v>
      </c>
      <c r="C76" s="14"/>
      <c r="D76" s="20" t="s">
        <v>145</v>
      </c>
      <c r="E76" s="16">
        <f>M73+M74</f>
        <v>52200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22">
        <f>E76</f>
        <v>52200</v>
      </c>
      <c r="Q76" s="17"/>
      <c r="R76" s="16" t="s">
        <v>116</v>
      </c>
      <c r="S76" s="16">
        <v>100000</v>
      </c>
      <c r="T76" s="16">
        <f t="shared" si="56"/>
        <v>2000</v>
      </c>
      <c r="U76" s="16">
        <f t="shared" si="59"/>
        <v>98000</v>
      </c>
      <c r="V76" s="12" t="s">
        <v>115</v>
      </c>
      <c r="W76" s="16"/>
    </row>
    <row r="77" spans="1:23" hidden="1" x14ac:dyDescent="0.25">
      <c r="A77" s="32"/>
      <c r="B77" s="13"/>
      <c r="C77" s="14"/>
      <c r="D77" s="20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>
        <v>500000</v>
      </c>
      <c r="T77" s="16">
        <f t="shared" si="56"/>
        <v>10000</v>
      </c>
      <c r="U77" s="16">
        <v>490000</v>
      </c>
      <c r="V77" s="12" t="s">
        <v>285</v>
      </c>
      <c r="W77" s="16"/>
    </row>
    <row r="78" spans="1:23" hidden="1" x14ac:dyDescent="0.25">
      <c r="A78" s="32"/>
      <c r="B78" s="13"/>
      <c r="C78" s="14"/>
      <c r="D78" s="20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>
        <v>500000</v>
      </c>
      <c r="T78" s="16">
        <f t="shared" si="56"/>
        <v>10000</v>
      </c>
      <c r="U78" s="16">
        <v>490000</v>
      </c>
      <c r="V78" s="12" t="s">
        <v>318</v>
      </c>
      <c r="W78" s="16"/>
    </row>
    <row r="79" spans="1:23" hidden="1" x14ac:dyDescent="0.25">
      <c r="A79" s="32"/>
      <c r="B79" s="13"/>
      <c r="C79" s="14"/>
      <c r="D79" s="20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2"/>
      <c r="W79" s="16"/>
    </row>
    <row r="80" spans="1:23" hidden="1" x14ac:dyDescent="0.25">
      <c r="A80" s="73">
        <v>60549</v>
      </c>
      <c r="B80" s="74"/>
      <c r="C80" s="74"/>
      <c r="D80" s="116"/>
      <c r="E80" s="74"/>
      <c r="F80" s="74"/>
      <c r="G80" s="74"/>
      <c r="H80" s="75"/>
      <c r="I80" s="74"/>
      <c r="J80" s="75"/>
      <c r="K80" s="75"/>
      <c r="L80" s="75"/>
      <c r="M80" s="75"/>
      <c r="N80" s="75"/>
      <c r="O80" s="75"/>
      <c r="P80" s="74"/>
      <c r="Q80" s="119">
        <f>A80</f>
        <v>60549</v>
      </c>
      <c r="R80" s="74"/>
      <c r="S80" s="74"/>
      <c r="T80" s="75"/>
      <c r="U80" s="74"/>
      <c r="V80" s="74"/>
      <c r="W80" s="74"/>
    </row>
    <row r="81" spans="1:23" hidden="1" x14ac:dyDescent="0.25">
      <c r="A81" s="32">
        <v>3150000</v>
      </c>
      <c r="B81" s="13" t="s">
        <v>158</v>
      </c>
      <c r="C81" s="14">
        <v>45293</v>
      </c>
      <c r="D81" s="20">
        <v>34</v>
      </c>
      <c r="E81" s="16">
        <v>315000</v>
      </c>
      <c r="F81" s="16">
        <v>0</v>
      </c>
      <c r="G81" s="16">
        <f t="shared" ref="G81:G83" si="61">E81-F81</f>
        <v>315000</v>
      </c>
      <c r="H81" s="16">
        <f>ROUND(G81*18%,)</f>
        <v>56700</v>
      </c>
      <c r="I81" s="16">
        <f>ROUND(G81+H81,)</f>
        <v>371700</v>
      </c>
      <c r="J81" s="16">
        <f>ROUND(G81*$J$5,)</f>
        <v>6300</v>
      </c>
      <c r="K81" s="16">
        <f>ROUND(G81*5%,)</f>
        <v>15750</v>
      </c>
      <c r="L81" s="16"/>
      <c r="M81" s="122">
        <f>G81*10%</f>
        <v>31500</v>
      </c>
      <c r="N81" s="122">
        <f>H81</f>
        <v>56700</v>
      </c>
      <c r="O81" s="16"/>
      <c r="P81" s="61">
        <f>I81-SUM(J81:O81)</f>
        <v>261450</v>
      </c>
      <c r="Q81" s="17"/>
      <c r="R81" s="16" t="s">
        <v>68</v>
      </c>
      <c r="S81" s="16">
        <v>400000</v>
      </c>
      <c r="T81" s="16">
        <f t="shared" ref="T81:T85" si="62">S81*$T$5</f>
        <v>8000</v>
      </c>
      <c r="U81" s="16">
        <f>S81-T81</f>
        <v>392000</v>
      </c>
      <c r="V81" s="12" t="s">
        <v>67</v>
      </c>
      <c r="W81" s="16">
        <f>SUM(P81:P93)-SUM(U81:U93)</f>
        <v>362137.83999999985</v>
      </c>
    </row>
    <row r="82" spans="1:23" hidden="1" x14ac:dyDescent="0.25">
      <c r="A82" s="32"/>
      <c r="B82" s="13" t="s">
        <v>158</v>
      </c>
      <c r="C82" s="14">
        <v>45293</v>
      </c>
      <c r="D82" s="20">
        <v>33</v>
      </c>
      <c r="E82" s="16">
        <v>472500</v>
      </c>
      <c r="F82" s="16">
        <v>0</v>
      </c>
      <c r="G82" s="16">
        <f t="shared" si="61"/>
        <v>472500</v>
      </c>
      <c r="H82" s="16">
        <f>ROUND(G82*18%,)</f>
        <v>85050</v>
      </c>
      <c r="I82" s="16">
        <f>ROUND(G82+H82,)</f>
        <v>557550</v>
      </c>
      <c r="J82" s="16">
        <f t="shared" ref="J82:J83" si="63">ROUND(G82*$J$5,)</f>
        <v>9450</v>
      </c>
      <c r="K82" s="16">
        <f>ROUND(G82*5%,)</f>
        <v>23625</v>
      </c>
      <c r="L82" s="16"/>
      <c r="M82" s="16"/>
      <c r="N82" s="122">
        <f>H82</f>
        <v>85050</v>
      </c>
      <c r="O82" s="16"/>
      <c r="P82" s="61">
        <f>I82-SUM(J82:O82)</f>
        <v>439425</v>
      </c>
      <c r="Q82" s="79" t="s">
        <v>234</v>
      </c>
      <c r="R82" s="16" t="s">
        <v>93</v>
      </c>
      <c r="S82" s="16">
        <v>500000</v>
      </c>
      <c r="T82" s="16">
        <f t="shared" si="62"/>
        <v>10000</v>
      </c>
      <c r="U82" s="16">
        <f t="shared" ref="U82:U85" si="64">S82-T82</f>
        <v>490000</v>
      </c>
      <c r="V82" s="16" t="s">
        <v>92</v>
      </c>
      <c r="W82" s="16"/>
    </row>
    <row r="83" spans="1:23" hidden="1" x14ac:dyDescent="0.25">
      <c r="A83" s="32"/>
      <c r="B83" s="13" t="s">
        <v>158</v>
      </c>
      <c r="C83" s="14">
        <v>45312</v>
      </c>
      <c r="D83" s="20">
        <v>38</v>
      </c>
      <c r="E83" s="16">
        <v>472500</v>
      </c>
      <c r="F83" s="16">
        <v>0</v>
      </c>
      <c r="G83" s="16">
        <f t="shared" si="61"/>
        <v>472500</v>
      </c>
      <c r="H83" s="16">
        <f>ROUND(G83*18%,)</f>
        <v>85050</v>
      </c>
      <c r="I83" s="16">
        <f>ROUND(G83+H83,)</f>
        <v>557550</v>
      </c>
      <c r="J83" s="16">
        <f t="shared" si="63"/>
        <v>9450</v>
      </c>
      <c r="K83" s="16">
        <f>ROUND(G83*5%,)</f>
        <v>23625</v>
      </c>
      <c r="L83" s="16"/>
      <c r="M83" s="122">
        <f>G83*10%</f>
        <v>47250</v>
      </c>
      <c r="N83" s="122">
        <f>H83</f>
        <v>85050</v>
      </c>
      <c r="O83" s="16"/>
      <c r="P83" s="61">
        <f t="shared" ref="P83" si="65">I83-SUM(J83:O83)</f>
        <v>392175</v>
      </c>
      <c r="Q83" s="23"/>
      <c r="R83" s="16" t="s">
        <v>253</v>
      </c>
      <c r="S83" s="16">
        <v>500000</v>
      </c>
      <c r="T83" s="16">
        <f t="shared" si="62"/>
        <v>10000</v>
      </c>
      <c r="U83" s="16">
        <f t="shared" si="64"/>
        <v>490000</v>
      </c>
      <c r="V83" s="16" t="s">
        <v>90</v>
      </c>
      <c r="W83" s="16"/>
    </row>
    <row r="84" spans="1:23" hidden="1" x14ac:dyDescent="0.25">
      <c r="A84" s="32"/>
      <c r="B84" s="13" t="s">
        <v>156</v>
      </c>
      <c r="C84" s="14" t="s">
        <v>143</v>
      </c>
      <c r="D84" s="20" t="s">
        <v>146</v>
      </c>
      <c r="E84" s="16">
        <f>H81+H82+H83</f>
        <v>226800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22">
        <f>E84</f>
        <v>226800</v>
      </c>
      <c r="Q84" s="23"/>
      <c r="R84" s="16" t="s">
        <v>254</v>
      </c>
      <c r="S84" s="16">
        <v>500000</v>
      </c>
      <c r="T84" s="16">
        <f t="shared" si="62"/>
        <v>10000</v>
      </c>
      <c r="U84" s="16">
        <f t="shared" si="64"/>
        <v>490000</v>
      </c>
      <c r="V84" s="16" t="s">
        <v>235</v>
      </c>
      <c r="W84" s="16"/>
    </row>
    <row r="85" spans="1:23" hidden="1" x14ac:dyDescent="0.25">
      <c r="A85" s="32"/>
      <c r="B85" s="13" t="s">
        <v>158</v>
      </c>
      <c r="C85" s="14">
        <v>45362</v>
      </c>
      <c r="D85" s="20">
        <v>73</v>
      </c>
      <c r="E85" s="16">
        <v>315000</v>
      </c>
      <c r="F85" s="16">
        <v>0</v>
      </c>
      <c r="G85" s="16">
        <f t="shared" ref="G85:G86" si="66">E85-F85</f>
        <v>315000</v>
      </c>
      <c r="H85" s="16">
        <f>ROUND(G85*18%,)</f>
        <v>56700</v>
      </c>
      <c r="I85" s="16">
        <f>ROUND(G85+H85,)</f>
        <v>371700</v>
      </c>
      <c r="J85" s="16">
        <f>G85*2%</f>
        <v>6300</v>
      </c>
      <c r="K85" s="16">
        <f>ROUND(G85*5%,)</f>
        <v>15750</v>
      </c>
      <c r="L85" s="16"/>
      <c r="M85" s="16"/>
      <c r="N85" s="122">
        <f>H85</f>
        <v>56700</v>
      </c>
      <c r="O85" s="16"/>
      <c r="P85" s="122">
        <f>I85-SUM(J85:O85)</f>
        <v>292950</v>
      </c>
      <c r="Q85" s="23"/>
      <c r="R85" s="16" t="s">
        <v>252</v>
      </c>
      <c r="S85" s="16">
        <v>300000</v>
      </c>
      <c r="T85" s="16">
        <f t="shared" si="62"/>
        <v>6000</v>
      </c>
      <c r="U85" s="16">
        <f t="shared" si="64"/>
        <v>294000</v>
      </c>
      <c r="V85" s="16" t="s">
        <v>251</v>
      </c>
      <c r="W85" s="16"/>
    </row>
    <row r="86" spans="1:23" hidden="1" x14ac:dyDescent="0.25">
      <c r="A86" s="32"/>
      <c r="B86" s="13" t="s">
        <v>158</v>
      </c>
      <c r="C86" s="14">
        <v>45370</v>
      </c>
      <c r="D86" s="20">
        <v>78</v>
      </c>
      <c r="E86" s="16">
        <v>472500</v>
      </c>
      <c r="F86" s="16">
        <v>0</v>
      </c>
      <c r="G86" s="16">
        <f t="shared" si="66"/>
        <v>472500</v>
      </c>
      <c r="H86" s="16">
        <f>ROUND(G86*18%,)</f>
        <v>85050</v>
      </c>
      <c r="I86" s="16">
        <f>ROUND(G86+H86,)</f>
        <v>557550</v>
      </c>
      <c r="J86" s="16">
        <f>G86*2%</f>
        <v>9450</v>
      </c>
      <c r="K86" s="16">
        <f>ROUND(G86*5%,)</f>
        <v>23625</v>
      </c>
      <c r="L86" s="16"/>
      <c r="M86" s="16"/>
      <c r="N86" s="122">
        <f>H86</f>
        <v>85050</v>
      </c>
      <c r="O86" s="16"/>
      <c r="P86" s="61">
        <f>I86-SUM(J86:O86)</f>
        <v>439425</v>
      </c>
      <c r="Q86" s="23"/>
      <c r="R86" s="16"/>
      <c r="S86" s="16">
        <v>300000</v>
      </c>
      <c r="T86" s="16">
        <v>6000</v>
      </c>
      <c r="U86" s="16">
        <v>294000</v>
      </c>
      <c r="V86" s="16" t="s">
        <v>260</v>
      </c>
      <c r="W86" s="16"/>
    </row>
    <row r="87" spans="1:23" hidden="1" x14ac:dyDescent="0.25">
      <c r="A87" s="32"/>
      <c r="B87" s="13" t="s">
        <v>156</v>
      </c>
      <c r="C87" s="14"/>
      <c r="D87" s="20" t="s">
        <v>248</v>
      </c>
      <c r="E87" s="16">
        <f>N85+N86</f>
        <v>141750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22">
        <f>E87</f>
        <v>141750</v>
      </c>
      <c r="Q87" s="23"/>
      <c r="R87" s="16"/>
      <c r="S87" s="16"/>
      <c r="T87" s="16"/>
      <c r="U87" s="16"/>
      <c r="V87" s="16"/>
      <c r="W87" s="16"/>
    </row>
    <row r="88" spans="1:23" hidden="1" x14ac:dyDescent="0.25">
      <c r="A88" s="32"/>
      <c r="B88" s="13" t="s">
        <v>249</v>
      </c>
      <c r="C88" s="14"/>
      <c r="D88" s="20" t="s">
        <v>250</v>
      </c>
      <c r="E88" s="16">
        <f>M81+M83</f>
        <v>78750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61">
        <f>E88</f>
        <v>78750</v>
      </c>
      <c r="Q88" s="23"/>
      <c r="R88" s="16"/>
      <c r="S88" s="16"/>
      <c r="T88" s="16"/>
      <c r="U88" s="16"/>
      <c r="V88" s="16"/>
      <c r="W88" s="16"/>
    </row>
    <row r="89" spans="1:23" hidden="1" x14ac:dyDescent="0.25">
      <c r="A89" s="32"/>
      <c r="B89" s="13" t="s">
        <v>158</v>
      </c>
      <c r="C89" s="14">
        <v>45422</v>
      </c>
      <c r="D89" s="20" t="s">
        <v>284</v>
      </c>
      <c r="E89" s="16">
        <v>157500</v>
      </c>
      <c r="F89" s="16">
        <v>0</v>
      </c>
      <c r="G89" s="16">
        <f t="shared" ref="G89" si="67">E89-F89</f>
        <v>157500</v>
      </c>
      <c r="H89" s="16">
        <f>ROUND(G89*18%,)</f>
        <v>28350</v>
      </c>
      <c r="I89" s="16">
        <f>ROUND(G89+H89,)</f>
        <v>185850</v>
      </c>
      <c r="J89" s="16">
        <f>G89*2%</f>
        <v>3150</v>
      </c>
      <c r="K89" s="16">
        <f>ROUND(G89*5%,)</f>
        <v>7875</v>
      </c>
      <c r="L89" s="16"/>
      <c r="M89" s="16"/>
      <c r="N89" s="122">
        <f>H89</f>
        <v>28350</v>
      </c>
      <c r="O89" s="16"/>
      <c r="P89" s="61">
        <f>I89-SUM(J89:O89)</f>
        <v>146475</v>
      </c>
      <c r="Q89" s="23"/>
      <c r="R89" s="16"/>
      <c r="S89" s="16"/>
      <c r="T89" s="16"/>
      <c r="U89" s="16"/>
      <c r="V89" s="16"/>
      <c r="W89" s="16"/>
    </row>
    <row r="90" spans="1:23" hidden="1" x14ac:dyDescent="0.25">
      <c r="A90" s="32"/>
      <c r="B90" s="13" t="s">
        <v>156</v>
      </c>
      <c r="C90" s="14"/>
      <c r="D90" s="20" t="s">
        <v>284</v>
      </c>
      <c r="E90" s="16">
        <f>N89</f>
        <v>28350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22">
        <f>E90</f>
        <v>28350</v>
      </c>
      <c r="Q90" s="23"/>
      <c r="R90" s="16"/>
      <c r="S90" s="16"/>
      <c r="T90" s="16"/>
      <c r="U90" s="16"/>
      <c r="V90" s="16"/>
      <c r="W90" s="16"/>
    </row>
    <row r="91" spans="1:23" hidden="1" x14ac:dyDescent="0.25">
      <c r="A91" s="32"/>
      <c r="B91" s="13" t="s">
        <v>158</v>
      </c>
      <c r="C91" s="14">
        <v>45581</v>
      </c>
      <c r="D91" s="20">
        <v>63</v>
      </c>
      <c r="E91" s="16">
        <v>504000</v>
      </c>
      <c r="F91" s="16">
        <v>175542</v>
      </c>
      <c r="G91" s="16">
        <f t="shared" ref="G91" si="68">E91-F91</f>
        <v>328458</v>
      </c>
      <c r="H91" s="16">
        <f>ROUND(G91*18%,)</f>
        <v>59122</v>
      </c>
      <c r="I91" s="16">
        <f>ROUND(G91+H91,)</f>
        <v>387580</v>
      </c>
      <c r="J91" s="16">
        <f>G91*2%</f>
        <v>6569.16</v>
      </c>
      <c r="K91" s="16">
        <f>ROUND(G91*5%,)</f>
        <v>16423</v>
      </c>
      <c r="L91" s="16"/>
      <c r="M91" s="16"/>
      <c r="N91" s="122">
        <f>H91</f>
        <v>59122</v>
      </c>
      <c r="O91" s="16"/>
      <c r="P91" s="61">
        <f>I91-SUM(J91:O91)</f>
        <v>305465.83999999997</v>
      </c>
      <c r="Q91" s="23"/>
      <c r="R91" s="16"/>
      <c r="S91" s="16"/>
      <c r="T91" s="16"/>
      <c r="U91" s="16"/>
      <c r="V91" s="16"/>
      <c r="W91" s="16"/>
    </row>
    <row r="92" spans="1:23" hidden="1" x14ac:dyDescent="0.25">
      <c r="A92" s="32"/>
      <c r="B92" s="13" t="s">
        <v>156</v>
      </c>
      <c r="C92" s="14"/>
      <c r="D92" s="20">
        <v>63</v>
      </c>
      <c r="E92" s="16">
        <f>N91</f>
        <v>59122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2">
        <f>E92</f>
        <v>59122</v>
      </c>
      <c r="Q92" s="23"/>
      <c r="R92" s="16"/>
      <c r="S92" s="16"/>
      <c r="T92" s="16"/>
      <c r="U92" s="16"/>
      <c r="V92" s="16"/>
      <c r="W92" s="16"/>
    </row>
    <row r="93" spans="1:23" hidden="1" x14ac:dyDescent="0.25">
      <c r="A93" s="32"/>
      <c r="B93" s="13"/>
      <c r="C93" s="14"/>
      <c r="D93" s="20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23"/>
      <c r="R93" s="16"/>
      <c r="S93" s="16"/>
      <c r="T93" s="16"/>
      <c r="U93" s="16"/>
      <c r="V93" s="16"/>
      <c r="W93" s="16"/>
    </row>
    <row r="94" spans="1:23" hidden="1" x14ac:dyDescent="0.25">
      <c r="A94" s="73">
        <v>60550</v>
      </c>
      <c r="B94" s="74"/>
      <c r="C94" s="74"/>
      <c r="D94" s="116"/>
      <c r="E94" s="74"/>
      <c r="F94" s="74"/>
      <c r="G94" s="74"/>
      <c r="H94" s="75"/>
      <c r="I94" s="74"/>
      <c r="J94" s="75"/>
      <c r="K94" s="75"/>
      <c r="L94" s="75"/>
      <c r="M94" s="75"/>
      <c r="N94" s="75"/>
      <c r="O94" s="75"/>
      <c r="P94" s="74"/>
      <c r="Q94" s="119">
        <f>A94</f>
        <v>60550</v>
      </c>
      <c r="R94" s="74"/>
      <c r="S94" s="74"/>
      <c r="T94" s="75"/>
      <c r="U94" s="74"/>
      <c r="V94" s="74"/>
      <c r="W94" s="74"/>
    </row>
    <row r="95" spans="1:23" hidden="1" x14ac:dyDescent="0.25">
      <c r="A95" s="32">
        <v>3675000</v>
      </c>
      <c r="B95" s="13" t="s">
        <v>160</v>
      </c>
      <c r="C95" s="14">
        <v>45422</v>
      </c>
      <c r="D95" s="20">
        <v>15</v>
      </c>
      <c r="E95" s="16">
        <v>551250</v>
      </c>
      <c r="F95" s="16">
        <v>0</v>
      </c>
      <c r="G95" s="16">
        <f t="shared" ref="G95:G96" si="69">E95-F95</f>
        <v>551250</v>
      </c>
      <c r="H95" s="16">
        <f>ROUND(G95*18%,)</f>
        <v>99225</v>
      </c>
      <c r="I95" s="16">
        <f>ROUND(G95+H95,)</f>
        <v>650475</v>
      </c>
      <c r="J95" s="16">
        <f>G95*2%</f>
        <v>11025</v>
      </c>
      <c r="K95" s="16">
        <f>ROUND(G95*5%,)</f>
        <v>27563</v>
      </c>
      <c r="L95" s="16"/>
      <c r="M95" s="16">
        <v>0</v>
      </c>
      <c r="N95" s="122">
        <f>H95</f>
        <v>99225</v>
      </c>
      <c r="O95" s="16"/>
      <c r="P95" s="61">
        <f>I95-SUM(J95:O95)</f>
        <v>512662</v>
      </c>
      <c r="Q95" s="17"/>
      <c r="R95" s="16" t="s">
        <v>66</v>
      </c>
      <c r="S95" s="16">
        <v>400000</v>
      </c>
      <c r="T95" s="16">
        <f t="shared" ref="T95" si="70">S95*$T$5</f>
        <v>8000</v>
      </c>
      <c r="U95" s="16">
        <f>S95-T95</f>
        <v>392000</v>
      </c>
      <c r="V95" s="12" t="s">
        <v>65</v>
      </c>
      <c r="W95" s="16">
        <f>SUM(P95:P99)-SUM(U95:U99)</f>
        <v>1385474</v>
      </c>
    </row>
    <row r="96" spans="1:23" hidden="1" x14ac:dyDescent="0.25">
      <c r="A96" s="34"/>
      <c r="B96" s="13" t="s">
        <v>160</v>
      </c>
      <c r="C96" s="21">
        <v>45454</v>
      </c>
      <c r="D96" s="115">
        <v>24</v>
      </c>
      <c r="E96" s="16">
        <v>918750</v>
      </c>
      <c r="F96" s="16"/>
      <c r="G96" s="16">
        <f t="shared" si="69"/>
        <v>918750</v>
      </c>
      <c r="H96" s="16">
        <f>ROUND(G96*18%,)</f>
        <v>165375</v>
      </c>
      <c r="I96" s="16">
        <f>ROUND(G96+H96,)</f>
        <v>1084125</v>
      </c>
      <c r="J96" s="16">
        <f>G96*2%</f>
        <v>18375</v>
      </c>
      <c r="K96" s="16">
        <f>ROUND(G96*5%,)</f>
        <v>45938</v>
      </c>
      <c r="L96" s="16"/>
      <c r="M96" s="16">
        <v>0</v>
      </c>
      <c r="N96" s="122">
        <f>H96</f>
        <v>165375</v>
      </c>
      <c r="O96" s="16"/>
      <c r="P96" s="61">
        <f>I96-SUM(J96:O96)</f>
        <v>854437</v>
      </c>
      <c r="Q96" s="23"/>
      <c r="R96" s="16" t="s">
        <v>374</v>
      </c>
      <c r="S96" s="16">
        <v>500000</v>
      </c>
      <c r="T96" s="16">
        <v>10000</v>
      </c>
      <c r="U96" s="16">
        <v>490000</v>
      </c>
      <c r="V96" s="12" t="s">
        <v>272</v>
      </c>
      <c r="W96" s="16"/>
    </row>
    <row r="97" spans="1:23" hidden="1" x14ac:dyDescent="0.25">
      <c r="A97" s="34"/>
      <c r="B97" s="13" t="s">
        <v>229</v>
      </c>
      <c r="C97" s="14"/>
      <c r="D97" s="115" t="s">
        <v>276</v>
      </c>
      <c r="E97" s="16">
        <f>N95+N96</f>
        <v>264600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22">
        <f>E97</f>
        <v>264600</v>
      </c>
      <c r="Q97" s="23"/>
      <c r="R97" s="16" t="s">
        <v>375</v>
      </c>
      <c r="S97" s="16">
        <v>400000</v>
      </c>
      <c r="T97" s="16">
        <v>80000</v>
      </c>
      <c r="U97" s="16">
        <v>392000</v>
      </c>
      <c r="V97" s="16" t="s">
        <v>283</v>
      </c>
      <c r="W97" s="16"/>
    </row>
    <row r="98" spans="1:23" hidden="1" x14ac:dyDescent="0.25">
      <c r="A98" s="34"/>
      <c r="B98" s="13" t="s">
        <v>160</v>
      </c>
      <c r="C98" s="14">
        <v>45565</v>
      </c>
      <c r="D98" s="115">
        <v>55</v>
      </c>
      <c r="E98" s="16">
        <v>1102500</v>
      </c>
      <c r="F98" s="16"/>
      <c r="G98" s="16">
        <f t="shared" ref="G98" si="71">E98-F98</f>
        <v>1102500</v>
      </c>
      <c r="H98" s="16">
        <f>ROUND(G98*18%,)</f>
        <v>198450</v>
      </c>
      <c r="I98" s="16">
        <f>ROUND(G98+H98,)</f>
        <v>1300950</v>
      </c>
      <c r="J98" s="16">
        <f>G98*2%</f>
        <v>22050</v>
      </c>
      <c r="K98" s="16">
        <f>ROUND(G98*5%,)</f>
        <v>55125</v>
      </c>
      <c r="L98" s="16"/>
      <c r="M98" s="16">
        <v>0</v>
      </c>
      <c r="N98" s="122">
        <f>H98</f>
        <v>198450</v>
      </c>
      <c r="O98" s="16"/>
      <c r="P98" s="61">
        <f>I98-SUM(J98:O98)</f>
        <v>1025325</v>
      </c>
      <c r="Q98" s="23"/>
      <c r="R98" s="16" t="s">
        <v>376</v>
      </c>
      <c r="S98" s="16">
        <v>200000</v>
      </c>
      <c r="T98" s="16">
        <v>4000</v>
      </c>
      <c r="U98" s="16">
        <v>196000</v>
      </c>
      <c r="V98" s="16" t="s">
        <v>310</v>
      </c>
      <c r="W98" s="16"/>
    </row>
    <row r="99" spans="1:23" hidden="1" x14ac:dyDescent="0.25">
      <c r="A99" s="34"/>
      <c r="B99" s="16" t="s">
        <v>229</v>
      </c>
      <c r="C99" s="16"/>
      <c r="D99" s="115">
        <v>55</v>
      </c>
      <c r="E99" s="16">
        <f>N98</f>
        <v>198450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22">
        <f>E99</f>
        <v>198450</v>
      </c>
      <c r="Q99" s="23"/>
      <c r="R99" s="16"/>
      <c r="S99" s="16"/>
      <c r="T99" s="16"/>
      <c r="U99" s="16"/>
      <c r="V99" s="16"/>
      <c r="W99" s="16"/>
    </row>
    <row r="100" spans="1:23" hidden="1" x14ac:dyDescent="0.25">
      <c r="A100" s="73">
        <v>60705</v>
      </c>
      <c r="B100" s="74"/>
      <c r="C100" s="74"/>
      <c r="D100" s="116"/>
      <c r="E100" s="74"/>
      <c r="F100" s="74"/>
      <c r="G100" s="74"/>
      <c r="H100" s="75"/>
      <c r="I100" s="74"/>
      <c r="J100" s="75"/>
      <c r="K100" s="75"/>
      <c r="L100" s="75"/>
      <c r="M100" s="75"/>
      <c r="N100" s="75"/>
      <c r="O100" s="75"/>
      <c r="P100" s="74"/>
      <c r="Q100" s="119">
        <f>A100</f>
        <v>60705</v>
      </c>
      <c r="R100" s="74"/>
      <c r="S100" s="74"/>
      <c r="T100" s="75"/>
      <c r="U100" s="74"/>
      <c r="V100" s="74"/>
      <c r="W100" s="74"/>
    </row>
    <row r="101" spans="1:23" hidden="1" x14ac:dyDescent="0.25">
      <c r="A101" s="32">
        <v>3960000</v>
      </c>
      <c r="B101" s="13" t="s">
        <v>161</v>
      </c>
      <c r="C101" s="14">
        <v>45422</v>
      </c>
      <c r="D101" s="20">
        <v>17</v>
      </c>
      <c r="E101" s="16">
        <v>396000</v>
      </c>
      <c r="F101" s="16">
        <v>0</v>
      </c>
      <c r="G101" s="16">
        <f t="shared" ref="G101:G102" si="72">E101-F101</f>
        <v>396000</v>
      </c>
      <c r="H101" s="16">
        <f>ROUND(G101*18%,)</f>
        <v>71280</v>
      </c>
      <c r="I101" s="16">
        <f>ROUND(G101+H101,)</f>
        <v>467280</v>
      </c>
      <c r="J101" s="16">
        <f>G101*2%</f>
        <v>7920</v>
      </c>
      <c r="K101" s="16">
        <f>ROUND(G101*5%,)</f>
        <v>19800</v>
      </c>
      <c r="L101" s="16"/>
      <c r="M101" s="16">
        <v>0</v>
      </c>
      <c r="N101" s="122">
        <f>H101</f>
        <v>71280</v>
      </c>
      <c r="O101" s="16"/>
      <c r="P101" s="61">
        <f>I101-SUM(J101:O101)</f>
        <v>368280</v>
      </c>
      <c r="Q101" s="17"/>
      <c r="R101" s="16" t="s">
        <v>64</v>
      </c>
      <c r="S101" s="16">
        <v>400000</v>
      </c>
      <c r="T101" s="16">
        <f t="shared" ref="T101" si="73">S101*$T$5</f>
        <v>8000</v>
      </c>
      <c r="U101" s="16">
        <f>S101-T101</f>
        <v>392000</v>
      </c>
      <c r="V101" s="12" t="s">
        <v>63</v>
      </c>
      <c r="W101" s="16">
        <f>SUM(P101:P106)-SUM(U101:U106)</f>
        <v>44680</v>
      </c>
    </row>
    <row r="102" spans="1:23" hidden="1" x14ac:dyDescent="0.25">
      <c r="A102" s="121">
        <f>A101*85%</f>
        <v>3366000</v>
      </c>
      <c r="B102" s="13" t="s">
        <v>161</v>
      </c>
      <c r="C102" s="14">
        <v>45453</v>
      </c>
      <c r="D102" s="115">
        <v>23</v>
      </c>
      <c r="E102" s="16">
        <v>594000</v>
      </c>
      <c r="F102" s="16"/>
      <c r="G102" s="16">
        <f t="shared" si="72"/>
        <v>594000</v>
      </c>
      <c r="H102" s="16">
        <f>ROUND(G102*18%,)</f>
        <v>106920</v>
      </c>
      <c r="I102" s="16">
        <f>ROUND(G102+H102,)</f>
        <v>700920</v>
      </c>
      <c r="J102" s="16">
        <f>G102*2%</f>
        <v>11880</v>
      </c>
      <c r="K102" s="16">
        <f>ROUND(G102*5%,)</f>
        <v>29700</v>
      </c>
      <c r="L102" s="16"/>
      <c r="M102" s="16">
        <v>0</v>
      </c>
      <c r="N102" s="122">
        <f>H102</f>
        <v>106920</v>
      </c>
      <c r="O102" s="16"/>
      <c r="P102" s="61">
        <f>I102-SUM(J102:O102)</f>
        <v>552420</v>
      </c>
      <c r="Q102" s="23"/>
      <c r="R102" s="16"/>
      <c r="S102" s="16">
        <v>400000</v>
      </c>
      <c r="T102" s="16">
        <v>8000</v>
      </c>
      <c r="U102" s="16">
        <v>392000</v>
      </c>
      <c r="V102" s="16" t="s">
        <v>270</v>
      </c>
      <c r="W102" s="16"/>
    </row>
    <row r="103" spans="1:23" hidden="1" x14ac:dyDescent="0.25">
      <c r="A103" s="34"/>
      <c r="B103" s="13" t="s">
        <v>229</v>
      </c>
      <c r="C103" s="14"/>
      <c r="D103" s="115" t="s">
        <v>275</v>
      </c>
      <c r="E103" s="16">
        <f>N101+N102</f>
        <v>178200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22">
        <f>E103</f>
        <v>178200</v>
      </c>
      <c r="Q103" s="23"/>
      <c r="R103" s="16"/>
      <c r="S103" s="16">
        <v>300000</v>
      </c>
      <c r="T103" s="16">
        <v>600</v>
      </c>
      <c r="U103" s="16">
        <v>294000</v>
      </c>
      <c r="V103" s="16" t="s">
        <v>292</v>
      </c>
      <c r="W103" s="16"/>
    </row>
    <row r="104" spans="1:23" hidden="1" x14ac:dyDescent="0.25">
      <c r="A104" s="34"/>
      <c r="B104" s="13" t="s">
        <v>161</v>
      </c>
      <c r="C104" s="14">
        <v>45509</v>
      </c>
      <c r="D104" s="115">
        <v>41</v>
      </c>
      <c r="E104" s="16">
        <v>198000</v>
      </c>
      <c r="F104" s="16"/>
      <c r="G104" s="16">
        <f t="shared" ref="G104" si="74">E104-F104</f>
        <v>198000</v>
      </c>
      <c r="H104" s="16">
        <f>ROUND(G104*18%,)</f>
        <v>35640</v>
      </c>
      <c r="I104" s="16">
        <f>ROUND(G104+H104,)</f>
        <v>233640</v>
      </c>
      <c r="J104" s="16">
        <f>G104*2%</f>
        <v>3960</v>
      </c>
      <c r="K104" s="16">
        <f>ROUND(G104*5%,)</f>
        <v>9900</v>
      </c>
      <c r="L104" s="16"/>
      <c r="M104" s="16">
        <v>0</v>
      </c>
      <c r="N104" s="122">
        <f>H104</f>
        <v>35640</v>
      </c>
      <c r="O104" s="16"/>
      <c r="P104" s="61">
        <f>I104-SUM(J104:O104)</f>
        <v>184140</v>
      </c>
      <c r="Q104" s="23"/>
      <c r="R104" s="16"/>
      <c r="S104" s="16">
        <v>200000</v>
      </c>
      <c r="T104" s="16">
        <v>4000</v>
      </c>
      <c r="U104" s="16">
        <v>196000</v>
      </c>
      <c r="V104" s="16" t="s">
        <v>309</v>
      </c>
      <c r="W104" s="16"/>
    </row>
    <row r="105" spans="1:23" hidden="1" x14ac:dyDescent="0.25">
      <c r="A105" s="34"/>
      <c r="B105" s="13" t="s">
        <v>340</v>
      </c>
      <c r="C105" s="14"/>
      <c r="D105" s="115">
        <v>41</v>
      </c>
      <c r="E105" s="16">
        <f>N104</f>
        <v>35640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22">
        <f>E105</f>
        <v>35640</v>
      </c>
      <c r="Q105" s="23"/>
      <c r="R105" s="16"/>
      <c r="S105" s="16"/>
      <c r="T105" s="16"/>
      <c r="U105" s="16"/>
      <c r="V105" s="16"/>
      <c r="W105" s="16"/>
    </row>
    <row r="106" spans="1:23" hidden="1" x14ac:dyDescent="0.25">
      <c r="A106" s="34"/>
      <c r="B106" s="13"/>
      <c r="C106" s="14"/>
      <c r="D106" s="1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22"/>
      <c r="Q106" s="23"/>
      <c r="R106" s="16"/>
      <c r="S106" s="16"/>
      <c r="T106" s="16"/>
      <c r="U106" s="16"/>
      <c r="V106" s="16"/>
      <c r="W106" s="16"/>
    </row>
    <row r="107" spans="1:23" hidden="1" x14ac:dyDescent="0.25">
      <c r="A107" s="73">
        <v>60706</v>
      </c>
      <c r="B107" s="74"/>
      <c r="C107" s="74"/>
      <c r="D107" s="116"/>
      <c r="E107" s="74"/>
      <c r="F107" s="74"/>
      <c r="G107" s="74"/>
      <c r="H107" s="75"/>
      <c r="I107" s="74"/>
      <c r="J107" s="75"/>
      <c r="K107" s="75"/>
      <c r="L107" s="75"/>
      <c r="M107" s="75"/>
      <c r="N107" s="75"/>
      <c r="O107" s="75"/>
      <c r="P107" s="74"/>
      <c r="Q107" s="119">
        <f>A107</f>
        <v>60706</v>
      </c>
      <c r="R107" s="74"/>
      <c r="S107" s="74"/>
      <c r="T107" s="75"/>
      <c r="U107" s="74"/>
      <c r="V107" s="74"/>
      <c r="W107" s="74"/>
    </row>
    <row r="108" spans="1:23" x14ac:dyDescent="0.25">
      <c r="A108" s="32">
        <v>3500000</v>
      </c>
      <c r="B108" s="13" t="s">
        <v>162</v>
      </c>
      <c r="C108" s="14">
        <v>45293</v>
      </c>
      <c r="D108" s="20">
        <v>32</v>
      </c>
      <c r="E108" s="16">
        <v>525000</v>
      </c>
      <c r="F108" s="16">
        <v>0</v>
      </c>
      <c r="G108" s="16">
        <f t="shared" ref="G108:G110" si="75">E108-F108</f>
        <v>525000</v>
      </c>
      <c r="H108" s="16">
        <f>ROUND(G108*18%,)</f>
        <v>94500</v>
      </c>
      <c r="I108" s="16">
        <f>ROUND(G108+H108,)</f>
        <v>619500</v>
      </c>
      <c r="J108" s="16">
        <f>G108*2%</f>
        <v>10500</v>
      </c>
      <c r="K108" s="16">
        <f>ROUND(G108*5%,)</f>
        <v>26250</v>
      </c>
      <c r="L108" s="16"/>
      <c r="M108" s="122">
        <f>G108*10%</f>
        <v>52500</v>
      </c>
      <c r="N108" s="122">
        <f>H108</f>
        <v>94500</v>
      </c>
      <c r="O108" s="16"/>
      <c r="P108" s="61">
        <f>I108-SUM(J108:O108)</f>
        <v>435750</v>
      </c>
      <c r="Q108" s="17"/>
      <c r="R108" s="16" t="s">
        <v>79</v>
      </c>
      <c r="S108" s="16">
        <v>400000</v>
      </c>
      <c r="T108" s="16">
        <f t="shared" ref="T108:T112" si="76">S108*$T$5</f>
        <v>8000</v>
      </c>
      <c r="U108" s="16">
        <f>S108-T108</f>
        <v>392000</v>
      </c>
      <c r="V108" s="12" t="s">
        <v>78</v>
      </c>
      <c r="W108" s="16">
        <f>SUM(P108:P114)-SUM(U108:U114)</f>
        <v>-406000</v>
      </c>
    </row>
    <row r="109" spans="1:23" hidden="1" x14ac:dyDescent="0.25">
      <c r="A109" s="32"/>
      <c r="B109" s="13" t="s">
        <v>162</v>
      </c>
      <c r="C109" s="14">
        <v>45312</v>
      </c>
      <c r="D109" s="20">
        <v>39</v>
      </c>
      <c r="E109" s="16">
        <v>350000</v>
      </c>
      <c r="F109" s="16">
        <v>0</v>
      </c>
      <c r="G109" s="16">
        <f t="shared" si="75"/>
        <v>350000</v>
      </c>
      <c r="H109" s="16">
        <f>ROUND(G109*18%,)</f>
        <v>63000</v>
      </c>
      <c r="I109" s="16">
        <f>ROUND(G109+H109,)</f>
        <v>413000</v>
      </c>
      <c r="J109" s="16">
        <f t="shared" ref="J109:J111" si="77">G109*2%</f>
        <v>7000</v>
      </c>
      <c r="K109" s="16">
        <f>ROUND(G109*5%,)</f>
        <v>17500</v>
      </c>
      <c r="L109" s="16"/>
      <c r="M109" s="122">
        <f>G109*10%</f>
        <v>35000</v>
      </c>
      <c r="N109" s="122">
        <f>H109</f>
        <v>63000</v>
      </c>
      <c r="O109" s="16"/>
      <c r="P109" s="61">
        <f>I109-SUM(J109:O109)</f>
        <v>290500</v>
      </c>
      <c r="Q109" s="23"/>
      <c r="R109" s="16" t="s">
        <v>101</v>
      </c>
      <c r="S109" s="16">
        <v>400000</v>
      </c>
      <c r="T109" s="16">
        <f t="shared" si="76"/>
        <v>8000</v>
      </c>
      <c r="U109" s="16">
        <f t="shared" ref="U109:U112" si="78">S109-T109</f>
        <v>392000</v>
      </c>
      <c r="V109" s="16" t="s">
        <v>100</v>
      </c>
      <c r="W109" s="16"/>
    </row>
    <row r="110" spans="1:23" hidden="1" x14ac:dyDescent="0.25">
      <c r="A110" s="34"/>
      <c r="B110" s="13" t="s">
        <v>162</v>
      </c>
      <c r="C110" s="14">
        <v>45334</v>
      </c>
      <c r="D110" s="20">
        <v>56</v>
      </c>
      <c r="E110" s="16">
        <v>525000</v>
      </c>
      <c r="F110" s="16">
        <v>0</v>
      </c>
      <c r="G110" s="16">
        <f t="shared" si="75"/>
        <v>525000</v>
      </c>
      <c r="H110" s="16">
        <f>ROUND(G110*18%,)</f>
        <v>94500</v>
      </c>
      <c r="I110" s="16">
        <f>ROUND(G110+H110,)</f>
        <v>619500</v>
      </c>
      <c r="J110" s="16">
        <f t="shared" si="77"/>
        <v>10500</v>
      </c>
      <c r="K110" s="16">
        <f>ROUND(G110*5%,)</f>
        <v>26250</v>
      </c>
      <c r="L110" s="16"/>
      <c r="M110" s="16"/>
      <c r="N110" s="122">
        <f>H110</f>
        <v>94500</v>
      </c>
      <c r="O110" s="16"/>
      <c r="P110" s="61">
        <f>I110-SUM(J110:O110)</f>
        <v>488250</v>
      </c>
      <c r="Q110" s="23"/>
      <c r="R110" s="16" t="s">
        <v>222</v>
      </c>
      <c r="S110" s="16">
        <v>400000</v>
      </c>
      <c r="T110" s="16">
        <f t="shared" si="76"/>
        <v>8000</v>
      </c>
      <c r="U110" s="16">
        <f t="shared" si="78"/>
        <v>392000</v>
      </c>
      <c r="V110" s="16" t="s">
        <v>136</v>
      </c>
      <c r="W110" s="16"/>
    </row>
    <row r="111" spans="1:23" hidden="1" x14ac:dyDescent="0.25">
      <c r="A111" s="34"/>
      <c r="B111" s="13" t="s">
        <v>118</v>
      </c>
      <c r="C111" s="21">
        <v>45335</v>
      </c>
      <c r="D111" s="115" t="s">
        <v>138</v>
      </c>
      <c r="E111" s="16">
        <f>H108+H109</f>
        <v>157500</v>
      </c>
      <c r="F111" s="16">
        <v>0</v>
      </c>
      <c r="G111" s="16"/>
      <c r="H111" s="16">
        <f t="shared" ref="H111" si="79">ROUND(G111*18%,)</f>
        <v>0</v>
      </c>
      <c r="I111" s="16">
        <f t="shared" ref="I111" si="80">ROUND(G111+H111,)</f>
        <v>0</v>
      </c>
      <c r="J111" s="16">
        <f t="shared" si="77"/>
        <v>0</v>
      </c>
      <c r="K111" s="16">
        <f t="shared" ref="K111" si="81">ROUND(G111*5%,)</f>
        <v>0</v>
      </c>
      <c r="L111" s="16"/>
      <c r="M111" s="16">
        <f t="shared" ref="M111" si="82">G111*10%</f>
        <v>0</v>
      </c>
      <c r="N111" s="16">
        <f t="shared" ref="N111" si="83">H111</f>
        <v>0</v>
      </c>
      <c r="O111" s="16"/>
      <c r="P111" s="122">
        <f>E111</f>
        <v>157500</v>
      </c>
      <c r="Q111" s="23"/>
      <c r="R111" s="16" t="s">
        <v>221</v>
      </c>
      <c r="S111" s="16">
        <v>400000</v>
      </c>
      <c r="T111" s="16">
        <f t="shared" si="76"/>
        <v>8000</v>
      </c>
      <c r="U111" s="16">
        <f t="shared" si="78"/>
        <v>392000</v>
      </c>
      <c r="V111" s="16" t="s">
        <v>137</v>
      </c>
      <c r="W111" s="16"/>
    </row>
    <row r="112" spans="1:23" hidden="1" x14ac:dyDescent="0.25">
      <c r="A112" s="80"/>
      <c r="B112" s="13" t="s">
        <v>202</v>
      </c>
      <c r="C112" s="12"/>
      <c r="D112" s="115" t="s">
        <v>138</v>
      </c>
      <c r="E112" s="16">
        <f>M109+M108</f>
        <v>87500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22">
        <f>E112</f>
        <v>87500</v>
      </c>
      <c r="Q112" s="23"/>
      <c r="R112" s="16" t="s">
        <v>220</v>
      </c>
      <c r="S112" s="16">
        <v>100000</v>
      </c>
      <c r="T112" s="16">
        <f t="shared" si="76"/>
        <v>2000</v>
      </c>
      <c r="U112" s="16">
        <f t="shared" si="78"/>
        <v>98000</v>
      </c>
      <c r="V112" s="16" t="s">
        <v>219</v>
      </c>
      <c r="W112" s="16"/>
    </row>
    <row r="113" spans="1:23" hidden="1" x14ac:dyDescent="0.25">
      <c r="A113" s="80"/>
      <c r="B113" s="13" t="s">
        <v>118</v>
      </c>
      <c r="C113" s="12"/>
      <c r="D113" s="115">
        <v>56</v>
      </c>
      <c r="E113" s="16">
        <f>N110</f>
        <v>94500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22">
        <f>E113</f>
        <v>94500</v>
      </c>
      <c r="Q113" s="23"/>
      <c r="R113" s="16"/>
      <c r="S113" s="16">
        <v>300000</v>
      </c>
      <c r="T113" s="16">
        <v>6000</v>
      </c>
      <c r="U113" s="16">
        <v>294000</v>
      </c>
      <c r="V113" s="16" t="s">
        <v>282</v>
      </c>
      <c r="W113" s="16"/>
    </row>
    <row r="114" spans="1:23" hidden="1" x14ac:dyDescent="0.25">
      <c r="A114" s="80"/>
      <c r="B114" s="13"/>
      <c r="C114" s="12"/>
      <c r="D114" s="1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23"/>
      <c r="R114" s="16"/>
      <c r="S114" s="16"/>
      <c r="T114" s="16"/>
      <c r="U114" s="16"/>
      <c r="V114" s="16"/>
      <c r="W114" s="16"/>
    </row>
    <row r="115" spans="1:23" hidden="1" x14ac:dyDescent="0.25">
      <c r="A115" s="73">
        <v>60707</v>
      </c>
      <c r="B115" s="74"/>
      <c r="C115" s="74"/>
      <c r="D115" s="116"/>
      <c r="E115" s="74"/>
      <c r="F115" s="74"/>
      <c r="G115" s="74"/>
      <c r="H115" s="75"/>
      <c r="I115" s="74"/>
      <c r="J115" s="75"/>
      <c r="K115" s="75"/>
      <c r="L115" s="75"/>
      <c r="M115" s="75"/>
      <c r="N115" s="75"/>
      <c r="O115" s="75"/>
      <c r="P115" s="74"/>
      <c r="Q115" s="119">
        <f>A115</f>
        <v>60707</v>
      </c>
      <c r="R115" s="74"/>
      <c r="S115" s="74"/>
      <c r="T115" s="75"/>
      <c r="U115" s="74"/>
      <c r="V115" s="74"/>
      <c r="W115" s="74"/>
    </row>
    <row r="116" spans="1:23" hidden="1" x14ac:dyDescent="0.25">
      <c r="A116" s="32">
        <v>1960000</v>
      </c>
      <c r="B116" s="13" t="s">
        <v>163</v>
      </c>
      <c r="C116" s="14"/>
      <c r="D116" s="2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/>
      <c r="R116" s="16"/>
      <c r="S116" s="16"/>
      <c r="T116" s="16"/>
      <c r="U116" s="16"/>
      <c r="V116" s="12"/>
      <c r="W116" s="16">
        <f>SUM(P116:P118)-SUM(U116:U118)</f>
        <v>0</v>
      </c>
    </row>
    <row r="117" spans="1:23" hidden="1" x14ac:dyDescent="0.25">
      <c r="A117" s="34"/>
      <c r="B117" s="16"/>
      <c r="C117" s="16"/>
      <c r="D117" s="1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23"/>
      <c r="R117" s="16"/>
      <c r="S117" s="16"/>
      <c r="T117" s="16"/>
      <c r="U117" s="16"/>
      <c r="V117" s="16"/>
      <c r="W117" s="16"/>
    </row>
    <row r="118" spans="1:23" hidden="1" x14ac:dyDescent="0.25">
      <c r="A118" s="34"/>
      <c r="B118" s="16"/>
      <c r="C118" s="16"/>
      <c r="D118" s="1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23"/>
      <c r="R118" s="16"/>
      <c r="S118" s="16"/>
      <c r="T118" s="16"/>
      <c r="U118" s="16"/>
      <c r="V118" s="16"/>
      <c r="W118" s="16"/>
    </row>
    <row r="119" spans="1:23" hidden="1" x14ac:dyDescent="0.25">
      <c r="A119" s="73">
        <v>60708</v>
      </c>
      <c r="B119" s="74"/>
      <c r="C119" s="74"/>
      <c r="D119" s="116"/>
      <c r="E119" s="74"/>
      <c r="F119" s="74"/>
      <c r="G119" s="74"/>
      <c r="H119" s="75"/>
      <c r="I119" s="74"/>
      <c r="J119" s="75"/>
      <c r="K119" s="75"/>
      <c r="L119" s="75"/>
      <c r="M119" s="75"/>
      <c r="N119" s="75"/>
      <c r="O119" s="75"/>
      <c r="P119" s="74"/>
      <c r="Q119" s="119">
        <f>A119</f>
        <v>60708</v>
      </c>
      <c r="R119" s="74"/>
      <c r="S119" s="74"/>
      <c r="T119" s="75"/>
      <c r="U119" s="74"/>
      <c r="V119" s="74"/>
      <c r="W119" s="74"/>
    </row>
    <row r="120" spans="1:23" hidden="1" x14ac:dyDescent="0.25">
      <c r="A120" s="32">
        <v>3960000</v>
      </c>
      <c r="B120" s="13" t="s">
        <v>164</v>
      </c>
      <c r="C120" s="14">
        <v>45345</v>
      </c>
      <c r="D120" s="20">
        <v>58</v>
      </c>
      <c r="E120" s="16">
        <v>198000</v>
      </c>
      <c r="F120" s="16"/>
      <c r="G120" s="16">
        <f t="shared" ref="G120:G121" si="84">E120-F120</f>
        <v>198000</v>
      </c>
      <c r="H120" s="16">
        <f>ROUND(G120*18%,)</f>
        <v>35640</v>
      </c>
      <c r="I120" s="16">
        <f>ROUND(G120+H120,)</f>
        <v>233640</v>
      </c>
      <c r="J120" s="16">
        <f>G120*2%</f>
        <v>3960</v>
      </c>
      <c r="K120" s="16">
        <f>ROUND(G120*5%,)</f>
        <v>9900</v>
      </c>
      <c r="L120" s="16"/>
      <c r="M120" s="16"/>
      <c r="N120" s="122">
        <f>H120</f>
        <v>35640</v>
      </c>
      <c r="O120" s="16"/>
      <c r="P120" s="61">
        <f>I120-SUM(J120:O120)</f>
        <v>184140</v>
      </c>
      <c r="Q120" s="17"/>
      <c r="R120" s="16"/>
      <c r="S120" s="16">
        <v>500000</v>
      </c>
      <c r="T120" s="16">
        <v>10000</v>
      </c>
      <c r="U120" s="16">
        <f>S120-T120</f>
        <v>490000</v>
      </c>
      <c r="V120" s="16" t="s">
        <v>139</v>
      </c>
      <c r="W120" s="16">
        <f>SUM(P120:P127)-SUM(U120:U127)</f>
        <v>141240</v>
      </c>
    </row>
    <row r="121" spans="1:23" hidden="1" x14ac:dyDescent="0.25">
      <c r="A121" s="34"/>
      <c r="B121" s="13" t="s">
        <v>164</v>
      </c>
      <c r="C121" s="14">
        <v>45370</v>
      </c>
      <c r="D121" s="20">
        <v>75</v>
      </c>
      <c r="E121" s="16">
        <v>396000</v>
      </c>
      <c r="F121" s="16"/>
      <c r="G121" s="16">
        <f t="shared" si="84"/>
        <v>396000</v>
      </c>
      <c r="H121" s="16">
        <f>ROUND(G121*18%,)</f>
        <v>71280</v>
      </c>
      <c r="I121" s="16">
        <f>ROUND(G121+H121,)</f>
        <v>467280</v>
      </c>
      <c r="J121" s="16">
        <f>G121*2%</f>
        <v>7920</v>
      </c>
      <c r="K121" s="16">
        <f>ROUND(G121*5%,)</f>
        <v>19800</v>
      </c>
      <c r="L121" s="16"/>
      <c r="M121" s="16"/>
      <c r="N121" s="122">
        <f>H121</f>
        <v>71280</v>
      </c>
      <c r="O121" s="16"/>
      <c r="P121" s="61">
        <f>I121-SUM(J121:O121)</f>
        <v>368280</v>
      </c>
      <c r="Q121" s="23"/>
      <c r="R121" s="16"/>
      <c r="S121" s="16">
        <v>500000</v>
      </c>
      <c r="T121" s="16">
        <v>10000</v>
      </c>
      <c r="U121" s="16">
        <f>S121-T121</f>
        <v>490000</v>
      </c>
      <c r="V121" s="16" t="s">
        <v>241</v>
      </c>
      <c r="W121" s="16"/>
    </row>
    <row r="122" spans="1:23" hidden="1" x14ac:dyDescent="0.25">
      <c r="A122" s="34"/>
      <c r="B122" s="13" t="s">
        <v>229</v>
      </c>
      <c r="C122" s="14"/>
      <c r="D122" s="20" t="s">
        <v>259</v>
      </c>
      <c r="E122" s="16">
        <f>N120+N121</f>
        <v>106920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22">
        <f>E122</f>
        <v>106920</v>
      </c>
      <c r="Q122" s="23"/>
      <c r="R122" s="16"/>
      <c r="S122" s="16">
        <v>400000</v>
      </c>
      <c r="T122" s="16">
        <f>S122*2%</f>
        <v>8000</v>
      </c>
      <c r="U122" s="16">
        <v>392000</v>
      </c>
      <c r="V122" s="16" t="s">
        <v>281</v>
      </c>
      <c r="W122" s="16"/>
    </row>
    <row r="123" spans="1:23" hidden="1" x14ac:dyDescent="0.25">
      <c r="A123" s="34"/>
      <c r="B123" s="13" t="s">
        <v>164</v>
      </c>
      <c r="C123" s="14">
        <v>45400</v>
      </c>
      <c r="D123" s="20">
        <v>8</v>
      </c>
      <c r="E123" s="16">
        <v>396000</v>
      </c>
      <c r="F123" s="16"/>
      <c r="G123" s="16">
        <f t="shared" ref="G123" si="85">E123-F123</f>
        <v>396000</v>
      </c>
      <c r="H123" s="16">
        <f>ROUND(G123*18%,)</f>
        <v>71280</v>
      </c>
      <c r="I123" s="16">
        <f>ROUND(G123+H123,)</f>
        <v>467280</v>
      </c>
      <c r="J123" s="16">
        <f>G123*2%</f>
        <v>7920</v>
      </c>
      <c r="K123" s="16">
        <f>ROUND(G123*5%,)</f>
        <v>19800</v>
      </c>
      <c r="L123" s="16"/>
      <c r="M123" s="16"/>
      <c r="N123" s="122">
        <f>H123</f>
        <v>71280</v>
      </c>
      <c r="O123" s="16"/>
      <c r="P123" s="61">
        <f>I123-SUM(J123:O123)</f>
        <v>368280</v>
      </c>
      <c r="Q123" s="23"/>
      <c r="R123" s="16"/>
      <c r="S123" s="16">
        <v>250000</v>
      </c>
      <c r="T123" s="16">
        <f>S123*2%</f>
        <v>5000</v>
      </c>
      <c r="U123" s="16">
        <v>245000</v>
      </c>
      <c r="V123" s="16" t="s">
        <v>314</v>
      </c>
      <c r="W123" s="16"/>
    </row>
    <row r="124" spans="1:23" hidden="1" x14ac:dyDescent="0.25">
      <c r="A124" s="34"/>
      <c r="B124" s="13" t="s">
        <v>229</v>
      </c>
      <c r="C124" s="14"/>
      <c r="D124" s="20">
        <v>8</v>
      </c>
      <c r="E124" s="16">
        <f>N123</f>
        <v>71280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22">
        <f>E124</f>
        <v>71280</v>
      </c>
      <c r="Q124" s="23"/>
      <c r="R124" s="16"/>
      <c r="S124" s="16"/>
      <c r="T124" s="16"/>
      <c r="U124" s="16"/>
      <c r="V124" s="16"/>
      <c r="W124" s="16"/>
    </row>
    <row r="125" spans="1:23" hidden="1" x14ac:dyDescent="0.25">
      <c r="A125" s="34"/>
      <c r="B125" s="13" t="s">
        <v>164</v>
      </c>
      <c r="C125" s="14">
        <v>45454</v>
      </c>
      <c r="D125" s="20">
        <v>26</v>
      </c>
      <c r="E125" s="16">
        <v>594000</v>
      </c>
      <c r="F125" s="16"/>
      <c r="G125" s="16">
        <f t="shared" ref="G125" si="86">E125-F125</f>
        <v>594000</v>
      </c>
      <c r="H125" s="16">
        <f>ROUND(G125*18%,)</f>
        <v>106920</v>
      </c>
      <c r="I125" s="16">
        <f>ROUND(G125+H125,)</f>
        <v>700920</v>
      </c>
      <c r="J125" s="16">
        <f>G125*2%</f>
        <v>11880</v>
      </c>
      <c r="K125" s="16">
        <f>ROUND(G125*5%,)</f>
        <v>29700</v>
      </c>
      <c r="L125" s="16"/>
      <c r="M125" s="16"/>
      <c r="N125" s="122">
        <f>H125</f>
        <v>106920</v>
      </c>
      <c r="O125" s="16"/>
      <c r="P125" s="61">
        <f>I125-SUM(J125:O125)</f>
        <v>552420</v>
      </c>
      <c r="Q125" s="23"/>
      <c r="R125" s="16"/>
      <c r="S125" s="16"/>
      <c r="T125" s="16"/>
      <c r="U125" s="16"/>
      <c r="V125" s="16"/>
      <c r="W125" s="16"/>
    </row>
    <row r="126" spans="1:23" hidden="1" x14ac:dyDescent="0.25">
      <c r="A126" s="34"/>
      <c r="B126" s="13" t="s">
        <v>229</v>
      </c>
      <c r="C126" s="14"/>
      <c r="D126" s="20">
        <v>26</v>
      </c>
      <c r="E126" s="16">
        <f>N125</f>
        <v>106920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22">
        <f>E126</f>
        <v>106920</v>
      </c>
      <c r="Q126" s="23"/>
      <c r="R126" s="16"/>
      <c r="S126" s="16"/>
      <c r="T126" s="16"/>
      <c r="U126" s="16"/>
      <c r="V126" s="16"/>
      <c r="W126" s="16"/>
    </row>
    <row r="127" spans="1:23" hidden="1" x14ac:dyDescent="0.25">
      <c r="A127" s="34"/>
      <c r="B127" s="13"/>
      <c r="C127" s="14"/>
      <c r="D127" s="2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61"/>
      <c r="Q127" s="23"/>
      <c r="R127" s="16"/>
      <c r="S127" s="16"/>
      <c r="T127" s="16"/>
      <c r="U127" s="16"/>
      <c r="V127" s="16"/>
      <c r="W127" s="16"/>
    </row>
    <row r="128" spans="1:23" hidden="1" x14ac:dyDescent="0.25">
      <c r="A128" s="73">
        <v>60709</v>
      </c>
      <c r="B128" s="74"/>
      <c r="C128" s="74"/>
      <c r="D128" s="116"/>
      <c r="E128" s="74"/>
      <c r="F128" s="74"/>
      <c r="G128" s="74"/>
      <c r="H128" s="75"/>
      <c r="I128" s="74"/>
      <c r="J128" s="75"/>
      <c r="K128" s="75"/>
      <c r="L128" s="75"/>
      <c r="M128" s="75"/>
      <c r="N128" s="75"/>
      <c r="O128" s="75"/>
      <c r="P128" s="74"/>
      <c r="Q128" s="119">
        <f>A128</f>
        <v>60709</v>
      </c>
      <c r="R128" s="74"/>
      <c r="S128" s="74"/>
      <c r="T128" s="75"/>
      <c r="U128" s="74"/>
      <c r="V128" s="74"/>
      <c r="W128" s="74"/>
    </row>
    <row r="129" spans="1:23" hidden="1" x14ac:dyDescent="0.25">
      <c r="A129" s="32">
        <v>4375000</v>
      </c>
      <c r="B129" s="13" t="s">
        <v>167</v>
      </c>
      <c r="C129" s="14">
        <v>45565</v>
      </c>
      <c r="D129" s="20">
        <v>56</v>
      </c>
      <c r="E129" s="16">
        <v>656250</v>
      </c>
      <c r="F129" s="16"/>
      <c r="G129" s="16">
        <f t="shared" ref="G129" si="87">E129-F129</f>
        <v>656250</v>
      </c>
      <c r="H129" s="16">
        <f>ROUND(G129*18%,)</f>
        <v>118125</v>
      </c>
      <c r="I129" s="16">
        <f>ROUND(G129+H129,)</f>
        <v>774375</v>
      </c>
      <c r="J129" s="16">
        <f>G129*2%</f>
        <v>13125</v>
      </c>
      <c r="K129" s="16">
        <f>ROUND(G129*5%,)</f>
        <v>32813</v>
      </c>
      <c r="L129" s="16"/>
      <c r="M129" s="16"/>
      <c r="N129" s="122">
        <f>H129</f>
        <v>118125</v>
      </c>
      <c r="O129" s="16"/>
      <c r="P129" s="61">
        <f>I129-SUM(J129:O129)</f>
        <v>610312</v>
      </c>
      <c r="Q129" s="17"/>
      <c r="R129" s="16" t="s">
        <v>81</v>
      </c>
      <c r="S129" s="16">
        <v>400000</v>
      </c>
      <c r="T129" s="16">
        <f t="shared" ref="T129:T131" si="88">S129*$T$5</f>
        <v>8000</v>
      </c>
      <c r="U129" s="16">
        <f>S129-T129</f>
        <v>392000</v>
      </c>
      <c r="V129" s="12" t="s">
        <v>80</v>
      </c>
      <c r="W129" s="16">
        <f>SUM(P129:P134)-SUM(U129:U134)</f>
        <v>248936.02000000002</v>
      </c>
    </row>
    <row r="130" spans="1:23" hidden="1" x14ac:dyDescent="0.25">
      <c r="A130" s="32"/>
      <c r="B130" s="13" t="s">
        <v>229</v>
      </c>
      <c r="C130" s="14"/>
      <c r="D130" s="20">
        <v>56</v>
      </c>
      <c r="E130" s="16">
        <f>N129</f>
        <v>118125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22">
        <f>E130</f>
        <v>118125</v>
      </c>
      <c r="Q130" s="17"/>
      <c r="R130" s="16" t="s">
        <v>243</v>
      </c>
      <c r="S130" s="16">
        <v>500000</v>
      </c>
      <c r="T130" s="16">
        <f t="shared" si="88"/>
        <v>10000</v>
      </c>
      <c r="U130" s="16">
        <f>S130-T130</f>
        <v>490000</v>
      </c>
      <c r="V130" s="12" t="s">
        <v>242</v>
      </c>
      <c r="W130" s="16"/>
    </row>
    <row r="131" spans="1:23" hidden="1" x14ac:dyDescent="0.25">
      <c r="A131" s="32"/>
      <c r="B131" s="13" t="s">
        <v>167</v>
      </c>
      <c r="C131" s="14">
        <v>45583</v>
      </c>
      <c r="D131" s="20">
        <v>64</v>
      </c>
      <c r="E131" s="16">
        <v>437500</v>
      </c>
      <c r="F131" s="16"/>
      <c r="G131" s="16">
        <f t="shared" ref="G131" si="89">E131-F131</f>
        <v>437500</v>
      </c>
      <c r="H131" s="16">
        <f>ROUND(G131*18%,)</f>
        <v>78750</v>
      </c>
      <c r="I131" s="16">
        <f>ROUND(G131+H131,)</f>
        <v>516250</v>
      </c>
      <c r="J131" s="16">
        <f>G131*2%</f>
        <v>8750</v>
      </c>
      <c r="K131" s="16">
        <f>ROUND(G131*5%,)</f>
        <v>21875</v>
      </c>
      <c r="L131" s="16"/>
      <c r="M131" s="16"/>
      <c r="N131" s="122">
        <f>H131</f>
        <v>78750</v>
      </c>
      <c r="O131" s="16"/>
      <c r="P131" s="61">
        <f>I131-SUM(J131:O131)</f>
        <v>406875</v>
      </c>
      <c r="Q131" s="17"/>
      <c r="R131" s="16"/>
      <c r="S131" s="16">
        <v>500001</v>
      </c>
      <c r="T131" s="16">
        <f t="shared" si="88"/>
        <v>10000.02</v>
      </c>
      <c r="U131" s="16">
        <f>S131-T131</f>
        <v>490000.98</v>
      </c>
      <c r="V131" s="12" t="s">
        <v>351</v>
      </c>
      <c r="W131" s="16"/>
    </row>
    <row r="132" spans="1:23" hidden="1" x14ac:dyDescent="0.25">
      <c r="A132" s="32"/>
      <c r="B132" s="13" t="s">
        <v>229</v>
      </c>
      <c r="C132" s="14"/>
      <c r="D132" s="20">
        <v>64</v>
      </c>
      <c r="E132" s="16">
        <f>N131</f>
        <v>78750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22">
        <f>E132</f>
        <v>78750</v>
      </c>
      <c r="Q132" s="17"/>
      <c r="R132" s="16"/>
      <c r="S132" s="16"/>
      <c r="T132" s="16"/>
      <c r="U132" s="16"/>
      <c r="V132" s="12"/>
      <c r="W132" s="16"/>
    </row>
    <row r="133" spans="1:23" hidden="1" x14ac:dyDescent="0.25">
      <c r="A133" s="32"/>
      <c r="B133" s="13" t="s">
        <v>167</v>
      </c>
      <c r="C133" s="14">
        <v>45651</v>
      </c>
      <c r="D133" s="20">
        <v>99</v>
      </c>
      <c r="E133" s="16">
        <v>437500</v>
      </c>
      <c r="F133" s="16"/>
      <c r="G133" s="16">
        <f t="shared" ref="G133" si="90">E133-F133</f>
        <v>437500</v>
      </c>
      <c r="H133" s="16">
        <f>ROUND(G133*18%,)</f>
        <v>78750</v>
      </c>
      <c r="I133" s="16">
        <f>ROUND(G133+H133,)</f>
        <v>516250</v>
      </c>
      <c r="J133" s="16">
        <f>G133*2%</f>
        <v>8750</v>
      </c>
      <c r="K133" s="16">
        <f>ROUND(G133*5%,)</f>
        <v>21875</v>
      </c>
      <c r="L133" s="16"/>
      <c r="M133" s="16"/>
      <c r="N133" s="122">
        <f>H133</f>
        <v>78750</v>
      </c>
      <c r="O133" s="16"/>
      <c r="P133" s="61">
        <f>I133-SUM(J133:O133)</f>
        <v>406875</v>
      </c>
      <c r="Q133" s="17"/>
      <c r="R133" s="16"/>
      <c r="S133" s="16"/>
      <c r="T133" s="16"/>
      <c r="U133" s="16"/>
      <c r="V133" s="12"/>
      <c r="W133" s="16"/>
    </row>
    <row r="134" spans="1:23" hidden="1" x14ac:dyDescent="0.25">
      <c r="A134" s="32"/>
      <c r="B134" s="13"/>
      <c r="C134" s="14"/>
      <c r="D134" s="20"/>
      <c r="E134" s="16"/>
      <c r="F134" s="16"/>
      <c r="G134" s="16"/>
      <c r="H134" s="16"/>
      <c r="I134" s="16"/>
      <c r="J134" s="16"/>
      <c r="K134" s="16"/>
      <c r="L134" s="16"/>
      <c r="M134" s="16"/>
      <c r="N134" s="122"/>
      <c r="O134" s="16"/>
      <c r="P134" s="61"/>
      <c r="Q134" s="17"/>
      <c r="R134" s="16"/>
      <c r="S134" s="16"/>
      <c r="T134" s="16"/>
      <c r="U134" s="16"/>
      <c r="V134" s="12"/>
      <c r="W134" s="16"/>
    </row>
    <row r="135" spans="1:23" hidden="1" x14ac:dyDescent="0.25">
      <c r="A135" s="73">
        <v>60931</v>
      </c>
      <c r="B135" s="74"/>
      <c r="C135" s="74"/>
      <c r="D135" s="116"/>
      <c r="E135" s="74"/>
      <c r="F135" s="74"/>
      <c r="G135" s="74"/>
      <c r="H135" s="75"/>
      <c r="I135" s="74"/>
      <c r="J135" s="75"/>
      <c r="K135" s="75"/>
      <c r="L135" s="75"/>
      <c r="M135" s="75"/>
      <c r="N135" s="75"/>
      <c r="O135" s="75"/>
      <c r="P135" s="74"/>
      <c r="Q135" s="119">
        <f>A135</f>
        <v>60931</v>
      </c>
      <c r="R135" s="74"/>
      <c r="S135" s="74"/>
      <c r="T135" s="75"/>
      <c r="U135" s="74"/>
      <c r="V135" s="74"/>
      <c r="W135" s="74"/>
    </row>
    <row r="136" spans="1:23" x14ac:dyDescent="0.25">
      <c r="A136" s="32">
        <v>4425000</v>
      </c>
      <c r="B136" s="13" t="s">
        <v>169</v>
      </c>
      <c r="C136" s="14">
        <v>45312</v>
      </c>
      <c r="D136" s="20">
        <v>41</v>
      </c>
      <c r="E136" s="16">
        <v>221550</v>
      </c>
      <c r="F136" s="16">
        <v>0</v>
      </c>
      <c r="G136" s="16">
        <v>221250</v>
      </c>
      <c r="H136" s="16">
        <f>ROUND(G136*18%,)</f>
        <v>39825</v>
      </c>
      <c r="I136" s="16">
        <f>ROUND(G136+H136,)</f>
        <v>261075</v>
      </c>
      <c r="J136" s="16">
        <f>G136*2%</f>
        <v>4425</v>
      </c>
      <c r="K136" s="16">
        <f>ROUND(G136*5%,)</f>
        <v>11063</v>
      </c>
      <c r="L136" s="16"/>
      <c r="M136" s="16">
        <f>G136*10%</f>
        <v>22125</v>
      </c>
      <c r="N136" s="122">
        <f>H136</f>
        <v>39825</v>
      </c>
      <c r="O136" s="16"/>
      <c r="P136" s="61">
        <f>I136-SUM(J136:O136)</f>
        <v>183637</v>
      </c>
      <c r="Q136" s="17"/>
      <c r="R136" s="16" t="s">
        <v>95</v>
      </c>
      <c r="S136" s="16">
        <v>400000</v>
      </c>
      <c r="T136" s="16">
        <f t="shared" ref="T136" si="91">S136*$T$5</f>
        <v>8000</v>
      </c>
      <c r="U136" s="16">
        <f>S136-T136</f>
        <v>392000</v>
      </c>
      <c r="V136" s="12" t="s">
        <v>96</v>
      </c>
      <c r="W136" s="16">
        <f>SUM(P136:P144)-SUM(U136:U144)</f>
        <v>-289301</v>
      </c>
    </row>
    <row r="137" spans="1:23" hidden="1" x14ac:dyDescent="0.25">
      <c r="A137" s="34"/>
      <c r="B137" s="13" t="s">
        <v>169</v>
      </c>
      <c r="C137" s="16" t="s">
        <v>124</v>
      </c>
      <c r="D137" s="20">
        <v>44</v>
      </c>
      <c r="E137" s="16">
        <v>442500</v>
      </c>
      <c r="F137" s="16">
        <v>0</v>
      </c>
      <c r="G137" s="16">
        <f t="shared" ref="G137:G138" si="92">E137-F137</f>
        <v>442500</v>
      </c>
      <c r="H137" s="16">
        <f>ROUND(G137*18%,)</f>
        <v>79650</v>
      </c>
      <c r="I137" s="16">
        <f>ROUND(G137+H137,)</f>
        <v>522150</v>
      </c>
      <c r="J137" s="16">
        <f t="shared" ref="J137:J138" si="93">G137*2%</f>
        <v>8850</v>
      </c>
      <c r="K137" s="16">
        <f>ROUND(G137*5%,)</f>
        <v>22125</v>
      </c>
      <c r="L137" s="16"/>
      <c r="M137" s="16"/>
      <c r="N137" s="122">
        <f>H137</f>
        <v>79650</v>
      </c>
      <c r="O137" s="16"/>
      <c r="P137" s="61">
        <f>I137-SUM(J137:O137)</f>
        <v>411525</v>
      </c>
      <c r="Q137" s="23"/>
      <c r="R137" s="16" t="s">
        <v>130</v>
      </c>
      <c r="S137" s="16">
        <v>300000</v>
      </c>
      <c r="T137" s="16">
        <v>6000</v>
      </c>
      <c r="U137" s="16">
        <f t="shared" ref="U137:U140" si="94">S137-T137</f>
        <v>294000</v>
      </c>
      <c r="V137" s="12" t="s">
        <v>129</v>
      </c>
      <c r="W137" s="16"/>
    </row>
    <row r="138" spans="1:23" hidden="1" x14ac:dyDescent="0.25">
      <c r="A138" s="34"/>
      <c r="B138" s="13" t="s">
        <v>169</v>
      </c>
      <c r="C138" s="21">
        <v>45345</v>
      </c>
      <c r="D138" s="20">
        <v>59</v>
      </c>
      <c r="E138" s="16">
        <v>442500</v>
      </c>
      <c r="F138" s="16"/>
      <c r="G138" s="16">
        <f t="shared" si="92"/>
        <v>442500</v>
      </c>
      <c r="H138" s="16">
        <f>ROUND(G138*18%,)</f>
        <v>79650</v>
      </c>
      <c r="I138" s="16">
        <f>ROUND(G138+H138,)</f>
        <v>522150</v>
      </c>
      <c r="J138" s="16">
        <f t="shared" si="93"/>
        <v>8850</v>
      </c>
      <c r="K138" s="16">
        <f>ROUND(G138*5%,)</f>
        <v>22125</v>
      </c>
      <c r="L138" s="16"/>
      <c r="M138" s="16"/>
      <c r="N138" s="122">
        <f>H138</f>
        <v>79650</v>
      </c>
      <c r="O138" s="16"/>
      <c r="P138" s="61">
        <f>I138-SUM(J138:O138)</f>
        <v>411525</v>
      </c>
      <c r="Q138" s="23"/>
      <c r="R138" s="16" t="s">
        <v>206</v>
      </c>
      <c r="S138" s="16">
        <v>400000</v>
      </c>
      <c r="T138" s="16">
        <v>8000</v>
      </c>
      <c r="U138" s="16">
        <f t="shared" si="94"/>
        <v>392000</v>
      </c>
      <c r="V138" s="12" t="s">
        <v>168</v>
      </c>
      <c r="W138" s="16"/>
    </row>
    <row r="139" spans="1:23" hidden="1" x14ac:dyDescent="0.25">
      <c r="A139" s="34"/>
      <c r="B139" s="13" t="s">
        <v>202</v>
      </c>
      <c r="C139" s="12"/>
      <c r="D139" s="20">
        <v>41</v>
      </c>
      <c r="E139" s="16">
        <f>M136</f>
        <v>22125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61">
        <f>E139</f>
        <v>22125</v>
      </c>
      <c r="Q139" s="79"/>
      <c r="R139" s="16" t="s">
        <v>207</v>
      </c>
      <c r="S139" s="16">
        <v>100000</v>
      </c>
      <c r="T139" s="16">
        <v>2000</v>
      </c>
      <c r="U139" s="16">
        <f t="shared" si="94"/>
        <v>98000</v>
      </c>
      <c r="V139" s="12" t="s">
        <v>205</v>
      </c>
      <c r="W139" s="16"/>
    </row>
    <row r="140" spans="1:23" hidden="1" x14ac:dyDescent="0.25">
      <c r="A140" s="34"/>
      <c r="B140" s="13" t="s">
        <v>156</v>
      </c>
      <c r="C140" s="12"/>
      <c r="D140" s="115" t="s">
        <v>226</v>
      </c>
      <c r="E140" s="16">
        <f>N136+N137</f>
        <v>119475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22">
        <f>E140</f>
        <v>119475</v>
      </c>
      <c r="Q140" s="79"/>
      <c r="R140" s="16" t="s">
        <v>228</v>
      </c>
      <c r="S140" s="16">
        <v>500000</v>
      </c>
      <c r="T140" s="16">
        <v>10000</v>
      </c>
      <c r="U140" s="16">
        <f t="shared" si="94"/>
        <v>490000</v>
      </c>
      <c r="V140" s="12" t="s">
        <v>227</v>
      </c>
      <c r="W140" s="16"/>
    </row>
    <row r="141" spans="1:23" hidden="1" x14ac:dyDescent="0.25">
      <c r="A141" s="34"/>
      <c r="B141" s="13" t="s">
        <v>169</v>
      </c>
      <c r="C141" s="27">
        <v>45362</v>
      </c>
      <c r="D141" s="115">
        <v>72</v>
      </c>
      <c r="E141" s="16">
        <f>A136*15%</f>
        <v>663750</v>
      </c>
      <c r="F141" s="16"/>
      <c r="G141" s="16">
        <f t="shared" ref="G141:G143" si="95">E141-F141</f>
        <v>663750</v>
      </c>
      <c r="H141" s="16">
        <f>ROUND(G141*18%,)</f>
        <v>119475</v>
      </c>
      <c r="I141" s="16">
        <f>ROUND(G141+H141,)</f>
        <v>783225</v>
      </c>
      <c r="J141" s="16">
        <f>G141*2%</f>
        <v>13275</v>
      </c>
      <c r="K141" s="16">
        <f>ROUND(G141*5%,)</f>
        <v>33188</v>
      </c>
      <c r="L141" s="16"/>
      <c r="M141" s="16"/>
      <c r="N141" s="122">
        <f>H141</f>
        <v>119475</v>
      </c>
      <c r="O141" s="16"/>
      <c r="P141" s="61">
        <f>I141-SUM(J141:O141)</f>
        <v>617287</v>
      </c>
      <c r="Q141" s="79"/>
      <c r="R141" s="16"/>
      <c r="S141" s="16">
        <v>200000</v>
      </c>
      <c r="T141" s="16">
        <v>4000</v>
      </c>
      <c r="U141" s="16">
        <v>196000</v>
      </c>
      <c r="V141" s="12" t="s">
        <v>266</v>
      </c>
      <c r="W141" s="16"/>
    </row>
    <row r="142" spans="1:23" hidden="1" x14ac:dyDescent="0.25">
      <c r="A142" s="34"/>
      <c r="B142" s="13" t="s">
        <v>255</v>
      </c>
      <c r="C142" s="12"/>
      <c r="D142" s="115" t="s">
        <v>256</v>
      </c>
      <c r="E142" s="16">
        <f>N138+N141</f>
        <v>199125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22">
        <f>E142</f>
        <v>199125</v>
      </c>
      <c r="Q142" s="79"/>
      <c r="R142" s="16"/>
      <c r="S142" s="16">
        <v>200000</v>
      </c>
      <c r="T142" s="16">
        <v>4000</v>
      </c>
      <c r="U142" s="16">
        <v>196000</v>
      </c>
      <c r="V142" s="126" t="s">
        <v>293</v>
      </c>
      <c r="W142" s="16"/>
    </row>
    <row r="143" spans="1:23" hidden="1" x14ac:dyDescent="0.25">
      <c r="A143" s="34"/>
      <c r="B143" s="13" t="s">
        <v>378</v>
      </c>
      <c r="C143" s="12"/>
      <c r="D143" s="115">
        <v>65</v>
      </c>
      <c r="E143" s="16">
        <v>143907</v>
      </c>
      <c r="F143" s="16"/>
      <c r="G143" s="16">
        <f t="shared" si="95"/>
        <v>143907</v>
      </c>
      <c r="H143" s="16">
        <f>ROUND(G143*18%,)</f>
        <v>25903</v>
      </c>
      <c r="I143" s="16">
        <f>ROUND(G143+H143,)</f>
        <v>169810</v>
      </c>
      <c r="J143" s="16">
        <f>G143*2%</f>
        <v>2878.14</v>
      </c>
      <c r="K143" s="16">
        <f>ROUND(G143*5%,)</f>
        <v>7195</v>
      </c>
      <c r="L143" s="16"/>
      <c r="M143" s="16"/>
      <c r="N143" s="16"/>
      <c r="O143" s="16"/>
      <c r="P143" s="61"/>
      <c r="Q143" s="133" t="s">
        <v>379</v>
      </c>
      <c r="R143" s="16"/>
      <c r="S143" s="16">
        <v>200000</v>
      </c>
      <c r="T143" s="16">
        <v>4000</v>
      </c>
      <c r="U143" s="16">
        <v>196000</v>
      </c>
      <c r="V143" s="126" t="s">
        <v>294</v>
      </c>
      <c r="W143" s="16"/>
    </row>
    <row r="144" spans="1:23" hidden="1" x14ac:dyDescent="0.25">
      <c r="A144" s="34"/>
      <c r="B144" s="13"/>
      <c r="C144" s="12"/>
      <c r="D144" s="1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79"/>
      <c r="R144" s="16"/>
      <c r="S144" s="16"/>
      <c r="T144" s="16"/>
      <c r="U144" s="16"/>
      <c r="V144" s="78"/>
      <c r="W144" s="16"/>
    </row>
    <row r="145" spans="1:23" hidden="1" x14ac:dyDescent="0.25">
      <c r="A145" s="73">
        <v>60933</v>
      </c>
      <c r="B145" s="74"/>
      <c r="C145" s="74"/>
      <c r="D145" s="116"/>
      <c r="E145" s="74"/>
      <c r="F145" s="74"/>
      <c r="G145" s="74"/>
      <c r="H145" s="75"/>
      <c r="I145" s="74"/>
      <c r="J145" s="75"/>
      <c r="K145" s="75"/>
      <c r="L145" s="75"/>
      <c r="M145" s="75"/>
      <c r="N145" s="75"/>
      <c r="O145" s="75"/>
      <c r="P145" s="74"/>
      <c r="Q145" s="119">
        <f>A145</f>
        <v>60933</v>
      </c>
      <c r="R145" s="74"/>
      <c r="S145" s="74"/>
      <c r="T145" s="75"/>
      <c r="U145" s="74"/>
      <c r="V145" s="74"/>
      <c r="W145" s="74"/>
    </row>
    <row r="146" spans="1:23" hidden="1" x14ac:dyDescent="0.25">
      <c r="A146" s="32">
        <v>2598750</v>
      </c>
      <c r="B146" s="13" t="s">
        <v>170</v>
      </c>
      <c r="C146" s="14">
        <v>45324</v>
      </c>
      <c r="D146" s="20">
        <v>51</v>
      </c>
      <c r="E146" s="16">
        <v>129937</v>
      </c>
      <c r="F146" s="16">
        <v>0</v>
      </c>
      <c r="G146" s="16">
        <f t="shared" ref="G146" si="96">E146-F146</f>
        <v>129937</v>
      </c>
      <c r="H146" s="16">
        <f>ROUND(G146*18%,)</f>
        <v>23389</v>
      </c>
      <c r="I146" s="16">
        <f>ROUND(G146+H146,)</f>
        <v>153326</v>
      </c>
      <c r="J146" s="16">
        <f>G146*2%</f>
        <v>2598.7400000000002</v>
      </c>
      <c r="K146" s="16">
        <f>ROUND(G146*5%,)</f>
        <v>6497</v>
      </c>
      <c r="L146" s="16"/>
      <c r="M146" s="16"/>
      <c r="N146" s="122">
        <f>H146</f>
        <v>23389</v>
      </c>
      <c r="O146" s="16"/>
      <c r="P146" s="61">
        <f>I146-SUM(J146:O146)</f>
        <v>120841.26000000001</v>
      </c>
      <c r="Q146" s="17"/>
      <c r="R146" s="16" t="s">
        <v>112</v>
      </c>
      <c r="S146" s="16">
        <v>400000</v>
      </c>
      <c r="T146" s="16">
        <v>8000</v>
      </c>
      <c r="U146" s="16">
        <f t="shared" ref="U146:U147" si="97">S146-T146</f>
        <v>392000</v>
      </c>
      <c r="V146" s="16" t="s">
        <v>111</v>
      </c>
      <c r="W146" s="16">
        <f>SUM(P146:P157)-SUM(U146:U157)</f>
        <v>598228.52</v>
      </c>
    </row>
    <row r="147" spans="1:23" hidden="1" x14ac:dyDescent="0.25">
      <c r="A147" s="34"/>
      <c r="B147" s="13" t="s">
        <v>229</v>
      </c>
      <c r="C147" s="12"/>
      <c r="D147" s="20">
        <v>51</v>
      </c>
      <c r="E147" s="16">
        <f>N146</f>
        <v>23389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22">
        <f>E147</f>
        <v>23389</v>
      </c>
      <c r="Q147" s="23"/>
      <c r="R147" s="16" t="s">
        <v>240</v>
      </c>
      <c r="S147" s="16">
        <v>300000</v>
      </c>
      <c r="T147" s="16">
        <v>6000</v>
      </c>
      <c r="U147" s="16">
        <f t="shared" si="97"/>
        <v>294000</v>
      </c>
      <c r="V147" s="16" t="s">
        <v>239</v>
      </c>
      <c r="W147" s="16"/>
    </row>
    <row r="148" spans="1:23" hidden="1" x14ac:dyDescent="0.25">
      <c r="A148" s="34"/>
      <c r="B148" s="13" t="s">
        <v>170</v>
      </c>
      <c r="C148" s="27">
        <v>45370</v>
      </c>
      <c r="D148" s="20">
        <v>77</v>
      </c>
      <c r="E148" s="16">
        <v>259875</v>
      </c>
      <c r="F148" s="16"/>
      <c r="G148" s="16">
        <f t="shared" ref="G148:G149" si="98">E148-F148</f>
        <v>259875</v>
      </c>
      <c r="H148" s="16">
        <f>ROUND(G148*18%,)</f>
        <v>46778</v>
      </c>
      <c r="I148" s="16">
        <f>ROUND(G148+H148,)</f>
        <v>306653</v>
      </c>
      <c r="J148" s="16">
        <f>G148*2%</f>
        <v>5197.5</v>
      </c>
      <c r="K148" s="16">
        <f>ROUND(G148*5%,)</f>
        <v>12994</v>
      </c>
      <c r="L148" s="16"/>
      <c r="M148" s="16"/>
      <c r="N148" s="122">
        <f>H148</f>
        <v>46778</v>
      </c>
      <c r="O148" s="16"/>
      <c r="P148" s="61">
        <f>I148-SUM(J148:O148)</f>
        <v>241683.5</v>
      </c>
      <c r="Q148" s="23"/>
      <c r="R148" s="16"/>
      <c r="S148" s="16">
        <v>350000</v>
      </c>
      <c r="T148" s="16">
        <v>7000</v>
      </c>
      <c r="U148" s="16">
        <v>343000</v>
      </c>
      <c r="V148" s="16" t="s">
        <v>268</v>
      </c>
      <c r="W148" s="16"/>
    </row>
    <row r="149" spans="1:23" hidden="1" x14ac:dyDescent="0.25">
      <c r="A149" s="34"/>
      <c r="B149" s="13" t="s">
        <v>170</v>
      </c>
      <c r="C149" s="14">
        <v>45484</v>
      </c>
      <c r="D149" s="20">
        <v>33</v>
      </c>
      <c r="E149" s="16">
        <v>649687</v>
      </c>
      <c r="F149" s="16">
        <v>0</v>
      </c>
      <c r="G149" s="16">
        <f t="shared" si="98"/>
        <v>649687</v>
      </c>
      <c r="H149" s="16">
        <f>ROUND(G149*18%,)</f>
        <v>116944</v>
      </c>
      <c r="I149" s="16">
        <f>ROUND(G149+H149,)</f>
        <v>766631</v>
      </c>
      <c r="J149" s="16">
        <f>G149*2%</f>
        <v>12993.74</v>
      </c>
      <c r="K149" s="16">
        <f>ROUND(G149*5%,)</f>
        <v>32484</v>
      </c>
      <c r="L149" s="16"/>
      <c r="M149" s="16"/>
      <c r="N149" s="122">
        <f>H149</f>
        <v>116944</v>
      </c>
      <c r="O149" s="16"/>
      <c r="P149" s="61">
        <f>I149-SUM(J149:O149)</f>
        <v>604209.26</v>
      </c>
      <c r="Q149" s="23"/>
      <c r="R149" s="16"/>
      <c r="S149" s="16">
        <v>400000</v>
      </c>
      <c r="T149" s="16">
        <v>8000</v>
      </c>
      <c r="U149" s="16">
        <v>392000</v>
      </c>
      <c r="V149" s="16" t="s">
        <v>296</v>
      </c>
      <c r="W149" s="16"/>
    </row>
    <row r="150" spans="1:23" hidden="1" x14ac:dyDescent="0.25">
      <c r="A150" s="34"/>
      <c r="B150" s="13" t="s">
        <v>229</v>
      </c>
      <c r="C150" s="12"/>
      <c r="D150" s="20">
        <v>33</v>
      </c>
      <c r="E150" s="16">
        <f>N149</f>
        <v>116944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22">
        <f>E150</f>
        <v>116944</v>
      </c>
      <c r="Q150" s="23"/>
      <c r="R150" s="16"/>
      <c r="S150" s="16"/>
      <c r="T150" s="16"/>
      <c r="U150" s="16"/>
      <c r="V150" s="16"/>
      <c r="W150" s="16"/>
    </row>
    <row r="151" spans="1:23" hidden="1" x14ac:dyDescent="0.25">
      <c r="A151" s="34"/>
      <c r="B151" s="13" t="s">
        <v>229</v>
      </c>
      <c r="C151" s="12"/>
      <c r="D151" s="20">
        <v>77</v>
      </c>
      <c r="E151" s="16">
        <f>N148</f>
        <v>46778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22">
        <f>E151</f>
        <v>46778</v>
      </c>
      <c r="Q151" s="23"/>
      <c r="R151" s="16"/>
      <c r="S151" s="16"/>
      <c r="T151" s="16"/>
      <c r="U151" s="16"/>
      <c r="V151" s="16"/>
      <c r="W151" s="16"/>
    </row>
    <row r="152" spans="1:23" hidden="1" x14ac:dyDescent="0.25">
      <c r="A152" s="34"/>
      <c r="B152" s="13" t="s">
        <v>170</v>
      </c>
      <c r="C152" s="14" t="s">
        <v>342</v>
      </c>
      <c r="D152" s="20">
        <v>47</v>
      </c>
      <c r="E152" s="16">
        <v>259875</v>
      </c>
      <c r="F152" s="16"/>
      <c r="G152" s="16">
        <f t="shared" ref="G152" si="99">E152-F152</f>
        <v>259875</v>
      </c>
      <c r="H152" s="16">
        <f>ROUND(G152*18%,)</f>
        <v>46778</v>
      </c>
      <c r="I152" s="16">
        <f>ROUND(G152+H152,)</f>
        <v>306653</v>
      </c>
      <c r="J152" s="16">
        <f>G152*2%</f>
        <v>5197.5</v>
      </c>
      <c r="K152" s="16">
        <f>ROUND(G152*5%,)</f>
        <v>12994</v>
      </c>
      <c r="L152" s="16"/>
      <c r="M152" s="16"/>
      <c r="N152" s="122">
        <f>H152</f>
        <v>46778</v>
      </c>
      <c r="O152" s="16"/>
      <c r="P152" s="61">
        <f>I152-SUM(J152:O152)</f>
        <v>241683.5</v>
      </c>
      <c r="Q152" s="129"/>
      <c r="R152" s="16"/>
      <c r="S152" s="16"/>
      <c r="T152" s="16"/>
      <c r="U152" s="16"/>
      <c r="V152" s="16"/>
      <c r="W152" s="16"/>
    </row>
    <row r="153" spans="1:23" hidden="1" x14ac:dyDescent="0.25">
      <c r="A153" s="34"/>
      <c r="B153" s="13" t="s">
        <v>229</v>
      </c>
      <c r="C153" s="14"/>
      <c r="D153" s="20">
        <v>47</v>
      </c>
      <c r="E153" s="16">
        <f>N152</f>
        <v>46778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22">
        <f>E153</f>
        <v>46778</v>
      </c>
      <c r="Q153" s="129"/>
      <c r="R153" s="16"/>
      <c r="S153" s="16"/>
      <c r="T153" s="16"/>
      <c r="U153" s="16"/>
      <c r="V153" s="16"/>
      <c r="W153" s="16"/>
    </row>
    <row r="154" spans="1:23" hidden="1" x14ac:dyDescent="0.25">
      <c r="A154" s="34"/>
      <c r="B154" s="13" t="s">
        <v>170</v>
      </c>
      <c r="C154" s="14">
        <v>45581</v>
      </c>
      <c r="D154" s="20">
        <v>61</v>
      </c>
      <c r="E154" s="16">
        <v>389812</v>
      </c>
      <c r="F154" s="16"/>
      <c r="G154" s="16">
        <f t="shared" ref="G154:G155" si="100">E154-F154</f>
        <v>389812</v>
      </c>
      <c r="H154" s="16">
        <f>ROUND(G154*18%,)</f>
        <v>70166</v>
      </c>
      <c r="I154" s="16">
        <f>ROUND(G154+H154,)</f>
        <v>459978</v>
      </c>
      <c r="J154" s="16">
        <f>G154*2%</f>
        <v>7796.24</v>
      </c>
      <c r="K154" s="16">
        <f>ROUND(G154*5%,)</f>
        <v>19491</v>
      </c>
      <c r="L154" s="16"/>
      <c r="M154" s="16"/>
      <c r="N154" s="122">
        <f>H154</f>
        <v>70166</v>
      </c>
      <c r="O154" s="16"/>
      <c r="P154" s="61">
        <f>I154-SUM(J154:O154)</f>
        <v>362524.76</v>
      </c>
      <c r="Q154" s="129"/>
      <c r="R154" s="16"/>
      <c r="S154" s="16"/>
      <c r="T154" s="16"/>
      <c r="U154" s="16"/>
      <c r="V154" s="16"/>
      <c r="W154" s="16"/>
    </row>
    <row r="155" spans="1:23" hidden="1" x14ac:dyDescent="0.25">
      <c r="A155" s="34"/>
      <c r="B155" s="13" t="s">
        <v>170</v>
      </c>
      <c r="C155" s="14">
        <v>45602</v>
      </c>
      <c r="D155" s="20">
        <v>85</v>
      </c>
      <c r="E155" s="16">
        <v>129938</v>
      </c>
      <c r="F155" s="16"/>
      <c r="G155" s="16">
        <f t="shared" si="100"/>
        <v>129938</v>
      </c>
      <c r="H155" s="16">
        <f>ROUND(G155*18%,)</f>
        <v>23389</v>
      </c>
      <c r="I155" s="16">
        <f>ROUND(G155+H155,)</f>
        <v>153327</v>
      </c>
      <c r="J155" s="16">
        <f>G155*2%</f>
        <v>2598.7600000000002</v>
      </c>
      <c r="K155" s="16">
        <f>ROUND(G155*5%,)</f>
        <v>6497</v>
      </c>
      <c r="L155" s="16"/>
      <c r="M155" s="16"/>
      <c r="N155" s="122">
        <f>H155</f>
        <v>23389</v>
      </c>
      <c r="O155" s="16"/>
      <c r="P155" s="61">
        <f>I155-SUM(J155:O155)</f>
        <v>120842.23999999999</v>
      </c>
      <c r="Q155" s="129"/>
      <c r="R155" s="16"/>
      <c r="S155" s="16"/>
      <c r="T155" s="16"/>
      <c r="U155" s="16"/>
      <c r="V155" s="16"/>
      <c r="W155" s="16"/>
    </row>
    <row r="156" spans="1:23" hidden="1" x14ac:dyDescent="0.25">
      <c r="A156" s="34"/>
      <c r="B156" s="13" t="s">
        <v>229</v>
      </c>
      <c r="C156" s="14"/>
      <c r="D156" s="20">
        <v>61</v>
      </c>
      <c r="E156" s="16">
        <f>N154</f>
        <v>70166</v>
      </c>
      <c r="F156" s="16"/>
      <c r="G156" s="16"/>
      <c r="H156" s="16"/>
      <c r="I156" s="16"/>
      <c r="J156" s="16"/>
      <c r="K156" s="16"/>
      <c r="L156" s="16"/>
      <c r="M156" s="16"/>
      <c r="N156" s="122"/>
      <c r="O156" s="16"/>
      <c r="P156" s="122">
        <f>E156</f>
        <v>70166</v>
      </c>
      <c r="Q156" s="129"/>
      <c r="R156" s="16"/>
      <c r="S156" s="16"/>
      <c r="T156" s="16"/>
      <c r="U156" s="16"/>
      <c r="V156" s="16"/>
      <c r="W156" s="16"/>
    </row>
    <row r="157" spans="1:23" hidden="1" x14ac:dyDescent="0.25">
      <c r="A157" s="34"/>
      <c r="B157" s="13" t="s">
        <v>229</v>
      </c>
      <c r="C157" s="14"/>
      <c r="D157" s="20">
        <v>85</v>
      </c>
      <c r="E157" s="16">
        <f>N155</f>
        <v>23389</v>
      </c>
      <c r="F157" s="16"/>
      <c r="G157" s="16"/>
      <c r="H157" s="16"/>
      <c r="I157" s="16"/>
      <c r="J157" s="16"/>
      <c r="K157" s="16"/>
      <c r="L157" s="16"/>
      <c r="M157" s="16"/>
      <c r="N157" s="122"/>
      <c r="O157" s="16"/>
      <c r="P157" s="122">
        <f>E157</f>
        <v>23389</v>
      </c>
      <c r="Q157" s="129"/>
      <c r="R157" s="16"/>
      <c r="S157" s="16"/>
      <c r="T157" s="16"/>
      <c r="U157" s="16"/>
      <c r="V157" s="16"/>
      <c r="W157" s="16"/>
    </row>
    <row r="158" spans="1:23" hidden="1" x14ac:dyDescent="0.25">
      <c r="A158" s="73">
        <v>60934</v>
      </c>
      <c r="B158" s="74"/>
      <c r="C158" s="74"/>
      <c r="D158" s="116"/>
      <c r="E158" s="74"/>
      <c r="F158" s="74"/>
      <c r="G158" s="74"/>
      <c r="H158" s="75"/>
      <c r="I158" s="74"/>
      <c r="J158" s="75"/>
      <c r="K158" s="75"/>
      <c r="L158" s="75"/>
      <c r="M158" s="75"/>
      <c r="N158" s="75"/>
      <c r="O158" s="75"/>
      <c r="P158" s="74"/>
      <c r="Q158" s="119">
        <f>A158</f>
        <v>60934</v>
      </c>
      <c r="R158" s="74"/>
      <c r="S158" s="74"/>
      <c r="T158" s="75"/>
      <c r="U158" s="74"/>
      <c r="V158" s="74"/>
      <c r="W158" s="74"/>
    </row>
    <row r="159" spans="1:23" x14ac:dyDescent="0.25">
      <c r="A159" s="32">
        <v>2598750</v>
      </c>
      <c r="B159" s="13" t="s">
        <v>172</v>
      </c>
      <c r="C159" s="14" t="s">
        <v>123</v>
      </c>
      <c r="D159" s="20">
        <v>52</v>
      </c>
      <c r="E159" s="16">
        <v>129937</v>
      </c>
      <c r="F159" s="16">
        <v>0</v>
      </c>
      <c r="G159" s="16">
        <f t="shared" ref="G159:G160" si="101">E159-F159</f>
        <v>129937</v>
      </c>
      <c r="H159" s="16">
        <f>ROUND(G159*18%,)</f>
        <v>23389</v>
      </c>
      <c r="I159" s="16">
        <f>ROUND(G159+H159,)</f>
        <v>153326</v>
      </c>
      <c r="J159" s="16">
        <f>G159*2%</f>
        <v>2598.7400000000002</v>
      </c>
      <c r="K159" s="16">
        <f>ROUND(G159*5%,)</f>
        <v>6497</v>
      </c>
      <c r="L159" s="16"/>
      <c r="M159" s="16"/>
      <c r="N159" s="122">
        <f>H159</f>
        <v>23389</v>
      </c>
      <c r="O159" s="16"/>
      <c r="P159" s="61">
        <f>I159-SUM(J159:O159)</f>
        <v>120841.26000000001</v>
      </c>
      <c r="Q159" s="17"/>
      <c r="R159" s="16" t="s">
        <v>109</v>
      </c>
      <c r="S159" s="16">
        <v>400000</v>
      </c>
      <c r="T159" s="16">
        <v>8000</v>
      </c>
      <c r="U159" s="16">
        <f t="shared" ref="U159:U160" si="102">S159-T159</f>
        <v>392000</v>
      </c>
      <c r="V159" s="16" t="s">
        <v>110</v>
      </c>
      <c r="W159" s="16">
        <f>SUM(P159:P163)-SUM(U159:U163)</f>
        <v>-988308.24</v>
      </c>
    </row>
    <row r="160" spans="1:23" hidden="1" x14ac:dyDescent="0.25">
      <c r="A160" s="32"/>
      <c r="B160" s="13" t="s">
        <v>172</v>
      </c>
      <c r="C160" s="14">
        <v>45345</v>
      </c>
      <c r="D160" s="20">
        <v>60</v>
      </c>
      <c r="E160" s="16">
        <v>259875</v>
      </c>
      <c r="F160" s="16"/>
      <c r="G160" s="16">
        <f t="shared" si="101"/>
        <v>259875</v>
      </c>
      <c r="H160" s="16">
        <f>ROUND(G160*18%,)</f>
        <v>46778</v>
      </c>
      <c r="I160" s="16">
        <f>ROUND(G160+H160,)</f>
        <v>306653</v>
      </c>
      <c r="J160" s="16">
        <f>G160*2%</f>
        <v>5197.5</v>
      </c>
      <c r="K160" s="16">
        <f>ROUND(G160*5%,)</f>
        <v>12994</v>
      </c>
      <c r="L160" s="16"/>
      <c r="M160" s="16"/>
      <c r="N160" s="122">
        <f>H160</f>
        <v>46778</v>
      </c>
      <c r="O160" s="16"/>
      <c r="P160" s="16">
        <f>I160-SUM(J160:O160)</f>
        <v>241683.5</v>
      </c>
      <c r="Q160" s="79"/>
      <c r="R160" s="16"/>
      <c r="S160" s="16">
        <v>300000</v>
      </c>
      <c r="T160" s="16">
        <v>6000</v>
      </c>
      <c r="U160" s="16">
        <f t="shared" si="102"/>
        <v>294000</v>
      </c>
      <c r="V160" s="16" t="s">
        <v>171</v>
      </c>
      <c r="W160" s="16"/>
    </row>
    <row r="161" spans="1:23" hidden="1" x14ac:dyDescent="0.25">
      <c r="A161" s="32"/>
      <c r="B161" s="16" t="s">
        <v>229</v>
      </c>
      <c r="C161" s="14"/>
      <c r="D161" s="20">
        <v>52</v>
      </c>
      <c r="E161" s="16">
        <f>N159</f>
        <v>23389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22">
        <f>E161</f>
        <v>23389</v>
      </c>
      <c r="Q161" s="23"/>
      <c r="R161" s="16"/>
      <c r="S161" s="16">
        <v>350000</v>
      </c>
      <c r="T161" s="16">
        <v>7000</v>
      </c>
      <c r="U161" s="16">
        <v>343000</v>
      </c>
      <c r="V161" s="16" t="s">
        <v>267</v>
      </c>
      <c r="W161" s="16"/>
    </row>
    <row r="162" spans="1:23" hidden="1" x14ac:dyDescent="0.25">
      <c r="A162" s="32"/>
      <c r="B162" s="16" t="s">
        <v>255</v>
      </c>
      <c r="C162" s="14"/>
      <c r="D162" s="20">
        <v>60</v>
      </c>
      <c r="E162" s="16">
        <f>N160</f>
        <v>46778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22">
        <f>E162</f>
        <v>46778</v>
      </c>
      <c r="Q162" s="23"/>
      <c r="R162" s="16"/>
      <c r="S162" s="16">
        <v>400000</v>
      </c>
      <c r="T162" s="16">
        <v>8000</v>
      </c>
      <c r="U162" s="16">
        <v>392000</v>
      </c>
      <c r="V162" s="16" t="s">
        <v>301</v>
      </c>
      <c r="W162" s="16"/>
    </row>
    <row r="163" spans="1:23" hidden="1" x14ac:dyDescent="0.25">
      <c r="A163" s="32"/>
      <c r="B163" s="16"/>
      <c r="C163" s="14"/>
      <c r="D163" s="20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23"/>
      <c r="R163" s="16"/>
      <c r="S163" s="16"/>
      <c r="T163" s="16"/>
      <c r="U163" s="16"/>
      <c r="V163" s="16"/>
      <c r="W163" s="16"/>
    </row>
    <row r="164" spans="1:23" hidden="1" x14ac:dyDescent="0.25">
      <c r="A164" s="73">
        <v>60935</v>
      </c>
      <c r="B164" s="74"/>
      <c r="C164" s="74"/>
      <c r="D164" s="116"/>
      <c r="E164" s="74"/>
      <c r="F164" s="74"/>
      <c r="G164" s="74"/>
      <c r="H164" s="75"/>
      <c r="I164" s="74"/>
      <c r="J164" s="75"/>
      <c r="K164" s="75"/>
      <c r="L164" s="75"/>
      <c r="M164" s="75"/>
      <c r="N164" s="75"/>
      <c r="O164" s="75"/>
      <c r="P164" s="74"/>
      <c r="Q164" s="119">
        <f>A164</f>
        <v>60935</v>
      </c>
      <c r="R164" s="74"/>
      <c r="S164" s="74"/>
      <c r="T164" s="75"/>
      <c r="U164" s="74"/>
      <c r="V164" s="74"/>
      <c r="W164" s="74"/>
    </row>
    <row r="165" spans="1:23" x14ac:dyDescent="0.25">
      <c r="A165" s="32">
        <v>2850000</v>
      </c>
      <c r="B165" s="13" t="s">
        <v>173</v>
      </c>
      <c r="C165" s="14"/>
      <c r="D165" s="20"/>
      <c r="E165" s="16"/>
      <c r="F165" s="16">
        <v>0</v>
      </c>
      <c r="G165" s="16">
        <f t="shared" ref="G165:G166" si="103">E165-F165</f>
        <v>0</v>
      </c>
      <c r="H165" s="16">
        <f>ROUND(G165*18%,)</f>
        <v>0</v>
      </c>
      <c r="I165" s="16">
        <f>ROUND(G165+H165,)</f>
        <v>0</v>
      </c>
      <c r="J165" s="16">
        <f>G165*2%</f>
        <v>0</v>
      </c>
      <c r="K165" s="16">
        <f>ROUND(G165*5%,)</f>
        <v>0</v>
      </c>
      <c r="L165" s="16"/>
      <c r="M165" s="16">
        <f>G165*10%</f>
        <v>0</v>
      </c>
      <c r="N165" s="16">
        <f>H165</f>
        <v>0</v>
      </c>
      <c r="O165" s="16"/>
      <c r="P165" s="16">
        <f>I165-SUM(J165:O165)</f>
        <v>0</v>
      </c>
      <c r="Q165" s="17"/>
      <c r="R165" s="16" t="s">
        <v>108</v>
      </c>
      <c r="S165" s="16">
        <v>400000</v>
      </c>
      <c r="T165" s="16">
        <v>8000</v>
      </c>
      <c r="U165" s="16">
        <f t="shared" ref="U165:U166" si="104">S165-T165</f>
        <v>392000</v>
      </c>
      <c r="V165" s="16" t="s">
        <v>107</v>
      </c>
      <c r="W165" s="16">
        <f>SUM(P165:P168)-SUM(U165:U168)</f>
        <v>-1078000</v>
      </c>
    </row>
    <row r="166" spans="1:23" hidden="1" x14ac:dyDescent="0.25">
      <c r="A166" s="34"/>
      <c r="B166" s="16"/>
      <c r="C166" s="16"/>
      <c r="D166" s="115"/>
      <c r="E166" s="16"/>
      <c r="F166" s="16"/>
      <c r="G166" s="16">
        <f t="shared" si="103"/>
        <v>0</v>
      </c>
      <c r="H166" s="16">
        <f>ROUND(G166*18%,)</f>
        <v>0</v>
      </c>
      <c r="I166" s="16">
        <f>ROUND(G166+H166,)</f>
        <v>0</v>
      </c>
      <c r="J166" s="16">
        <f>G166*2%</f>
        <v>0</v>
      </c>
      <c r="K166" s="16">
        <f>ROUND(G166*5%,)</f>
        <v>0</v>
      </c>
      <c r="L166" s="16"/>
      <c r="M166" s="16">
        <f>G166*10%</f>
        <v>0</v>
      </c>
      <c r="N166" s="16">
        <f>H166</f>
        <v>0</v>
      </c>
      <c r="O166" s="16"/>
      <c r="P166" s="16">
        <f>I166-SUM(J166:O166)</f>
        <v>0</v>
      </c>
      <c r="Q166" s="23"/>
      <c r="R166" s="16"/>
      <c r="S166" s="16">
        <v>400000</v>
      </c>
      <c r="T166" s="16">
        <v>8000</v>
      </c>
      <c r="U166" s="16">
        <f t="shared" si="104"/>
        <v>392000</v>
      </c>
      <c r="V166" s="16" t="s">
        <v>280</v>
      </c>
      <c r="W166" s="16"/>
    </row>
    <row r="167" spans="1:23" hidden="1" x14ac:dyDescent="0.25">
      <c r="A167" s="34"/>
      <c r="B167" s="16"/>
      <c r="C167" s="16"/>
      <c r="D167" s="1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23"/>
      <c r="R167" s="16"/>
      <c r="S167" s="16">
        <v>300000</v>
      </c>
      <c r="T167" s="16">
        <v>6000</v>
      </c>
      <c r="U167" s="16">
        <v>294000</v>
      </c>
      <c r="V167" s="16" t="s">
        <v>335</v>
      </c>
      <c r="W167" s="16"/>
    </row>
    <row r="168" spans="1:23" hidden="1" x14ac:dyDescent="0.25">
      <c r="A168" s="34"/>
      <c r="B168" s="16"/>
      <c r="C168" s="16"/>
      <c r="D168" s="1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23"/>
      <c r="R168" s="16"/>
      <c r="S168" s="16"/>
      <c r="T168" s="16"/>
      <c r="U168" s="16"/>
      <c r="V168" s="16"/>
      <c r="W168" s="16"/>
    </row>
    <row r="169" spans="1:23" hidden="1" x14ac:dyDescent="0.25">
      <c r="A169" s="120">
        <v>61017</v>
      </c>
      <c r="B169" s="74"/>
      <c r="C169" s="74"/>
      <c r="D169" s="116"/>
      <c r="E169" s="74"/>
      <c r="F169" s="74"/>
      <c r="G169" s="74"/>
      <c r="H169" s="75"/>
      <c r="I169" s="74"/>
      <c r="J169" s="75"/>
      <c r="K169" s="75"/>
      <c r="L169" s="75"/>
      <c r="M169" s="75"/>
      <c r="N169" s="75"/>
      <c r="O169" s="75"/>
      <c r="P169" s="74"/>
      <c r="Q169" s="119">
        <f>A169</f>
        <v>61017</v>
      </c>
      <c r="R169" s="74"/>
      <c r="S169" s="74"/>
      <c r="T169" s="75"/>
      <c r="U169" s="74"/>
      <c r="V169" s="74"/>
      <c r="W169" s="74"/>
    </row>
    <row r="170" spans="1:23" x14ac:dyDescent="0.25">
      <c r="A170" s="32">
        <v>2598750</v>
      </c>
      <c r="B170" s="13" t="s">
        <v>174</v>
      </c>
      <c r="C170" s="14">
        <v>45325</v>
      </c>
      <c r="D170" s="20">
        <v>43</v>
      </c>
      <c r="E170" s="16">
        <v>389812</v>
      </c>
      <c r="F170" s="16">
        <v>0</v>
      </c>
      <c r="G170" s="16">
        <f t="shared" ref="G170" si="105">E170-F170</f>
        <v>389812</v>
      </c>
      <c r="H170" s="16">
        <f>ROUND(G170*18%,)</f>
        <v>70166</v>
      </c>
      <c r="I170" s="16">
        <f>ROUND(G170+H170,)</f>
        <v>459978</v>
      </c>
      <c r="J170" s="16">
        <f>G170*2%</f>
        <v>7796.24</v>
      </c>
      <c r="K170" s="16">
        <f>ROUND(G170*5%,)</f>
        <v>19491</v>
      </c>
      <c r="L170" s="16"/>
      <c r="M170" s="16"/>
      <c r="N170" s="122">
        <f>H170</f>
        <v>70166</v>
      </c>
      <c r="O170" s="16"/>
      <c r="P170" s="61">
        <f>I170-SUM(J170:O170)</f>
        <v>362524.76</v>
      </c>
      <c r="Q170" s="17"/>
      <c r="R170" s="78" t="s">
        <v>122</v>
      </c>
      <c r="S170" s="16">
        <v>400000</v>
      </c>
      <c r="T170" s="16">
        <v>8000</v>
      </c>
      <c r="U170" s="16">
        <f t="shared" ref="U170:U171" si="106">S170-T170</f>
        <v>392000</v>
      </c>
      <c r="V170" s="16" t="s">
        <v>121</v>
      </c>
      <c r="W170" s="16">
        <f>SUM(P170:P176)-SUM(U170:U176)</f>
        <v>-610156.98</v>
      </c>
    </row>
    <row r="171" spans="1:23" hidden="1" x14ac:dyDescent="0.25">
      <c r="A171" s="34"/>
      <c r="B171" s="13"/>
      <c r="C171" s="21"/>
      <c r="D171" s="20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61"/>
      <c r="Q171" s="79"/>
      <c r="R171" s="78" t="s">
        <v>238</v>
      </c>
      <c r="S171" s="16">
        <v>300000</v>
      </c>
      <c r="T171" s="16">
        <v>6000</v>
      </c>
      <c r="U171" s="16">
        <f t="shared" si="106"/>
        <v>294000</v>
      </c>
      <c r="V171" s="16" t="s">
        <v>237</v>
      </c>
      <c r="W171" s="16"/>
    </row>
    <row r="172" spans="1:23" hidden="1" x14ac:dyDescent="0.25">
      <c r="A172" s="34"/>
      <c r="B172" s="16" t="s">
        <v>229</v>
      </c>
      <c r="C172" s="16"/>
      <c r="D172" s="20">
        <v>43</v>
      </c>
      <c r="E172" s="16">
        <f>N170</f>
        <v>70166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22">
        <f>E172</f>
        <v>70166</v>
      </c>
      <c r="Q172" s="23"/>
      <c r="R172" s="16"/>
      <c r="S172" s="16">
        <v>300000</v>
      </c>
      <c r="T172" s="16">
        <v>6000</v>
      </c>
      <c r="U172" s="16">
        <v>294000</v>
      </c>
      <c r="V172" s="16" t="s">
        <v>257</v>
      </c>
      <c r="W172" s="16"/>
    </row>
    <row r="173" spans="1:23" hidden="1" x14ac:dyDescent="0.25">
      <c r="A173" s="34"/>
      <c r="B173" s="13" t="s">
        <v>174</v>
      </c>
      <c r="C173" s="21">
        <v>45345</v>
      </c>
      <c r="D173" s="20">
        <v>62</v>
      </c>
      <c r="E173" s="16">
        <v>259875</v>
      </c>
      <c r="F173" s="16"/>
      <c r="G173" s="16">
        <f t="shared" ref="G173" si="107">E173-F173</f>
        <v>259875</v>
      </c>
      <c r="H173" s="16">
        <f>ROUND(G173*18%,)</f>
        <v>46778</v>
      </c>
      <c r="I173" s="16">
        <f>ROUND(G173+H173,)</f>
        <v>306653</v>
      </c>
      <c r="J173" s="16">
        <f>G173*2%</f>
        <v>5197.5</v>
      </c>
      <c r="K173" s="16">
        <f>ROUND(G173*5%,)</f>
        <v>12994</v>
      </c>
      <c r="L173" s="16"/>
      <c r="M173" s="16"/>
      <c r="N173" s="122">
        <f>H173</f>
        <v>46778</v>
      </c>
      <c r="O173" s="16"/>
      <c r="P173" s="61">
        <f>I173-SUM(J173:O173)</f>
        <v>241683.5</v>
      </c>
      <c r="Q173" s="23"/>
      <c r="R173" s="16"/>
      <c r="S173" s="16">
        <v>400000</v>
      </c>
      <c r="T173" s="16">
        <f>S173*2%</f>
        <v>8000</v>
      </c>
      <c r="U173" s="16">
        <v>392000</v>
      </c>
      <c r="V173" s="16" t="s">
        <v>263</v>
      </c>
      <c r="W173" s="16"/>
    </row>
    <row r="174" spans="1:23" hidden="1" x14ac:dyDescent="0.25">
      <c r="A174" s="34"/>
      <c r="B174" s="13" t="s">
        <v>229</v>
      </c>
      <c r="C174" s="21"/>
      <c r="D174" s="20">
        <v>62</v>
      </c>
      <c r="E174" s="16">
        <f>N173</f>
        <v>46778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22">
        <f>E174</f>
        <v>46778</v>
      </c>
      <c r="Q174" s="23"/>
      <c r="R174" s="16"/>
      <c r="S174" s="16">
        <v>400000</v>
      </c>
      <c r="T174" s="16">
        <v>8000</v>
      </c>
      <c r="U174" s="16">
        <v>392000</v>
      </c>
      <c r="V174" s="16" t="s">
        <v>279</v>
      </c>
      <c r="W174" s="16"/>
    </row>
    <row r="175" spans="1:23" hidden="1" x14ac:dyDescent="0.25">
      <c r="A175" s="34"/>
      <c r="B175" s="13" t="s">
        <v>174</v>
      </c>
      <c r="C175" s="21">
        <v>45390</v>
      </c>
      <c r="D175" s="20">
        <v>3</v>
      </c>
      <c r="E175" s="16">
        <v>389812</v>
      </c>
      <c r="F175" s="16"/>
      <c r="G175" s="16">
        <f t="shared" ref="G175" si="108">E175-F175</f>
        <v>389812</v>
      </c>
      <c r="H175" s="16">
        <f>ROUND(G175*18%,)</f>
        <v>70166</v>
      </c>
      <c r="I175" s="16">
        <f>ROUND(G175+H175,)</f>
        <v>459978</v>
      </c>
      <c r="J175" s="16">
        <f>G175*2%</f>
        <v>7796.24</v>
      </c>
      <c r="K175" s="16">
        <f>ROUND(G175*5%,)</f>
        <v>19491</v>
      </c>
      <c r="L175" s="16"/>
      <c r="M175" s="16"/>
      <c r="N175" s="122">
        <f>H175</f>
        <v>70166</v>
      </c>
      <c r="O175" s="16"/>
      <c r="P175" s="61">
        <f>I175-SUM(J175:O175)</f>
        <v>362524.76</v>
      </c>
      <c r="Q175" s="23"/>
      <c r="R175" s="16"/>
      <c r="S175" s="16"/>
      <c r="T175" s="16"/>
      <c r="U175" s="16"/>
      <c r="V175" s="16"/>
      <c r="W175" s="16"/>
    </row>
    <row r="176" spans="1:23" hidden="1" x14ac:dyDescent="0.25">
      <c r="A176" s="34"/>
      <c r="B176" s="13" t="s">
        <v>255</v>
      </c>
      <c r="C176" s="21"/>
      <c r="D176" s="20">
        <v>3</v>
      </c>
      <c r="E176" s="16">
        <f>N175</f>
        <v>70166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22">
        <f>E176</f>
        <v>70166</v>
      </c>
      <c r="Q176" s="23"/>
      <c r="R176" s="16"/>
      <c r="S176" s="16"/>
      <c r="T176" s="16"/>
      <c r="U176" s="16"/>
      <c r="V176" s="16"/>
      <c r="W176" s="16"/>
    </row>
    <row r="177" spans="1:23" hidden="1" x14ac:dyDescent="0.25">
      <c r="A177" s="73">
        <v>61509</v>
      </c>
      <c r="B177" s="74"/>
      <c r="C177" s="74"/>
      <c r="D177" s="116"/>
      <c r="E177" s="74"/>
      <c r="F177" s="74"/>
      <c r="G177" s="74"/>
      <c r="H177" s="75"/>
      <c r="I177" s="74"/>
      <c r="J177" s="75"/>
      <c r="K177" s="75"/>
      <c r="L177" s="75"/>
      <c r="M177" s="75"/>
      <c r="N177" s="75"/>
      <c r="O177" s="75"/>
      <c r="P177" s="74"/>
      <c r="Q177" s="119">
        <f>A177</f>
        <v>61509</v>
      </c>
      <c r="R177" s="74"/>
      <c r="S177" s="74"/>
      <c r="T177" s="75"/>
      <c r="U177" s="74"/>
      <c r="V177" s="74"/>
      <c r="W177" s="74"/>
    </row>
    <row r="178" spans="1:23" x14ac:dyDescent="0.25">
      <c r="A178" s="32">
        <v>3780000</v>
      </c>
      <c r="B178" s="13" t="s">
        <v>175</v>
      </c>
      <c r="C178" s="16" t="s">
        <v>135</v>
      </c>
      <c r="D178" s="20">
        <v>45</v>
      </c>
      <c r="E178" s="16">
        <v>1512000</v>
      </c>
      <c r="F178" s="16">
        <v>567000</v>
      </c>
      <c r="G178" s="16">
        <f t="shared" ref="G178" si="109">E178-F178</f>
        <v>945000</v>
      </c>
      <c r="H178" s="16">
        <f>ROUND(G178*18%,)</f>
        <v>170100</v>
      </c>
      <c r="I178" s="16">
        <f>ROUND(G178+H178,)</f>
        <v>1115100</v>
      </c>
      <c r="J178" s="16">
        <f>G178*2%</f>
        <v>18900</v>
      </c>
      <c r="K178" s="16">
        <f>ROUND(G178*5%,)</f>
        <v>47250</v>
      </c>
      <c r="L178" s="16"/>
      <c r="M178" s="16"/>
      <c r="N178" s="122">
        <f>H178</f>
        <v>170100</v>
      </c>
      <c r="O178" s="16"/>
      <c r="P178" s="61">
        <f>I178-SUM(J178:O178)</f>
        <v>878850</v>
      </c>
      <c r="Q178" s="17"/>
      <c r="R178" s="16" t="s">
        <v>106</v>
      </c>
      <c r="S178" s="16">
        <v>300000</v>
      </c>
      <c r="T178" s="16">
        <f t="shared" ref="T178:T179" si="110">S178*$T$5</f>
        <v>6000</v>
      </c>
      <c r="U178" s="16">
        <f t="shared" ref="U178:U181" si="111">S178-T178</f>
        <v>294000</v>
      </c>
      <c r="V178" s="12" t="s">
        <v>105</v>
      </c>
      <c r="W178" s="16">
        <f>SUM(P178:P185)-SUM(U178:U185)</f>
        <v>-187106.79999999981</v>
      </c>
    </row>
    <row r="179" spans="1:23" hidden="1" x14ac:dyDescent="0.25">
      <c r="A179" s="32"/>
      <c r="B179" s="13" t="s">
        <v>229</v>
      </c>
      <c r="C179" s="16"/>
      <c r="D179" s="20">
        <v>45</v>
      </c>
      <c r="E179" s="16">
        <f>N178</f>
        <v>170100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22">
        <f>E179</f>
        <v>170100</v>
      </c>
      <c r="Q179" s="23"/>
      <c r="R179" s="16" t="s">
        <v>101</v>
      </c>
      <c r="S179" s="16">
        <v>300000</v>
      </c>
      <c r="T179" s="16">
        <f t="shared" si="110"/>
        <v>6000</v>
      </c>
      <c r="U179" s="16">
        <f t="shared" si="111"/>
        <v>294000</v>
      </c>
      <c r="V179" s="12" t="s">
        <v>133</v>
      </c>
      <c r="W179" s="16"/>
    </row>
    <row r="180" spans="1:23" hidden="1" x14ac:dyDescent="0.25">
      <c r="A180" s="34"/>
      <c r="B180" s="13" t="s">
        <v>175</v>
      </c>
      <c r="C180" s="21">
        <v>45509</v>
      </c>
      <c r="D180" s="115">
        <v>38</v>
      </c>
      <c r="E180" s="16">
        <v>1134000</v>
      </c>
      <c r="F180" s="16"/>
      <c r="G180" s="16">
        <f t="shared" ref="G180" si="112">E180-F180</f>
        <v>1134000</v>
      </c>
      <c r="H180" s="16">
        <f>ROUND(G180*18%,)</f>
        <v>204120</v>
      </c>
      <c r="I180" s="16">
        <f>ROUND(G180+H180,)</f>
        <v>1338120</v>
      </c>
      <c r="J180" s="16">
        <f>G180*2%</f>
        <v>22680</v>
      </c>
      <c r="K180" s="16">
        <f>ROUND(G180*5%,)</f>
        <v>56700</v>
      </c>
      <c r="L180" s="16"/>
      <c r="M180" s="16"/>
      <c r="N180" s="122">
        <f>H180</f>
        <v>204120</v>
      </c>
      <c r="O180" s="16"/>
      <c r="P180" s="61">
        <f>I180-SUM(J180:O180)</f>
        <v>1054620</v>
      </c>
      <c r="Q180" s="23"/>
      <c r="R180" s="16" t="s">
        <v>224</v>
      </c>
      <c r="S180" s="16">
        <v>600000</v>
      </c>
      <c r="T180" s="16">
        <v>12000</v>
      </c>
      <c r="U180" s="16">
        <f t="shared" si="111"/>
        <v>588000</v>
      </c>
      <c r="V180" s="12" t="s">
        <v>134</v>
      </c>
      <c r="W180" s="16"/>
    </row>
    <row r="181" spans="1:23" hidden="1" x14ac:dyDescent="0.25">
      <c r="A181" s="34"/>
      <c r="B181" s="13" t="s">
        <v>229</v>
      </c>
      <c r="C181" s="16"/>
      <c r="D181" s="115">
        <v>38</v>
      </c>
      <c r="E181" s="16">
        <f>N180</f>
        <v>204120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22">
        <f>E181</f>
        <v>204120</v>
      </c>
      <c r="Q181" s="23"/>
      <c r="R181" s="16" t="s">
        <v>225</v>
      </c>
      <c r="S181" s="16">
        <v>200000</v>
      </c>
      <c r="T181" s="16">
        <v>4000</v>
      </c>
      <c r="U181" s="16">
        <f t="shared" si="111"/>
        <v>196000</v>
      </c>
      <c r="V181" s="12" t="s">
        <v>223</v>
      </c>
      <c r="W181" s="16"/>
    </row>
    <row r="182" spans="1:23" hidden="1" x14ac:dyDescent="0.25">
      <c r="A182" s="34"/>
      <c r="B182" s="13" t="s">
        <v>175</v>
      </c>
      <c r="C182" s="21">
        <v>45551</v>
      </c>
      <c r="D182" s="115">
        <v>49</v>
      </c>
      <c r="E182" s="16">
        <v>189000</v>
      </c>
      <c r="F182" s="16"/>
      <c r="G182" s="16">
        <f t="shared" ref="G182" si="113">E182-F182</f>
        <v>189000</v>
      </c>
      <c r="H182" s="16">
        <f>ROUND(G182*18%,)</f>
        <v>34020</v>
      </c>
      <c r="I182" s="16">
        <f>ROUND(G182+H182,)</f>
        <v>223020</v>
      </c>
      <c r="J182" s="16">
        <f>G182*2%</f>
        <v>3780</v>
      </c>
      <c r="K182" s="16">
        <f>ROUND(G182*5%,)</f>
        <v>9450</v>
      </c>
      <c r="L182" s="16"/>
      <c r="M182" s="16"/>
      <c r="N182" s="122">
        <f>H182</f>
        <v>34020</v>
      </c>
      <c r="O182" s="16"/>
      <c r="P182" s="61">
        <f>I182-SUM(J182:O182)</f>
        <v>175770</v>
      </c>
      <c r="Q182" s="23"/>
      <c r="R182" s="16"/>
      <c r="S182" s="16">
        <v>350000</v>
      </c>
      <c r="T182" s="16">
        <f>S182-U182</f>
        <v>7000</v>
      </c>
      <c r="U182" s="16">
        <v>343000</v>
      </c>
      <c r="V182" s="12" t="s">
        <v>357</v>
      </c>
      <c r="W182" s="16"/>
    </row>
    <row r="183" spans="1:23" hidden="1" x14ac:dyDescent="0.25">
      <c r="A183" s="34"/>
      <c r="B183" s="13" t="s">
        <v>229</v>
      </c>
      <c r="C183" s="16"/>
      <c r="D183" s="115">
        <v>49</v>
      </c>
      <c r="E183" s="16">
        <f>N182</f>
        <v>34020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22">
        <f>E183</f>
        <v>34020</v>
      </c>
      <c r="Q183" s="23"/>
      <c r="R183" s="16"/>
      <c r="S183" s="16">
        <v>400000</v>
      </c>
      <c r="T183" s="16">
        <f>S183*2%</f>
        <v>8000</v>
      </c>
      <c r="U183" s="16">
        <v>392000</v>
      </c>
      <c r="V183" s="12" t="s">
        <v>274</v>
      </c>
      <c r="W183" s="16"/>
    </row>
    <row r="184" spans="1:23" hidden="1" x14ac:dyDescent="0.25">
      <c r="A184" s="34"/>
      <c r="B184" s="13" t="s">
        <v>175</v>
      </c>
      <c r="C184" s="21">
        <v>45602</v>
      </c>
      <c r="D184" s="115">
        <v>87</v>
      </c>
      <c r="E184" s="16">
        <f>A178*11%</f>
        <v>415800</v>
      </c>
      <c r="F184" s="16">
        <v>247860</v>
      </c>
      <c r="G184" s="16">
        <f t="shared" ref="G184" si="114">E184-F184</f>
        <v>167940</v>
      </c>
      <c r="H184" s="16">
        <f>ROUND(G184*18%,)</f>
        <v>30229</v>
      </c>
      <c r="I184" s="16">
        <f>ROUND(G184+H184,)</f>
        <v>198169</v>
      </c>
      <c r="J184" s="16">
        <f>G184*2%</f>
        <v>3358.8</v>
      </c>
      <c r="K184" s="16">
        <f>ROUND(G184*5%,)</f>
        <v>8397</v>
      </c>
      <c r="L184" s="16"/>
      <c r="M184" s="16"/>
      <c r="N184" s="122">
        <f>H184</f>
        <v>30229</v>
      </c>
      <c r="O184" s="16"/>
      <c r="P184" s="61">
        <f>I184-SUM(J184:O184)</f>
        <v>156184.20000000001</v>
      </c>
      <c r="Q184" s="23"/>
      <c r="R184" s="16"/>
      <c r="S184" s="16">
        <v>400000</v>
      </c>
      <c r="T184" s="16">
        <f>S184*2%</f>
        <v>8000</v>
      </c>
      <c r="U184" s="16">
        <v>392000</v>
      </c>
      <c r="V184" s="12" t="s">
        <v>300</v>
      </c>
      <c r="W184" s="16"/>
    </row>
    <row r="185" spans="1:23" hidden="1" x14ac:dyDescent="0.25">
      <c r="A185" s="34"/>
      <c r="B185" s="13" t="s">
        <v>229</v>
      </c>
      <c r="C185" s="16"/>
      <c r="D185" s="115">
        <v>87</v>
      </c>
      <c r="E185" s="16">
        <f>N184</f>
        <v>30229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22">
        <f>E185</f>
        <v>30229</v>
      </c>
      <c r="Q185" s="23"/>
      <c r="R185" s="16"/>
      <c r="S185" s="16">
        <v>400000</v>
      </c>
      <c r="T185" s="16">
        <f>S185*2%</f>
        <v>8000</v>
      </c>
      <c r="U185" s="16">
        <v>392000</v>
      </c>
      <c r="V185" s="12" t="s">
        <v>336</v>
      </c>
      <c r="W185" s="16"/>
    </row>
    <row r="186" spans="1:23" hidden="1" x14ac:dyDescent="0.25">
      <c r="A186" s="73">
        <v>61688</v>
      </c>
      <c r="B186" s="74"/>
      <c r="C186" s="74"/>
      <c r="D186" s="116"/>
      <c r="E186" s="74"/>
      <c r="F186" s="74"/>
      <c r="G186" s="74"/>
      <c r="H186" s="75"/>
      <c r="I186" s="74"/>
      <c r="J186" s="75"/>
      <c r="K186" s="75"/>
      <c r="L186" s="75"/>
      <c r="M186" s="75"/>
      <c r="N186" s="75"/>
      <c r="O186" s="75"/>
      <c r="P186" s="74"/>
      <c r="Q186" s="119">
        <f>A186</f>
        <v>61688</v>
      </c>
      <c r="R186" s="74"/>
      <c r="S186" s="74"/>
      <c r="T186" s="75"/>
      <c r="U186" s="74"/>
      <c r="V186" s="74"/>
      <c r="W186" s="74"/>
    </row>
    <row r="187" spans="1:23" x14ac:dyDescent="0.25">
      <c r="A187" s="32">
        <v>2598750</v>
      </c>
      <c r="B187" s="13" t="s">
        <v>166</v>
      </c>
      <c r="C187" s="14">
        <v>45422</v>
      </c>
      <c r="D187" s="20">
        <v>14</v>
      </c>
      <c r="E187" s="16">
        <v>350000</v>
      </c>
      <c r="F187" s="16">
        <v>0</v>
      </c>
      <c r="G187" s="16">
        <f t="shared" ref="G187:G188" si="115">E187-F187</f>
        <v>350000</v>
      </c>
      <c r="H187" s="16">
        <f>ROUND(G187*18%,)</f>
        <v>63000</v>
      </c>
      <c r="I187" s="16">
        <f>ROUND(G187+H187,)</f>
        <v>413000</v>
      </c>
      <c r="J187" s="16">
        <f>G187*2%</f>
        <v>7000</v>
      </c>
      <c r="K187" s="16">
        <f>ROUND(G187*5%,)</f>
        <v>17500</v>
      </c>
      <c r="L187" s="16"/>
      <c r="M187" s="16"/>
      <c r="N187" s="122">
        <f>H187</f>
        <v>63000</v>
      </c>
      <c r="O187" s="16"/>
      <c r="P187" s="61">
        <f>I187-SUM(J187:O187)</f>
        <v>325500</v>
      </c>
      <c r="Q187" s="17"/>
      <c r="R187" s="16" t="s">
        <v>99</v>
      </c>
      <c r="S187" s="16">
        <v>300000</v>
      </c>
      <c r="T187" s="16">
        <f t="shared" ref="T187" si="116">S187*$T$5</f>
        <v>6000</v>
      </c>
      <c r="U187" s="16">
        <f>S187-T187</f>
        <v>294000</v>
      </c>
      <c r="V187" s="12" t="s">
        <v>98</v>
      </c>
      <c r="W187" s="16">
        <f>SUM(P187:P192)-SUM(U187:U192)</f>
        <v>-596750</v>
      </c>
    </row>
    <row r="188" spans="1:23" hidden="1" x14ac:dyDescent="0.25">
      <c r="A188" s="32">
        <f>A187*85%</f>
        <v>2208937.5</v>
      </c>
      <c r="B188" s="13" t="s">
        <v>166</v>
      </c>
      <c r="C188" s="14">
        <v>45430</v>
      </c>
      <c r="D188" s="20">
        <v>19</v>
      </c>
      <c r="E188" s="16">
        <v>525000</v>
      </c>
      <c r="F188" s="16">
        <v>0</v>
      </c>
      <c r="G188" s="16">
        <f t="shared" si="115"/>
        <v>525000</v>
      </c>
      <c r="H188" s="16">
        <f>ROUND(G188*18%,)</f>
        <v>94500</v>
      </c>
      <c r="I188" s="16">
        <f>ROUND(G188+H188,)</f>
        <v>619500</v>
      </c>
      <c r="J188" s="16">
        <f>G188*2%</f>
        <v>10500</v>
      </c>
      <c r="K188" s="16">
        <f>ROUND(G188*5%,)</f>
        <v>26250</v>
      </c>
      <c r="L188" s="16"/>
      <c r="M188" s="16"/>
      <c r="N188" s="122">
        <f>H188</f>
        <v>94500</v>
      </c>
      <c r="O188" s="16"/>
      <c r="P188" s="61">
        <f>I188-SUM(J188:O188)</f>
        <v>488250</v>
      </c>
      <c r="Q188" s="17"/>
      <c r="R188" s="16" t="s">
        <v>236</v>
      </c>
      <c r="S188" s="16">
        <v>300000</v>
      </c>
      <c r="T188" s="16">
        <v>6000</v>
      </c>
      <c r="U188" s="16">
        <v>294000</v>
      </c>
      <c r="V188" s="12" t="s">
        <v>165</v>
      </c>
      <c r="W188" s="16"/>
    </row>
    <row r="189" spans="1:23" hidden="1" x14ac:dyDescent="0.25">
      <c r="A189" s="32"/>
      <c r="B189" s="13" t="s">
        <v>255</v>
      </c>
      <c r="C189" s="14"/>
      <c r="D189" s="20" t="s">
        <v>277</v>
      </c>
      <c r="E189" s="16">
        <f>N187+N188</f>
        <v>157500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22">
        <f>E189</f>
        <v>157500</v>
      </c>
      <c r="Q189" s="17"/>
      <c r="R189" s="16"/>
      <c r="S189" s="16">
        <v>400000</v>
      </c>
      <c r="T189" s="16">
        <v>8000</v>
      </c>
      <c r="U189" s="16">
        <v>392000</v>
      </c>
      <c r="V189" s="12" t="s">
        <v>269</v>
      </c>
      <c r="W189" s="16"/>
    </row>
    <row r="190" spans="1:23" hidden="1" x14ac:dyDescent="0.25">
      <c r="A190" s="32"/>
      <c r="B190" s="13"/>
      <c r="C190" s="14"/>
      <c r="D190" s="20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27"/>
      <c r="Q190" s="17"/>
      <c r="R190" s="16"/>
      <c r="S190" s="16">
        <v>400000</v>
      </c>
      <c r="T190" s="16">
        <v>8000</v>
      </c>
      <c r="U190" s="16">
        <v>392000</v>
      </c>
      <c r="V190" s="12" t="s">
        <v>271</v>
      </c>
      <c r="W190" s="16"/>
    </row>
    <row r="191" spans="1:23" hidden="1" x14ac:dyDescent="0.25">
      <c r="A191" s="32"/>
      <c r="B191" s="13"/>
      <c r="C191" s="14"/>
      <c r="D191" s="20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27"/>
      <c r="Q191" s="17"/>
      <c r="R191" s="16"/>
      <c r="S191" s="16">
        <v>200000</v>
      </c>
      <c r="T191" s="16">
        <v>4000</v>
      </c>
      <c r="U191" s="16">
        <f>S191-T191</f>
        <v>196000</v>
      </c>
      <c r="V191" s="12" t="s">
        <v>290</v>
      </c>
      <c r="W191" s="16"/>
    </row>
    <row r="192" spans="1:23" hidden="1" x14ac:dyDescent="0.25">
      <c r="A192" s="32"/>
      <c r="B192" s="13"/>
      <c r="C192" s="14"/>
      <c r="D192" s="20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27"/>
      <c r="Q192" s="17"/>
      <c r="R192" s="16"/>
      <c r="S192" s="16"/>
      <c r="T192" s="16"/>
      <c r="U192" s="16"/>
      <c r="V192" s="12"/>
      <c r="W192" s="16"/>
    </row>
    <row r="193" spans="1:23" hidden="1" x14ac:dyDescent="0.25">
      <c r="A193" s="73">
        <v>62897</v>
      </c>
      <c r="B193" s="74"/>
      <c r="C193" s="74"/>
      <c r="D193" s="116"/>
      <c r="E193" s="74"/>
      <c r="F193" s="74"/>
      <c r="G193" s="74"/>
      <c r="H193" s="75"/>
      <c r="I193" s="74"/>
      <c r="J193" s="75"/>
      <c r="K193" s="75"/>
      <c r="L193" s="75"/>
      <c r="M193" s="75"/>
      <c r="N193" s="75"/>
      <c r="O193" s="75"/>
      <c r="P193" s="74"/>
      <c r="Q193" s="119">
        <f>A193</f>
        <v>62897</v>
      </c>
      <c r="R193" s="74"/>
      <c r="S193" s="74"/>
      <c r="T193" s="75"/>
      <c r="U193" s="74"/>
      <c r="V193" s="74"/>
      <c r="W193" s="74"/>
    </row>
    <row r="194" spans="1:23" x14ac:dyDescent="0.25">
      <c r="A194" s="32">
        <v>5000000</v>
      </c>
      <c r="B194" s="13" t="s">
        <v>233</v>
      </c>
      <c r="C194" s="14">
        <v>45370</v>
      </c>
      <c r="D194" s="20">
        <v>76</v>
      </c>
      <c r="E194" s="16">
        <v>750000</v>
      </c>
      <c r="F194" s="16">
        <v>0</v>
      </c>
      <c r="G194" s="16">
        <f t="shared" ref="G194:G195" si="117">E194-F194</f>
        <v>750000</v>
      </c>
      <c r="H194" s="16">
        <f>ROUND(G194*18%,)</f>
        <v>135000</v>
      </c>
      <c r="I194" s="16">
        <f>ROUND(G194+H194,)</f>
        <v>885000</v>
      </c>
      <c r="J194" s="16">
        <f>G194*2%</f>
        <v>15000</v>
      </c>
      <c r="K194" s="16">
        <f>ROUND(G194*5%,)</f>
        <v>37500</v>
      </c>
      <c r="L194" s="16"/>
      <c r="M194" s="16"/>
      <c r="N194" s="122">
        <f>H194</f>
        <v>135000</v>
      </c>
      <c r="O194" s="16"/>
      <c r="P194" s="61">
        <f>I194-SUM(J194:O194)</f>
        <v>697500</v>
      </c>
      <c r="Q194" s="17"/>
      <c r="R194" s="16"/>
      <c r="S194" s="16">
        <v>800000</v>
      </c>
      <c r="T194" s="16">
        <f>S194-U194</f>
        <v>16000</v>
      </c>
      <c r="U194" s="16">
        <v>784000</v>
      </c>
      <c r="V194" s="12" t="s">
        <v>232</v>
      </c>
      <c r="W194" s="16">
        <f>SUM(P194:P201)-SUM(U194:U201)</f>
        <v>-394000</v>
      </c>
    </row>
    <row r="195" spans="1:23" hidden="1" x14ac:dyDescent="0.25">
      <c r="A195" s="32">
        <f>A194*90%</f>
        <v>4500000</v>
      </c>
      <c r="B195" s="13" t="s">
        <v>233</v>
      </c>
      <c r="C195" s="14">
        <v>45400</v>
      </c>
      <c r="D195" s="20">
        <v>6</v>
      </c>
      <c r="E195" s="16">
        <v>750000</v>
      </c>
      <c r="F195" s="16">
        <v>0</v>
      </c>
      <c r="G195" s="16">
        <f t="shared" si="117"/>
        <v>750000</v>
      </c>
      <c r="H195" s="16">
        <f>ROUND(G195*18%,)</f>
        <v>135000</v>
      </c>
      <c r="I195" s="16">
        <f>ROUND(G195+H195,)</f>
        <v>885000</v>
      </c>
      <c r="J195" s="16">
        <f>G195*2%</f>
        <v>15000</v>
      </c>
      <c r="K195" s="16">
        <f>ROUND(G195*5%,)</f>
        <v>37500</v>
      </c>
      <c r="L195" s="16"/>
      <c r="M195" s="16"/>
      <c r="N195" s="122">
        <f>H195</f>
        <v>135000</v>
      </c>
      <c r="O195" s="16"/>
      <c r="P195" s="61">
        <f>I195-SUM(J195:O195)</f>
        <v>697500</v>
      </c>
      <c r="Q195" s="17"/>
      <c r="R195" s="16"/>
      <c r="S195" s="16">
        <v>500000</v>
      </c>
      <c r="T195" s="16">
        <f>S195-U195</f>
        <v>10000</v>
      </c>
      <c r="U195" s="16">
        <v>490000</v>
      </c>
      <c r="V195" s="12" t="s">
        <v>258</v>
      </c>
      <c r="W195" s="16"/>
    </row>
    <row r="196" spans="1:23" hidden="1" x14ac:dyDescent="0.25">
      <c r="A196" s="32"/>
      <c r="B196" s="13" t="s">
        <v>255</v>
      </c>
      <c r="C196" s="14"/>
      <c r="D196" s="20" t="s">
        <v>278</v>
      </c>
      <c r="E196" s="16">
        <f>N194+N195</f>
        <v>270000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22">
        <f>E196</f>
        <v>270000</v>
      </c>
      <c r="Q196" s="17"/>
      <c r="R196" s="16"/>
      <c r="S196" s="16">
        <v>200000</v>
      </c>
      <c r="T196" s="16">
        <f>S196-U196</f>
        <v>4000</v>
      </c>
      <c r="U196" s="16">
        <v>196000</v>
      </c>
      <c r="V196" s="12" t="s">
        <v>262</v>
      </c>
      <c r="W196" s="16"/>
    </row>
    <row r="197" spans="1:23" hidden="1" x14ac:dyDescent="0.25">
      <c r="A197" s="32"/>
      <c r="B197" s="13" t="s">
        <v>233</v>
      </c>
      <c r="C197" s="14">
        <v>45484</v>
      </c>
      <c r="D197" s="20">
        <v>31</v>
      </c>
      <c r="E197" s="16">
        <v>1250000</v>
      </c>
      <c r="F197" s="16">
        <v>0</v>
      </c>
      <c r="G197" s="16">
        <f t="shared" ref="G197" si="118">E197-F197</f>
        <v>1250000</v>
      </c>
      <c r="H197" s="16">
        <f>ROUND(G197*18%,)</f>
        <v>225000</v>
      </c>
      <c r="I197" s="16">
        <f>ROUND(G197+H197,)</f>
        <v>1475000</v>
      </c>
      <c r="J197" s="16">
        <f>G197*2%</f>
        <v>25000</v>
      </c>
      <c r="K197" s="16">
        <f>ROUND(G197*5%,)</f>
        <v>62500</v>
      </c>
      <c r="L197" s="16"/>
      <c r="M197" s="16"/>
      <c r="N197" s="122">
        <f>H197</f>
        <v>225000</v>
      </c>
      <c r="O197" s="16"/>
      <c r="P197" s="61">
        <f>I197-SUM(J197:O197)</f>
        <v>1162500</v>
      </c>
      <c r="Q197" s="17"/>
      <c r="R197" s="16"/>
      <c r="S197" s="16">
        <v>500000</v>
      </c>
      <c r="T197" s="16">
        <v>10000</v>
      </c>
      <c r="U197" s="16">
        <v>490000</v>
      </c>
      <c r="V197" s="12" t="s">
        <v>358</v>
      </c>
      <c r="W197" s="16"/>
    </row>
    <row r="198" spans="1:23" hidden="1" x14ac:dyDescent="0.25">
      <c r="A198" s="32"/>
      <c r="B198" s="13" t="s">
        <v>255</v>
      </c>
      <c r="C198" s="14"/>
      <c r="D198" s="20">
        <v>31</v>
      </c>
      <c r="E198" s="16">
        <f>N196+N197</f>
        <v>225000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22">
        <f>E198</f>
        <v>225000</v>
      </c>
      <c r="Q198" s="17"/>
      <c r="R198" s="16"/>
      <c r="S198" s="16">
        <v>500000</v>
      </c>
      <c r="T198" s="16">
        <v>10000</v>
      </c>
      <c r="U198" s="16">
        <v>490000</v>
      </c>
      <c r="V198" s="12" t="s">
        <v>273</v>
      </c>
      <c r="W198" s="16"/>
    </row>
    <row r="199" spans="1:23" hidden="1" x14ac:dyDescent="0.25">
      <c r="A199" s="32"/>
      <c r="B199" s="13" t="s">
        <v>233</v>
      </c>
      <c r="C199" s="14">
        <v>45509</v>
      </c>
      <c r="D199" s="20">
        <v>39</v>
      </c>
      <c r="E199" s="16">
        <v>250000</v>
      </c>
      <c r="F199" s="16"/>
      <c r="G199" s="16">
        <f t="shared" ref="G199" si="119">E199-F199</f>
        <v>250000</v>
      </c>
      <c r="H199" s="16">
        <f>ROUND(G199*18%,)</f>
        <v>45000</v>
      </c>
      <c r="I199" s="16">
        <f>ROUND(G199+H199,)</f>
        <v>295000</v>
      </c>
      <c r="J199" s="16">
        <f>G199*2%</f>
        <v>5000</v>
      </c>
      <c r="K199" s="16">
        <f>ROUND(G199*5%,)</f>
        <v>12500</v>
      </c>
      <c r="L199" s="16"/>
      <c r="M199" s="16"/>
      <c r="N199" s="122">
        <f>H199</f>
        <v>45000</v>
      </c>
      <c r="O199" s="16"/>
      <c r="P199" s="61">
        <f>I199-SUM(J199:O199)</f>
        <v>232500</v>
      </c>
      <c r="Q199" s="17"/>
      <c r="R199" s="16"/>
      <c r="S199" s="16">
        <v>300000</v>
      </c>
      <c r="T199" s="16">
        <v>6000</v>
      </c>
      <c r="U199" s="16">
        <v>294000</v>
      </c>
      <c r="V199" s="12" t="s">
        <v>289</v>
      </c>
      <c r="W199" s="16"/>
    </row>
    <row r="200" spans="1:23" hidden="1" x14ac:dyDescent="0.25">
      <c r="A200" s="32"/>
      <c r="B200" s="13" t="s">
        <v>229</v>
      </c>
      <c r="C200" s="14"/>
      <c r="D200" s="20">
        <v>39</v>
      </c>
      <c r="E200" s="16">
        <f>N199</f>
        <v>45000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22">
        <f>E200</f>
        <v>45000</v>
      </c>
      <c r="Q200" s="17"/>
      <c r="R200" s="16"/>
      <c r="S200" s="16">
        <v>500000</v>
      </c>
      <c r="T200" s="16">
        <v>10000</v>
      </c>
      <c r="U200" s="16">
        <v>490000</v>
      </c>
      <c r="V200" s="12" t="s">
        <v>304</v>
      </c>
      <c r="W200" s="16"/>
    </row>
    <row r="201" spans="1:23" hidden="1" x14ac:dyDescent="0.25">
      <c r="A201" s="32"/>
      <c r="B201" s="13"/>
      <c r="C201" s="14"/>
      <c r="D201" s="20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27"/>
      <c r="Q201" s="17"/>
      <c r="R201" s="16"/>
      <c r="S201" s="16">
        <v>500000</v>
      </c>
      <c r="T201" s="16">
        <v>10000</v>
      </c>
      <c r="U201" s="16">
        <v>490000</v>
      </c>
      <c r="V201" s="12" t="s">
        <v>343</v>
      </c>
      <c r="W201" s="16"/>
    </row>
    <row r="202" spans="1:23" hidden="1" x14ac:dyDescent="0.25">
      <c r="A202" s="73">
        <v>63304</v>
      </c>
      <c r="B202" s="74"/>
      <c r="C202" s="74"/>
      <c r="D202" s="116"/>
      <c r="E202" s="74"/>
      <c r="F202" s="74"/>
      <c r="G202" s="74"/>
      <c r="H202" s="75"/>
      <c r="I202" s="74"/>
      <c r="J202" s="75"/>
      <c r="K202" s="75"/>
      <c r="L202" s="75"/>
      <c r="M202" s="75"/>
      <c r="N202" s="75"/>
      <c r="O202" s="75"/>
      <c r="P202" s="74"/>
      <c r="Q202" s="119">
        <f>A202</f>
        <v>63304</v>
      </c>
      <c r="R202" s="74"/>
      <c r="S202" s="74"/>
      <c r="T202" s="75"/>
      <c r="U202" s="74"/>
      <c r="V202" s="74"/>
      <c r="W202" s="74"/>
    </row>
    <row r="203" spans="1:23" ht="31.5" x14ac:dyDescent="0.25">
      <c r="A203" s="32">
        <v>2756250</v>
      </c>
      <c r="B203" s="13" t="s">
        <v>297</v>
      </c>
      <c r="C203" s="14">
        <v>45454</v>
      </c>
      <c r="D203" s="20">
        <v>25</v>
      </c>
      <c r="E203" s="16">
        <v>413437</v>
      </c>
      <c r="F203" s="16">
        <v>0</v>
      </c>
      <c r="G203" s="16">
        <f t="shared" ref="G203:G205" si="120">E203-F203</f>
        <v>413437</v>
      </c>
      <c r="H203" s="16">
        <f>ROUND(G203*18%,)</f>
        <v>74419</v>
      </c>
      <c r="I203" s="16">
        <f>ROUND(G203+H203,)</f>
        <v>487856</v>
      </c>
      <c r="J203" s="16">
        <f>G203*2%</f>
        <v>8268.74</v>
      </c>
      <c r="K203" s="16">
        <f>ROUND(G203*5%,)</f>
        <v>20672</v>
      </c>
      <c r="L203" s="16"/>
      <c r="M203" s="16"/>
      <c r="N203" s="122">
        <f>H203</f>
        <v>74419</v>
      </c>
      <c r="O203" s="16"/>
      <c r="P203" s="61">
        <f>I203-SUM(J203:O203)</f>
        <v>384496.26</v>
      </c>
      <c r="Q203" s="17"/>
      <c r="R203" s="16"/>
      <c r="S203" s="16">
        <v>300000</v>
      </c>
      <c r="T203" s="16">
        <f>S203-U203</f>
        <v>6000</v>
      </c>
      <c r="U203" s="16">
        <v>294000</v>
      </c>
      <c r="V203" s="12" t="s">
        <v>298</v>
      </c>
      <c r="W203" s="16">
        <f>SUM(P203:P210)-SUM(U203:U210)</f>
        <v>-625308.74</v>
      </c>
    </row>
    <row r="204" spans="1:23" ht="31.5" hidden="1" x14ac:dyDescent="0.25">
      <c r="A204" s="32"/>
      <c r="B204" s="13" t="s">
        <v>297</v>
      </c>
      <c r="C204" s="14">
        <v>45484</v>
      </c>
      <c r="D204" s="20">
        <v>32</v>
      </c>
      <c r="E204" s="16">
        <v>275625</v>
      </c>
      <c r="F204" s="16">
        <v>0</v>
      </c>
      <c r="G204" s="16">
        <f t="shared" si="120"/>
        <v>275625</v>
      </c>
      <c r="H204" s="16">
        <f>ROUND(G204*18%,)</f>
        <v>49613</v>
      </c>
      <c r="I204" s="16">
        <f>ROUND(G204+H204,)</f>
        <v>325238</v>
      </c>
      <c r="J204" s="16">
        <f>G204*2%</f>
        <v>5512.5</v>
      </c>
      <c r="K204" s="16">
        <f>ROUND(G204*5%,)</f>
        <v>13781</v>
      </c>
      <c r="L204" s="16"/>
      <c r="M204" s="16"/>
      <c r="N204" s="122">
        <f>H204</f>
        <v>49613</v>
      </c>
      <c r="O204" s="16"/>
      <c r="P204" s="61">
        <f>I204-SUM(J204:O204)</f>
        <v>256331.5</v>
      </c>
      <c r="Q204" s="17"/>
      <c r="R204" s="16"/>
      <c r="S204" s="16">
        <v>300000</v>
      </c>
      <c r="T204" s="16">
        <f>S204-U204</f>
        <v>6000</v>
      </c>
      <c r="U204" s="16">
        <v>294000</v>
      </c>
      <c r="V204" s="12" t="s">
        <v>299</v>
      </c>
      <c r="W204" s="16"/>
    </row>
    <row r="205" spans="1:23" ht="31.5" hidden="1" x14ac:dyDescent="0.25">
      <c r="A205" s="32"/>
      <c r="B205" s="13" t="s">
        <v>297</v>
      </c>
      <c r="C205" s="14">
        <v>45509</v>
      </c>
      <c r="D205" s="20">
        <v>40</v>
      </c>
      <c r="E205" s="16">
        <v>551250</v>
      </c>
      <c r="F205" s="16"/>
      <c r="G205" s="16">
        <f t="shared" si="120"/>
        <v>551250</v>
      </c>
      <c r="H205" s="16">
        <f>ROUND(G205*18%,)</f>
        <v>99225</v>
      </c>
      <c r="I205" s="16">
        <f>ROUND(G205+H205,)</f>
        <v>650475</v>
      </c>
      <c r="J205" s="16">
        <f>G205*2%</f>
        <v>11025</v>
      </c>
      <c r="K205" s="16">
        <f>ROUND(G205*5%,)</f>
        <v>27563</v>
      </c>
      <c r="L205" s="16"/>
      <c r="M205" s="16"/>
      <c r="N205" s="122">
        <f>H205</f>
        <v>99225</v>
      </c>
      <c r="O205" s="16"/>
      <c r="P205" s="61">
        <f>I205-SUM(J205:O205)</f>
        <v>512662</v>
      </c>
      <c r="Q205" s="17"/>
      <c r="R205" s="16"/>
      <c r="S205" s="16">
        <v>500000</v>
      </c>
      <c r="T205" s="16">
        <v>5000</v>
      </c>
      <c r="U205" s="16">
        <v>495000</v>
      </c>
      <c r="V205" s="12" t="s">
        <v>303</v>
      </c>
      <c r="W205" s="16"/>
    </row>
    <row r="206" spans="1:23" hidden="1" x14ac:dyDescent="0.25">
      <c r="A206" s="32"/>
      <c r="B206" s="13" t="s">
        <v>229</v>
      </c>
      <c r="C206" s="14"/>
      <c r="D206" s="20">
        <v>25</v>
      </c>
      <c r="E206" s="16">
        <f>N203</f>
        <v>74419</v>
      </c>
      <c r="F206" s="16">
        <v>0</v>
      </c>
      <c r="G206" s="16"/>
      <c r="H206" s="16"/>
      <c r="I206" s="16"/>
      <c r="J206" s="16"/>
      <c r="K206" s="16"/>
      <c r="L206" s="16"/>
      <c r="M206" s="16"/>
      <c r="N206" s="127"/>
      <c r="O206" s="16"/>
      <c r="P206" s="61">
        <f>E206</f>
        <v>74419</v>
      </c>
      <c r="Q206" s="17"/>
      <c r="R206" s="16"/>
      <c r="S206" s="16">
        <v>250000</v>
      </c>
      <c r="T206" s="16">
        <f>S206-U206</f>
        <v>5000</v>
      </c>
      <c r="U206" s="16">
        <v>245000</v>
      </c>
      <c r="V206" s="12" t="s">
        <v>306</v>
      </c>
      <c r="W206" s="16"/>
    </row>
    <row r="207" spans="1:23" hidden="1" x14ac:dyDescent="0.25">
      <c r="A207" s="32"/>
      <c r="B207" s="13" t="s">
        <v>229</v>
      </c>
      <c r="C207" s="14"/>
      <c r="D207" s="20">
        <v>32</v>
      </c>
      <c r="E207" s="16">
        <f>N204</f>
        <v>49613</v>
      </c>
      <c r="F207" s="16">
        <v>0</v>
      </c>
      <c r="G207" s="16"/>
      <c r="H207" s="16"/>
      <c r="I207" s="16"/>
      <c r="J207" s="16"/>
      <c r="K207" s="16"/>
      <c r="L207" s="16"/>
      <c r="M207" s="16"/>
      <c r="N207" s="127"/>
      <c r="O207" s="16"/>
      <c r="P207" s="61">
        <f>E207</f>
        <v>49613</v>
      </c>
      <c r="Q207" s="17"/>
      <c r="R207" s="16"/>
      <c r="S207" s="16">
        <v>500000</v>
      </c>
      <c r="T207" s="16">
        <f>S207-U207</f>
        <v>10000</v>
      </c>
      <c r="U207" s="16">
        <v>490000</v>
      </c>
      <c r="V207" s="12" t="s">
        <v>345</v>
      </c>
      <c r="W207" s="16"/>
    </row>
    <row r="208" spans="1:23" hidden="1" x14ac:dyDescent="0.25">
      <c r="A208" s="32"/>
      <c r="B208" s="13" t="s">
        <v>229</v>
      </c>
      <c r="C208" s="14"/>
      <c r="D208" s="20">
        <v>40</v>
      </c>
      <c r="E208" s="16">
        <f>N205</f>
        <v>99225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22">
        <f>E208</f>
        <v>99225</v>
      </c>
      <c r="Q208" s="17"/>
      <c r="R208" s="16"/>
      <c r="S208" s="16">
        <v>500000</v>
      </c>
      <c r="T208" s="16">
        <f>S208-U208</f>
        <v>10000</v>
      </c>
      <c r="U208" s="16">
        <v>490000</v>
      </c>
      <c r="V208" s="12" t="s">
        <v>353</v>
      </c>
      <c r="W208" s="16"/>
    </row>
    <row r="209" spans="1:23" ht="31.5" hidden="1" x14ac:dyDescent="0.25">
      <c r="A209" s="32"/>
      <c r="B209" s="13" t="s">
        <v>297</v>
      </c>
      <c r="C209" s="14">
        <v>45581</v>
      </c>
      <c r="D209" s="20">
        <v>62</v>
      </c>
      <c r="E209" s="16">
        <v>275625</v>
      </c>
      <c r="F209" s="16"/>
      <c r="G209" s="16">
        <f t="shared" ref="G209" si="121">E209-F209</f>
        <v>275625</v>
      </c>
      <c r="H209" s="16">
        <f>ROUND(G209*18%,)</f>
        <v>49613</v>
      </c>
      <c r="I209" s="16">
        <f>ROUND(G209+H209,)</f>
        <v>325238</v>
      </c>
      <c r="J209" s="16">
        <f>G209*2%</f>
        <v>5512.5</v>
      </c>
      <c r="K209" s="16">
        <f>ROUND(G209*5%,)</f>
        <v>13781</v>
      </c>
      <c r="L209" s="16"/>
      <c r="M209" s="16"/>
      <c r="N209" s="122">
        <f>H209</f>
        <v>49613</v>
      </c>
      <c r="O209" s="16"/>
      <c r="P209" s="61">
        <f>I209-SUM(J209:O209)</f>
        <v>256331.5</v>
      </c>
      <c r="Q209" s="17"/>
      <c r="R209" s="16"/>
      <c r="S209" s="16"/>
      <c r="T209" s="16"/>
      <c r="U209" s="16"/>
      <c r="V209" s="12"/>
      <c r="W209" s="16"/>
    </row>
    <row r="210" spans="1:23" hidden="1" x14ac:dyDescent="0.25">
      <c r="A210" s="32"/>
      <c r="B210" s="13" t="s">
        <v>229</v>
      </c>
      <c r="C210" s="14"/>
      <c r="D210" s="20">
        <v>62</v>
      </c>
      <c r="E210" s="16">
        <f>N209</f>
        <v>49613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22">
        <f>E210</f>
        <v>49613</v>
      </c>
      <c r="Q210" s="17"/>
      <c r="R210" s="16"/>
      <c r="S210" s="16"/>
      <c r="T210" s="16"/>
      <c r="U210" s="16"/>
      <c r="V210" s="12"/>
      <c r="W210" s="16"/>
    </row>
    <row r="211" spans="1:23" hidden="1" x14ac:dyDescent="0.25">
      <c r="A211" s="73">
        <v>64571</v>
      </c>
      <c r="B211" s="74"/>
      <c r="C211" s="74"/>
      <c r="D211" s="116"/>
      <c r="E211" s="74"/>
      <c r="F211" s="74"/>
      <c r="G211" s="74"/>
      <c r="H211" s="75"/>
      <c r="I211" s="74"/>
      <c r="J211" s="75"/>
      <c r="K211" s="75"/>
      <c r="L211" s="75"/>
      <c r="M211" s="75"/>
      <c r="N211" s="75"/>
      <c r="O211" s="75"/>
      <c r="P211" s="74"/>
      <c r="Q211" s="119">
        <v>64571</v>
      </c>
      <c r="R211" s="74"/>
      <c r="S211" s="74"/>
      <c r="T211" s="75"/>
      <c r="U211" s="74"/>
      <c r="V211" s="74"/>
      <c r="W211" s="74"/>
    </row>
    <row r="212" spans="1:23" x14ac:dyDescent="0.25">
      <c r="A212" s="32">
        <v>5015000</v>
      </c>
      <c r="B212" s="13" t="s">
        <v>341</v>
      </c>
      <c r="C212" s="14">
        <v>45551</v>
      </c>
      <c r="D212" s="20">
        <v>46</v>
      </c>
      <c r="E212" s="16">
        <v>752250</v>
      </c>
      <c r="F212" s="16"/>
      <c r="G212" s="16">
        <f t="shared" ref="G212" si="122">E212-F212</f>
        <v>752250</v>
      </c>
      <c r="H212" s="16">
        <f>ROUND(G212*18%,)</f>
        <v>135405</v>
      </c>
      <c r="I212" s="16">
        <f>ROUND(G212+H212,)</f>
        <v>887655</v>
      </c>
      <c r="J212" s="16">
        <f>G212*2%</f>
        <v>15045</v>
      </c>
      <c r="K212" s="16">
        <f>ROUND(G212*5%,)</f>
        <v>37613</v>
      </c>
      <c r="L212" s="16"/>
      <c r="M212" s="16"/>
      <c r="N212" s="122">
        <f>H212</f>
        <v>135405</v>
      </c>
      <c r="O212" s="16"/>
      <c r="P212" s="61">
        <f>I212-SUM(J212:O212)</f>
        <v>699592</v>
      </c>
      <c r="Q212" s="17"/>
      <c r="R212" s="16"/>
      <c r="S212" s="130">
        <v>500000</v>
      </c>
      <c r="T212" s="16">
        <f>S212-U212</f>
        <v>10000</v>
      </c>
      <c r="U212" s="16">
        <v>490000</v>
      </c>
      <c r="V212" s="12" t="s">
        <v>344</v>
      </c>
      <c r="W212" s="16">
        <f>SUM(P212:P216)-SUM(U212:U216)</f>
        <v>-11673</v>
      </c>
    </row>
    <row r="213" spans="1:23" hidden="1" x14ac:dyDescent="0.25">
      <c r="A213" s="32"/>
      <c r="B213" s="13" t="s">
        <v>229</v>
      </c>
      <c r="C213" s="14"/>
      <c r="D213" s="20">
        <v>46</v>
      </c>
      <c r="E213" s="16">
        <f>N212</f>
        <v>135405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22">
        <f>E213</f>
        <v>135405</v>
      </c>
      <c r="Q213" s="17"/>
      <c r="R213" s="16"/>
      <c r="S213" s="130">
        <v>500000</v>
      </c>
      <c r="T213" s="16">
        <f>S213-U213</f>
        <v>10000</v>
      </c>
      <c r="U213" s="16">
        <v>490000</v>
      </c>
      <c r="V213" s="12" t="s">
        <v>352</v>
      </c>
      <c r="W213" s="16"/>
    </row>
    <row r="214" spans="1:23" hidden="1" x14ac:dyDescent="0.25">
      <c r="A214" s="32"/>
      <c r="B214" s="13" t="s">
        <v>341</v>
      </c>
      <c r="C214" s="14">
        <v>45583</v>
      </c>
      <c r="D214" s="20">
        <v>66</v>
      </c>
      <c r="E214" s="16">
        <v>1003000</v>
      </c>
      <c r="F214" s="16"/>
      <c r="G214" s="16">
        <f t="shared" ref="G214" si="123">E214-F214</f>
        <v>1003000</v>
      </c>
      <c r="H214" s="16">
        <f>ROUND(G214*18%,)</f>
        <v>180540</v>
      </c>
      <c r="I214" s="16">
        <f>ROUND(G214+H214,)</f>
        <v>1183540</v>
      </c>
      <c r="J214" s="16">
        <f>G214*2%</f>
        <v>20060</v>
      </c>
      <c r="K214" s="16">
        <f>ROUND(G214*5%,)</f>
        <v>50150</v>
      </c>
      <c r="L214" s="16"/>
      <c r="M214" s="16"/>
      <c r="N214" s="122">
        <f>H214</f>
        <v>180540</v>
      </c>
      <c r="O214" s="16"/>
      <c r="P214" s="61">
        <f>I214-SUM(J214:O214)</f>
        <v>932790</v>
      </c>
      <c r="Q214" s="17"/>
      <c r="R214" s="16"/>
      <c r="S214" s="130">
        <v>500000</v>
      </c>
      <c r="T214" s="16">
        <f>S214-U214</f>
        <v>10000</v>
      </c>
      <c r="U214" s="16">
        <v>490000</v>
      </c>
      <c r="V214" s="12" t="s">
        <v>360</v>
      </c>
      <c r="W214" s="16"/>
    </row>
    <row r="215" spans="1:23" hidden="1" x14ac:dyDescent="0.25">
      <c r="A215" s="32"/>
      <c r="B215" s="13" t="s">
        <v>229</v>
      </c>
      <c r="C215" s="14"/>
      <c r="D215" s="20">
        <v>66</v>
      </c>
      <c r="E215" s="16">
        <f>N214</f>
        <v>180540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22">
        <f>E215</f>
        <v>180540</v>
      </c>
      <c r="Q215" s="17"/>
      <c r="R215" s="16"/>
      <c r="S215" s="130">
        <v>500000</v>
      </c>
      <c r="T215" s="16">
        <f>S215-U215</f>
        <v>10000</v>
      </c>
      <c r="U215" s="16">
        <v>490000</v>
      </c>
      <c r="V215" s="12" t="s">
        <v>370</v>
      </c>
      <c r="W215" s="16"/>
    </row>
    <row r="216" spans="1:23" hidden="1" x14ac:dyDescent="0.25">
      <c r="A216" s="32"/>
      <c r="B216" s="13" t="s">
        <v>341</v>
      </c>
      <c r="C216" s="14">
        <v>45602</v>
      </c>
      <c r="D216" s="20">
        <v>89</v>
      </c>
      <c r="E216" s="16">
        <v>105314</v>
      </c>
      <c r="F216" s="16"/>
      <c r="G216" s="16">
        <f t="shared" ref="G216" si="124">E216-F216</f>
        <v>105314</v>
      </c>
      <c r="H216" s="16">
        <f>ROUND(G216*18%,)</f>
        <v>18957</v>
      </c>
      <c r="I216" s="16">
        <f>ROUND(G216+H216,)</f>
        <v>124271</v>
      </c>
      <c r="J216" s="16">
        <f>G216*2%</f>
        <v>2106.2800000000002</v>
      </c>
      <c r="K216" s="16">
        <f>ROUND(G216*5%,)</f>
        <v>5266</v>
      </c>
      <c r="L216" s="16"/>
      <c r="M216" s="16"/>
      <c r="N216" s="122">
        <f>H216</f>
        <v>18957</v>
      </c>
      <c r="O216" s="16"/>
      <c r="P216" s="61"/>
      <c r="Q216" s="131" t="s">
        <v>386</v>
      </c>
      <c r="R216" s="16"/>
      <c r="S216" s="16"/>
      <c r="T216" s="16"/>
      <c r="U216" s="16"/>
      <c r="V216" s="12"/>
      <c r="W216" s="16"/>
    </row>
    <row r="217" spans="1:23" hidden="1" x14ac:dyDescent="0.25">
      <c r="A217" s="73">
        <v>64572</v>
      </c>
      <c r="B217" s="74"/>
      <c r="C217" s="74"/>
      <c r="D217" s="116"/>
      <c r="E217" s="74"/>
      <c r="F217" s="74"/>
      <c r="G217" s="74"/>
      <c r="H217" s="75"/>
      <c r="I217" s="74"/>
      <c r="J217" s="75"/>
      <c r="K217" s="75"/>
      <c r="L217" s="75"/>
      <c r="M217" s="75"/>
      <c r="N217" s="75"/>
      <c r="O217" s="75"/>
      <c r="P217" s="74"/>
      <c r="Q217" s="119">
        <f>A217</f>
        <v>64572</v>
      </c>
      <c r="R217" s="74"/>
      <c r="S217" s="74"/>
      <c r="T217" s="75"/>
      <c r="U217" s="74"/>
      <c r="V217" s="74"/>
      <c r="W217" s="74"/>
    </row>
    <row r="218" spans="1:23" x14ac:dyDescent="0.25">
      <c r="A218" s="32">
        <v>2598750</v>
      </c>
      <c r="B218" s="13" t="s">
        <v>295</v>
      </c>
      <c r="C218" s="14">
        <v>45370</v>
      </c>
      <c r="D218" s="20">
        <v>34</v>
      </c>
      <c r="E218" s="16">
        <v>649687</v>
      </c>
      <c r="F218" s="16">
        <v>0</v>
      </c>
      <c r="G218" s="16">
        <f t="shared" ref="G218" si="125">E218-F218</f>
        <v>649687</v>
      </c>
      <c r="H218" s="16">
        <f>ROUND(G218*18%,)</f>
        <v>116944</v>
      </c>
      <c r="I218" s="16">
        <f>ROUND(G218+H218,)</f>
        <v>766631</v>
      </c>
      <c r="J218" s="16">
        <f>G218*2%</f>
        <v>12993.74</v>
      </c>
      <c r="K218" s="16">
        <f>ROUND(G218*5%,)</f>
        <v>32484</v>
      </c>
      <c r="L218" s="16"/>
      <c r="M218" s="16"/>
      <c r="N218" s="122">
        <f>H218</f>
        <v>116944</v>
      </c>
      <c r="O218" s="16"/>
      <c r="P218" s="61">
        <f>I218-SUM(J218:O218)</f>
        <v>604209.26</v>
      </c>
      <c r="Q218" s="17"/>
      <c r="R218" s="16"/>
      <c r="S218" s="16">
        <v>500000</v>
      </c>
      <c r="T218" s="16">
        <f>S218-U218</f>
        <v>5000</v>
      </c>
      <c r="U218" s="16">
        <v>495000</v>
      </c>
      <c r="V218" s="12" t="s">
        <v>302</v>
      </c>
      <c r="W218" s="16">
        <f>SUM(P218:P222)-SUM(U218:U222)</f>
        <v>-1096846.74</v>
      </c>
    </row>
    <row r="219" spans="1:23" hidden="1" x14ac:dyDescent="0.25">
      <c r="A219" s="32">
        <f>A218*85%</f>
        <v>2208937.5</v>
      </c>
      <c r="B219" s="13" t="s">
        <v>229</v>
      </c>
      <c r="C219" s="14"/>
      <c r="D219" s="20">
        <v>34</v>
      </c>
      <c r="E219" s="16">
        <f>N218</f>
        <v>116944</v>
      </c>
      <c r="F219" s="16">
        <v>0</v>
      </c>
      <c r="G219" s="16"/>
      <c r="H219" s="16"/>
      <c r="I219" s="16"/>
      <c r="J219" s="16"/>
      <c r="K219" s="16"/>
      <c r="L219" s="16"/>
      <c r="M219" s="16"/>
      <c r="N219" s="127"/>
      <c r="O219" s="16"/>
      <c r="P219" s="122">
        <f>E219</f>
        <v>116944</v>
      </c>
      <c r="Q219" s="17"/>
      <c r="R219" s="16"/>
      <c r="S219" s="16">
        <v>250000</v>
      </c>
      <c r="T219" s="16">
        <f>S219-U219</f>
        <v>5000</v>
      </c>
      <c r="U219" s="16">
        <v>245000</v>
      </c>
      <c r="V219" s="12" t="s">
        <v>305</v>
      </c>
      <c r="W219" s="16"/>
    </row>
    <row r="220" spans="1:23" hidden="1" x14ac:dyDescent="0.25">
      <c r="A220" s="32"/>
      <c r="B220" s="13"/>
      <c r="C220" s="14"/>
      <c r="D220" s="20"/>
      <c r="E220" s="16"/>
      <c r="F220" s="16"/>
      <c r="G220" s="16"/>
      <c r="H220" s="16"/>
      <c r="I220" s="16"/>
      <c r="J220" s="16"/>
      <c r="K220" s="16"/>
      <c r="L220" s="16"/>
      <c r="M220" s="16"/>
      <c r="N220" s="128"/>
      <c r="O220" s="16"/>
      <c r="P220" s="127"/>
      <c r="Q220" s="17"/>
      <c r="R220" s="16"/>
      <c r="S220" s="16">
        <v>300000</v>
      </c>
      <c r="T220" s="16">
        <v>6000</v>
      </c>
      <c r="U220" s="16">
        <v>294000</v>
      </c>
      <c r="V220" s="12" t="s">
        <v>308</v>
      </c>
      <c r="W220" s="16"/>
    </row>
    <row r="221" spans="1:23" hidden="1" x14ac:dyDescent="0.25">
      <c r="A221" s="32"/>
      <c r="B221" s="13"/>
      <c r="C221" s="14"/>
      <c r="D221" s="20"/>
      <c r="E221" s="16"/>
      <c r="F221" s="16"/>
      <c r="G221" s="16"/>
      <c r="H221" s="16"/>
      <c r="I221" s="16"/>
      <c r="J221" s="16"/>
      <c r="K221" s="16"/>
      <c r="L221" s="16"/>
      <c r="M221" s="16"/>
      <c r="N221" s="127"/>
      <c r="O221" s="16"/>
      <c r="P221" s="127"/>
      <c r="Q221" s="17"/>
      <c r="R221" s="16"/>
      <c r="S221" s="16">
        <v>400000</v>
      </c>
      <c r="T221" s="16">
        <v>8000</v>
      </c>
      <c r="U221" s="16">
        <v>392000</v>
      </c>
      <c r="V221" s="12" t="s">
        <v>333</v>
      </c>
      <c r="W221" s="16"/>
    </row>
    <row r="222" spans="1:23" hidden="1" x14ac:dyDescent="0.25">
      <c r="A222" s="32"/>
      <c r="B222" s="13"/>
      <c r="C222" s="14"/>
      <c r="D222" s="20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7"/>
      <c r="R222" s="16"/>
      <c r="S222" s="16">
        <v>400000</v>
      </c>
      <c r="T222" s="16">
        <v>8000</v>
      </c>
      <c r="U222" s="16">
        <v>392000</v>
      </c>
      <c r="V222" s="12" t="s">
        <v>334</v>
      </c>
      <c r="W222" s="16"/>
    </row>
    <row r="223" spans="1:23" hidden="1" x14ac:dyDescent="0.25">
      <c r="A223" s="73">
        <v>65806</v>
      </c>
      <c r="B223" s="74"/>
      <c r="C223" s="74"/>
      <c r="D223" s="116"/>
      <c r="E223" s="74"/>
      <c r="F223" s="74"/>
      <c r="G223" s="74"/>
      <c r="H223" s="75"/>
      <c r="I223" s="74"/>
      <c r="J223" s="75"/>
      <c r="K223" s="75"/>
      <c r="L223" s="75"/>
      <c r="M223" s="75"/>
      <c r="N223" s="75"/>
      <c r="O223" s="75"/>
      <c r="P223" s="74"/>
      <c r="Q223" s="119">
        <f>A223</f>
        <v>65806</v>
      </c>
      <c r="R223" s="74"/>
      <c r="S223" s="74"/>
      <c r="T223" s="75"/>
      <c r="U223" s="74"/>
      <c r="V223" s="74"/>
      <c r="W223" s="74"/>
    </row>
    <row r="224" spans="1:23" hidden="1" x14ac:dyDescent="0.25">
      <c r="A224" s="32"/>
      <c r="B224" s="13" t="s">
        <v>307</v>
      </c>
      <c r="C224" s="14">
        <v>45587</v>
      </c>
      <c r="D224" s="20">
        <v>75</v>
      </c>
      <c r="E224" s="16">
        <v>561502</v>
      </c>
      <c r="F224" s="16">
        <v>0</v>
      </c>
      <c r="G224" s="16">
        <f t="shared" ref="G224:G225" si="126">E224-F224</f>
        <v>561502</v>
      </c>
      <c r="H224" s="16">
        <f>ROUND(G224*18%,)</f>
        <v>101070</v>
      </c>
      <c r="I224" s="16">
        <f>ROUND(G224+H224,)</f>
        <v>662572</v>
      </c>
      <c r="J224" s="16">
        <f>G224*2%</f>
        <v>11230.04</v>
      </c>
      <c r="K224" s="16">
        <f>ROUND(G224*5%,)</f>
        <v>28075</v>
      </c>
      <c r="L224" s="16">
        <f>G224*10%</f>
        <v>56150.200000000004</v>
      </c>
      <c r="M224" s="16">
        <f>G224*10%</f>
        <v>56150.200000000004</v>
      </c>
      <c r="N224" s="122">
        <f>H224</f>
        <v>101070</v>
      </c>
      <c r="O224" s="16"/>
      <c r="P224" s="61">
        <f>I224-SUM(J224:O224)</f>
        <v>409896.56</v>
      </c>
      <c r="Q224" s="17"/>
      <c r="R224" s="16"/>
      <c r="S224" s="16">
        <v>250000</v>
      </c>
      <c r="T224" s="16">
        <f>S224-U224</f>
        <v>5000</v>
      </c>
      <c r="U224" s="16">
        <v>245000</v>
      </c>
      <c r="V224" s="12" t="s">
        <v>313</v>
      </c>
      <c r="W224" s="16">
        <f>SUM(P224:P227)-SUM(U224:U227)</f>
        <v>141309.83999999997</v>
      </c>
    </row>
    <row r="225" spans="1:23" hidden="1" x14ac:dyDescent="0.25">
      <c r="A225" s="32"/>
      <c r="B225" s="13" t="s">
        <v>307</v>
      </c>
      <c r="C225" s="14">
        <v>45587</v>
      </c>
      <c r="D225" s="20">
        <v>78</v>
      </c>
      <c r="E225" s="16">
        <v>401476</v>
      </c>
      <c r="F225" s="16">
        <v>0</v>
      </c>
      <c r="G225" s="16">
        <f t="shared" si="126"/>
        <v>401476</v>
      </c>
      <c r="H225" s="16">
        <f>ROUND(G225*18%,)</f>
        <v>72266</v>
      </c>
      <c r="I225" s="16">
        <f>ROUND(G225+H225,)</f>
        <v>473742</v>
      </c>
      <c r="J225" s="16">
        <f>G225*2%</f>
        <v>8029.52</v>
      </c>
      <c r="K225" s="16">
        <f>ROUND(G225*5%,)</f>
        <v>20074</v>
      </c>
      <c r="L225" s="16">
        <f>G225*10%</f>
        <v>40147.600000000006</v>
      </c>
      <c r="M225" s="16">
        <f>G225*10%</f>
        <v>40147.600000000006</v>
      </c>
      <c r="N225" s="122">
        <f>H225</f>
        <v>72266</v>
      </c>
      <c r="O225" s="16"/>
      <c r="P225" s="61">
        <f>I225-SUM(J225:O225)</f>
        <v>293077.27999999997</v>
      </c>
      <c r="Q225" s="17"/>
      <c r="R225" s="16"/>
      <c r="S225" s="16">
        <v>200000</v>
      </c>
      <c r="T225" s="16">
        <f>S225-U225</f>
        <v>4000</v>
      </c>
      <c r="U225" s="16">
        <v>196000</v>
      </c>
      <c r="V225" s="12" t="s">
        <v>324</v>
      </c>
      <c r="W225" s="16"/>
    </row>
    <row r="226" spans="1:23" hidden="1" x14ac:dyDescent="0.25">
      <c r="A226" s="32"/>
      <c r="B226" s="13" t="s">
        <v>229</v>
      </c>
      <c r="C226" s="14"/>
      <c r="D226" s="20" t="s">
        <v>363</v>
      </c>
      <c r="E226" s="16">
        <f>N224+N225</f>
        <v>173336</v>
      </c>
      <c r="F226" s="16">
        <v>0</v>
      </c>
      <c r="G226" s="16"/>
      <c r="H226" s="16"/>
      <c r="I226" s="16"/>
      <c r="J226" s="16"/>
      <c r="K226" s="16"/>
      <c r="L226" s="16"/>
      <c r="M226" s="16"/>
      <c r="N226" s="127"/>
      <c r="O226" s="16"/>
      <c r="P226" s="122">
        <f>E226</f>
        <v>173336</v>
      </c>
      <c r="Q226" s="17"/>
      <c r="R226" s="16"/>
      <c r="S226" s="16">
        <v>300000</v>
      </c>
      <c r="T226" s="16">
        <f>S226-U226</f>
        <v>6000</v>
      </c>
      <c r="U226" s="16">
        <v>294000</v>
      </c>
      <c r="V226" s="12" t="s">
        <v>364</v>
      </c>
      <c r="W226" s="16"/>
    </row>
    <row r="227" spans="1:23" hidden="1" x14ac:dyDescent="0.25">
      <c r="A227" s="32"/>
      <c r="B227" s="13"/>
      <c r="C227" s="14"/>
      <c r="D227" s="20"/>
      <c r="E227" s="16"/>
      <c r="F227" s="16"/>
      <c r="G227" s="16"/>
      <c r="H227" s="16"/>
      <c r="I227" s="16"/>
      <c r="J227" s="16"/>
      <c r="K227" s="16"/>
      <c r="L227" s="16"/>
      <c r="M227" s="16"/>
      <c r="N227" s="122"/>
      <c r="O227" s="16"/>
      <c r="P227" s="61"/>
      <c r="Q227" s="17"/>
      <c r="R227" s="16"/>
      <c r="S227" s="16"/>
      <c r="T227" s="16"/>
      <c r="U227" s="16"/>
      <c r="V227" s="12"/>
      <c r="W227" s="16"/>
    </row>
    <row r="228" spans="1:23" hidden="1" x14ac:dyDescent="0.25">
      <c r="A228" s="73">
        <v>65869</v>
      </c>
      <c r="B228" s="74"/>
      <c r="C228" s="74"/>
      <c r="D228" s="116"/>
      <c r="E228" s="74"/>
      <c r="F228" s="74"/>
      <c r="G228" s="74"/>
      <c r="H228" s="75"/>
      <c r="I228" s="74"/>
      <c r="J228" s="75"/>
      <c r="K228" s="75"/>
      <c r="L228" s="75"/>
      <c r="M228" s="75"/>
      <c r="N228" s="75"/>
      <c r="O228" s="75"/>
      <c r="P228" s="74"/>
      <c r="Q228" s="119">
        <v>65869</v>
      </c>
      <c r="R228" s="74"/>
      <c r="S228" s="74"/>
      <c r="T228" s="75"/>
      <c r="U228" s="74"/>
      <c r="V228" s="74"/>
      <c r="W228" s="74"/>
    </row>
    <row r="229" spans="1:23" x14ac:dyDescent="0.25">
      <c r="A229" s="32"/>
      <c r="B229" s="13" t="s">
        <v>317</v>
      </c>
      <c r="C229" s="14">
        <v>45602</v>
      </c>
      <c r="D229" s="20">
        <v>83</v>
      </c>
      <c r="E229" s="16">
        <v>115289</v>
      </c>
      <c r="F229" s="16">
        <v>0</v>
      </c>
      <c r="G229" s="16">
        <f t="shared" ref="G229" si="127">E229-F229</f>
        <v>115289</v>
      </c>
      <c r="H229" s="16">
        <f>ROUND(G229*18%,)</f>
        <v>20752</v>
      </c>
      <c r="I229" s="16">
        <f>ROUND(G229+H229,)</f>
        <v>136041</v>
      </c>
      <c r="J229" s="16">
        <f>G229*2%</f>
        <v>2305.7800000000002</v>
      </c>
      <c r="K229" s="16">
        <f>ROUND(G229*5%,)</f>
        <v>5764</v>
      </c>
      <c r="L229" s="16">
        <f>G229*10%</f>
        <v>11528.900000000001</v>
      </c>
      <c r="M229" s="16">
        <f>G229*10%</f>
        <v>11528.900000000001</v>
      </c>
      <c r="N229" s="122">
        <f>H229</f>
        <v>20752</v>
      </c>
      <c r="O229" s="16"/>
      <c r="P229" s="61">
        <f>I229-SUM(J229:O229)</f>
        <v>84161.42</v>
      </c>
      <c r="Q229" s="131"/>
      <c r="R229" s="16"/>
      <c r="S229" s="16">
        <v>125000</v>
      </c>
      <c r="T229" s="16">
        <f>S229-U229</f>
        <v>2500</v>
      </c>
      <c r="U229" s="16">
        <v>122500</v>
      </c>
      <c r="V229" s="12" t="s">
        <v>321</v>
      </c>
      <c r="W229" s="16">
        <f>SUM(P229:P230)-SUM(U229:U230)</f>
        <v>-234338.58000000002</v>
      </c>
    </row>
    <row r="230" spans="1:23" hidden="1" x14ac:dyDescent="0.25">
      <c r="A230" s="32"/>
      <c r="B230" s="13"/>
      <c r="C230" s="14"/>
      <c r="D230" s="20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7"/>
      <c r="R230" s="16"/>
      <c r="S230" s="16">
        <v>200000</v>
      </c>
      <c r="T230" s="16">
        <v>4000</v>
      </c>
      <c r="U230" s="16">
        <v>196000</v>
      </c>
      <c r="V230" s="12" t="s">
        <v>325</v>
      </c>
      <c r="W230" s="16"/>
    </row>
    <row r="231" spans="1:23" hidden="1" x14ac:dyDescent="0.25">
      <c r="A231" s="73">
        <v>65870</v>
      </c>
      <c r="B231" s="74"/>
      <c r="C231" s="74"/>
      <c r="D231" s="116"/>
      <c r="E231" s="74"/>
      <c r="F231" s="74"/>
      <c r="G231" s="74"/>
      <c r="H231" s="75"/>
      <c r="I231" s="74"/>
      <c r="J231" s="75"/>
      <c r="K231" s="75"/>
      <c r="L231" s="75"/>
      <c r="M231" s="75"/>
      <c r="N231" s="75"/>
      <c r="O231" s="75"/>
      <c r="P231" s="74"/>
      <c r="Q231" s="119">
        <v>65870</v>
      </c>
      <c r="R231" s="74"/>
      <c r="S231" s="74"/>
      <c r="T231" s="75"/>
      <c r="U231" s="74"/>
      <c r="V231" s="74"/>
      <c r="W231" s="74"/>
    </row>
    <row r="232" spans="1:23" x14ac:dyDescent="0.25">
      <c r="A232" s="32"/>
      <c r="B232" s="13" t="s">
        <v>347</v>
      </c>
      <c r="C232" s="14">
        <v>45587</v>
      </c>
      <c r="D232" s="20">
        <v>71</v>
      </c>
      <c r="E232" s="16">
        <v>341510</v>
      </c>
      <c r="F232" s="16">
        <v>0</v>
      </c>
      <c r="G232" s="16">
        <f t="shared" ref="G232" si="128">E232-F232</f>
        <v>341510</v>
      </c>
      <c r="H232" s="16">
        <f>ROUND(G232*18%,)</f>
        <v>61472</v>
      </c>
      <c r="I232" s="16">
        <f>ROUND(G232+H232,)</f>
        <v>402982</v>
      </c>
      <c r="J232" s="16">
        <f>G232*2%</f>
        <v>6830.2</v>
      </c>
      <c r="K232" s="16">
        <f>ROUND(G232*5%,)</f>
        <v>17076</v>
      </c>
      <c r="L232" s="16">
        <f>G232*10%</f>
        <v>34151</v>
      </c>
      <c r="M232" s="16">
        <f>G232*10%</f>
        <v>34151</v>
      </c>
      <c r="N232" s="122">
        <f>H232</f>
        <v>61472</v>
      </c>
      <c r="O232" s="16"/>
      <c r="P232" s="61">
        <f>I232-SUM(J232:O232)</f>
        <v>249301.8</v>
      </c>
      <c r="Q232" s="17"/>
      <c r="R232" s="16"/>
      <c r="S232" s="16">
        <v>125000</v>
      </c>
      <c r="T232" s="16">
        <f>S232-U232</f>
        <v>2500</v>
      </c>
      <c r="U232" s="16">
        <v>122500</v>
      </c>
      <c r="V232" s="12" t="s">
        <v>320</v>
      </c>
      <c r="W232" s="16">
        <f>SUM(P232:P233)-SUM(U232:U233)</f>
        <v>-81226.200000000012</v>
      </c>
    </row>
    <row r="233" spans="1:23" hidden="1" x14ac:dyDescent="0.25">
      <c r="A233" s="32"/>
      <c r="B233" s="13" t="s">
        <v>229</v>
      </c>
      <c r="C233" s="14"/>
      <c r="D233" s="20">
        <v>71</v>
      </c>
      <c r="E233" s="16">
        <f>N232</f>
        <v>61472</v>
      </c>
      <c r="F233" s="16">
        <v>0</v>
      </c>
      <c r="G233" s="16"/>
      <c r="H233" s="16"/>
      <c r="I233" s="16"/>
      <c r="J233" s="16"/>
      <c r="K233" s="16"/>
      <c r="L233" s="16"/>
      <c r="M233" s="16"/>
      <c r="N233" s="127"/>
      <c r="O233" s="16"/>
      <c r="P233" s="61">
        <f>E233</f>
        <v>61472</v>
      </c>
      <c r="Q233" s="17"/>
      <c r="R233" s="16"/>
      <c r="S233" s="16">
        <v>275000</v>
      </c>
      <c r="T233" s="16">
        <f>S233-U233</f>
        <v>5500</v>
      </c>
      <c r="U233" s="16">
        <v>269500</v>
      </c>
      <c r="V233" s="12" t="s">
        <v>332</v>
      </c>
      <c r="W233" s="16"/>
    </row>
    <row r="234" spans="1:23" hidden="1" x14ac:dyDescent="0.25">
      <c r="A234" s="73">
        <v>65871</v>
      </c>
      <c r="B234" s="74"/>
      <c r="C234" s="74"/>
      <c r="D234" s="116"/>
      <c r="E234" s="74"/>
      <c r="F234" s="74"/>
      <c r="G234" s="74"/>
      <c r="H234" s="75"/>
      <c r="I234" s="74"/>
      <c r="J234" s="75"/>
      <c r="K234" s="75"/>
      <c r="L234" s="75"/>
      <c r="M234" s="75"/>
      <c r="N234" s="75"/>
      <c r="O234" s="75"/>
      <c r="P234" s="74"/>
      <c r="Q234" s="119">
        <v>65871</v>
      </c>
      <c r="R234" s="74"/>
      <c r="S234" s="74"/>
      <c r="T234" s="75"/>
      <c r="U234" s="74"/>
      <c r="V234" s="74"/>
      <c r="W234" s="74"/>
    </row>
    <row r="235" spans="1:23" ht="31.5" hidden="1" customHeight="1" x14ac:dyDescent="0.25">
      <c r="A235" s="32"/>
      <c r="B235" s="13" t="s">
        <v>356</v>
      </c>
      <c r="C235" s="14">
        <v>45587</v>
      </c>
      <c r="D235" s="20">
        <v>74</v>
      </c>
      <c r="E235" s="16">
        <v>357072</v>
      </c>
      <c r="F235" s="16">
        <v>0</v>
      </c>
      <c r="G235" s="16">
        <f t="shared" ref="G235" si="129">E235-F235</f>
        <v>357072</v>
      </c>
      <c r="H235" s="16">
        <f>ROUND(G235*18%,)</f>
        <v>64273</v>
      </c>
      <c r="I235" s="16">
        <f>ROUND(G235+H235,)</f>
        <v>421345</v>
      </c>
      <c r="J235" s="16">
        <f>G235*2%</f>
        <v>7141.4400000000005</v>
      </c>
      <c r="K235" s="16">
        <f>ROUND(G235*5%,)</f>
        <v>17854</v>
      </c>
      <c r="L235" s="16">
        <f>G235*10%</f>
        <v>35707.200000000004</v>
      </c>
      <c r="M235" s="16">
        <f>G235*10%</f>
        <v>35707.200000000004</v>
      </c>
      <c r="N235" s="122">
        <f>H235</f>
        <v>64273</v>
      </c>
      <c r="O235" s="16"/>
      <c r="P235" s="61">
        <f>I235-SUM(J235:O235)</f>
        <v>260662.15999999997</v>
      </c>
      <c r="Q235" s="17"/>
      <c r="R235" s="16"/>
      <c r="S235" s="16">
        <v>125000</v>
      </c>
      <c r="T235" s="16">
        <f>S235-U235</f>
        <v>2500</v>
      </c>
      <c r="U235" s="16">
        <v>122500</v>
      </c>
      <c r="V235" s="12" t="s">
        <v>319</v>
      </c>
      <c r="W235" s="16">
        <f>SUM(P235:P237)-SUM(U235:U237)</f>
        <v>371436.06000000006</v>
      </c>
    </row>
    <row r="236" spans="1:23" hidden="1" x14ac:dyDescent="0.25">
      <c r="A236" s="32"/>
      <c r="B236" s="13" t="s">
        <v>229</v>
      </c>
      <c r="C236" s="14"/>
      <c r="D236" s="20">
        <v>74</v>
      </c>
      <c r="E236" s="16">
        <f>N235</f>
        <v>64273</v>
      </c>
      <c r="F236" s="16">
        <v>0</v>
      </c>
      <c r="G236" s="16"/>
      <c r="H236" s="16"/>
      <c r="I236" s="16"/>
      <c r="J236" s="16"/>
      <c r="K236" s="16"/>
      <c r="L236" s="16"/>
      <c r="M236" s="16"/>
      <c r="N236" s="127"/>
      <c r="O236" s="16"/>
      <c r="P236" s="122">
        <f>E236</f>
        <v>64273</v>
      </c>
      <c r="Q236" s="17"/>
      <c r="R236" s="16"/>
      <c r="S236" s="16">
        <v>100000</v>
      </c>
      <c r="T236" s="16">
        <v>2000</v>
      </c>
      <c r="U236" s="16">
        <v>98000</v>
      </c>
      <c r="V236" s="12" t="s">
        <v>326</v>
      </c>
      <c r="W236" s="16"/>
    </row>
    <row r="237" spans="1:23" ht="31.5" hidden="1" x14ac:dyDescent="0.25">
      <c r="A237" s="32"/>
      <c r="B237" s="13" t="s">
        <v>366</v>
      </c>
      <c r="C237" s="14">
        <v>45645</v>
      </c>
      <c r="D237" s="20">
        <v>95</v>
      </c>
      <c r="E237" s="16">
        <v>365755</v>
      </c>
      <c r="F237" s="16">
        <v>0</v>
      </c>
      <c r="G237" s="16">
        <f t="shared" ref="G237" si="130">E237-F237</f>
        <v>365755</v>
      </c>
      <c r="H237" s="16">
        <f>ROUND(G237*18%,)</f>
        <v>65836</v>
      </c>
      <c r="I237" s="16">
        <f>ROUND(G237+H237,)</f>
        <v>431591</v>
      </c>
      <c r="J237" s="16">
        <f>G237*2%</f>
        <v>7315.1</v>
      </c>
      <c r="K237" s="16">
        <f>ROUND(G237*5%,)</f>
        <v>18288</v>
      </c>
      <c r="L237" s="16">
        <f>G237*10%</f>
        <v>36575.5</v>
      </c>
      <c r="M237" s="16">
        <f>G237*10%</f>
        <v>36575.5</v>
      </c>
      <c r="N237" s="122">
        <f>H237</f>
        <v>65836</v>
      </c>
      <c r="O237" s="16"/>
      <c r="P237" s="61">
        <f>I237-SUM(J237:O237)</f>
        <v>267000.90000000002</v>
      </c>
      <c r="Q237" s="17"/>
      <c r="R237" s="16"/>
      <c r="S237" s="16"/>
      <c r="T237" s="16"/>
      <c r="U237" s="16"/>
      <c r="V237" s="12"/>
      <c r="W237" s="16"/>
    </row>
    <row r="238" spans="1:23" hidden="1" x14ac:dyDescent="0.25">
      <c r="A238" s="73">
        <v>65893</v>
      </c>
      <c r="B238" s="74"/>
      <c r="C238" s="74"/>
      <c r="D238" s="116"/>
      <c r="E238" s="74"/>
      <c r="F238" s="74"/>
      <c r="G238" s="74"/>
      <c r="H238" s="75"/>
      <c r="I238" s="74"/>
      <c r="J238" s="75"/>
      <c r="K238" s="75"/>
      <c r="L238" s="75"/>
      <c r="M238" s="75"/>
      <c r="N238" s="75"/>
      <c r="O238" s="75"/>
      <c r="P238" s="74"/>
      <c r="Q238" s="119">
        <v>65893</v>
      </c>
      <c r="R238" s="74"/>
      <c r="S238" s="74"/>
      <c r="T238" s="75"/>
      <c r="U238" s="74"/>
      <c r="V238" s="74"/>
      <c r="W238" s="74"/>
    </row>
    <row r="239" spans="1:23" x14ac:dyDescent="0.25">
      <c r="A239" s="32"/>
      <c r="B239" s="13" t="s">
        <v>315</v>
      </c>
      <c r="C239" s="14"/>
      <c r="D239" s="20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7"/>
      <c r="R239" s="16"/>
      <c r="S239" s="16">
        <v>100000</v>
      </c>
      <c r="T239" s="16">
        <f>S239-U239</f>
        <v>2000</v>
      </c>
      <c r="U239" s="16">
        <v>98000</v>
      </c>
      <c r="V239" s="12" t="s">
        <v>323</v>
      </c>
      <c r="W239" s="16">
        <f>SUM(P239:P241)-SUM(U239:U241)</f>
        <v>-588000</v>
      </c>
    </row>
    <row r="240" spans="1:23" hidden="1" x14ac:dyDescent="0.25">
      <c r="A240" s="32"/>
      <c r="B240" s="13"/>
      <c r="C240" s="14"/>
      <c r="D240" s="20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7"/>
      <c r="R240" s="16"/>
      <c r="S240" s="16">
        <v>100000</v>
      </c>
      <c r="T240" s="16">
        <v>2000</v>
      </c>
      <c r="U240" s="16">
        <v>98000</v>
      </c>
      <c r="V240" s="12" t="s">
        <v>327</v>
      </c>
      <c r="W240" s="16"/>
    </row>
    <row r="241" spans="1:23" hidden="1" x14ac:dyDescent="0.25">
      <c r="A241" s="32"/>
      <c r="B241" s="13"/>
      <c r="C241" s="14"/>
      <c r="D241" s="20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7"/>
      <c r="R241" s="16"/>
      <c r="S241" s="16">
        <v>400000</v>
      </c>
      <c r="T241" s="16">
        <v>8000</v>
      </c>
      <c r="U241" s="16">
        <v>392000</v>
      </c>
      <c r="V241" s="12" t="s">
        <v>331</v>
      </c>
      <c r="W241" s="16"/>
    </row>
    <row r="242" spans="1:23" hidden="1" x14ac:dyDescent="0.25">
      <c r="A242" s="73">
        <v>65894</v>
      </c>
      <c r="B242" s="74"/>
      <c r="C242" s="74"/>
      <c r="D242" s="116"/>
      <c r="E242" s="74"/>
      <c r="F242" s="74"/>
      <c r="G242" s="74"/>
      <c r="H242" s="75"/>
      <c r="I242" s="74"/>
      <c r="J242" s="75"/>
      <c r="K242" s="75"/>
      <c r="L242" s="75"/>
      <c r="M242" s="75"/>
      <c r="N242" s="75"/>
      <c r="O242" s="75"/>
      <c r="P242" s="74"/>
      <c r="Q242" s="119">
        <v>65894</v>
      </c>
      <c r="R242" s="74"/>
      <c r="S242" s="74"/>
      <c r="T242" s="75"/>
      <c r="U242" s="74"/>
      <c r="V242" s="74"/>
      <c r="W242" s="74"/>
    </row>
    <row r="243" spans="1:23" hidden="1" x14ac:dyDescent="0.25">
      <c r="A243" s="32"/>
      <c r="B243" s="13" t="s">
        <v>348</v>
      </c>
      <c r="C243" s="14">
        <v>45587</v>
      </c>
      <c r="D243" s="20">
        <v>73</v>
      </c>
      <c r="E243" s="16">
        <v>129324</v>
      </c>
      <c r="F243" s="16">
        <v>0</v>
      </c>
      <c r="G243" s="16">
        <f t="shared" ref="G243:G245" si="131">E243-F243</f>
        <v>129324</v>
      </c>
      <c r="H243" s="16">
        <f>ROUND(G243*18%,)</f>
        <v>23278</v>
      </c>
      <c r="I243" s="16">
        <f>ROUND(G243+H243,)</f>
        <v>152602</v>
      </c>
      <c r="J243" s="16">
        <f>G243*2%</f>
        <v>2586.48</v>
      </c>
      <c r="K243" s="16">
        <f>ROUND(G243*5%,)</f>
        <v>6466</v>
      </c>
      <c r="L243" s="16">
        <f>G243*10%</f>
        <v>12932.400000000001</v>
      </c>
      <c r="M243" s="16">
        <f>G243*10%</f>
        <v>12932.400000000001</v>
      </c>
      <c r="N243" s="122">
        <f>H243</f>
        <v>23278</v>
      </c>
      <c r="O243" s="16"/>
      <c r="P243" s="61">
        <f>I243-SUM(J243:O243)</f>
        <v>94406.720000000001</v>
      </c>
      <c r="Q243" s="17"/>
      <c r="R243" s="16"/>
      <c r="S243" s="16">
        <v>300000</v>
      </c>
      <c r="T243" s="16">
        <v>6000</v>
      </c>
      <c r="U243" s="16">
        <v>294000</v>
      </c>
      <c r="V243" s="12" t="s">
        <v>328</v>
      </c>
      <c r="W243" s="16">
        <f>SUM(P243:P246)-SUM(U243:U246)</f>
        <v>43810.799999999988</v>
      </c>
    </row>
    <row r="244" spans="1:23" hidden="1" x14ac:dyDescent="0.25">
      <c r="A244" s="32"/>
      <c r="B244" s="13" t="s">
        <v>348</v>
      </c>
      <c r="C244" s="14">
        <v>45587</v>
      </c>
      <c r="D244" s="20">
        <v>72</v>
      </c>
      <c r="E244" s="16">
        <v>66903</v>
      </c>
      <c r="F244" s="16">
        <v>0</v>
      </c>
      <c r="G244" s="16">
        <f t="shared" si="131"/>
        <v>66903</v>
      </c>
      <c r="H244" s="16">
        <f>ROUND(G244*18%,)</f>
        <v>12043</v>
      </c>
      <c r="I244" s="16">
        <f>ROUND(G244+H244,)</f>
        <v>78946</v>
      </c>
      <c r="J244" s="16">
        <f>G244*2%</f>
        <v>1338.06</v>
      </c>
      <c r="K244" s="16">
        <f>ROUND(G244*5%,)</f>
        <v>3345</v>
      </c>
      <c r="L244" s="16"/>
      <c r="M244" s="16"/>
      <c r="N244" s="122">
        <f>H244</f>
        <v>12043</v>
      </c>
      <c r="O244" s="16"/>
      <c r="P244" s="61">
        <f>I244-SUM(J244:O244)</f>
        <v>62219.94</v>
      </c>
      <c r="Q244" s="131"/>
      <c r="R244" s="16"/>
      <c r="S244" s="16"/>
      <c r="T244" s="16"/>
      <c r="U244" s="16"/>
      <c r="V244" s="12"/>
      <c r="W244" s="16"/>
    </row>
    <row r="245" spans="1:23" hidden="1" x14ac:dyDescent="0.25">
      <c r="A245" s="32"/>
      <c r="B245" s="13" t="s">
        <v>348</v>
      </c>
      <c r="C245" s="14">
        <v>45645</v>
      </c>
      <c r="D245" s="20">
        <v>94</v>
      </c>
      <c r="E245" s="16">
        <v>199813</v>
      </c>
      <c r="F245" s="16">
        <v>0</v>
      </c>
      <c r="G245" s="16">
        <f t="shared" si="131"/>
        <v>199813</v>
      </c>
      <c r="H245" s="16">
        <f>ROUND(G245*18%,)</f>
        <v>35966</v>
      </c>
      <c r="I245" s="16">
        <f>ROUND(G245+H245,)</f>
        <v>235779</v>
      </c>
      <c r="J245" s="16">
        <f>G245*2%</f>
        <v>3996.26</v>
      </c>
      <c r="K245" s="16">
        <f>ROUND(G245*5%,)</f>
        <v>9991</v>
      </c>
      <c r="L245" s="16">
        <f>G245*10%</f>
        <v>19981.300000000003</v>
      </c>
      <c r="M245" s="16">
        <f>G245*10%</f>
        <v>19981.300000000003</v>
      </c>
      <c r="N245" s="122">
        <f>H245</f>
        <v>35966</v>
      </c>
      <c r="O245" s="16"/>
      <c r="P245" s="61">
        <f>I245-SUM(J245:O245)</f>
        <v>145863.13999999998</v>
      </c>
      <c r="Q245" s="131"/>
      <c r="R245" s="16"/>
      <c r="S245" s="16"/>
      <c r="T245" s="16"/>
      <c r="U245" s="16"/>
      <c r="V245" s="12"/>
      <c r="W245" s="16"/>
    </row>
    <row r="246" spans="1:23" hidden="1" x14ac:dyDescent="0.25">
      <c r="A246" s="32"/>
      <c r="B246" s="13" t="s">
        <v>381</v>
      </c>
      <c r="C246" s="14"/>
      <c r="D246" s="20" t="s">
        <v>382</v>
      </c>
      <c r="E246" s="16">
        <f>N243+N244</f>
        <v>35321</v>
      </c>
      <c r="F246" s="16"/>
      <c r="G246" s="16"/>
      <c r="H246" s="16"/>
      <c r="I246" s="16"/>
      <c r="J246" s="16"/>
      <c r="K246" s="16"/>
      <c r="L246" s="16"/>
      <c r="M246" s="16"/>
      <c r="N246" s="122"/>
      <c r="O246" s="16"/>
      <c r="P246" s="122">
        <f>E246</f>
        <v>35321</v>
      </c>
      <c r="Q246" s="131"/>
      <c r="R246" s="16"/>
      <c r="S246" s="16"/>
      <c r="T246" s="16"/>
      <c r="U246" s="16"/>
      <c r="V246" s="12"/>
      <c r="W246" s="16"/>
    </row>
    <row r="247" spans="1:23" hidden="1" x14ac:dyDescent="0.25">
      <c r="A247" s="73">
        <v>65895</v>
      </c>
      <c r="B247" s="74"/>
      <c r="C247" s="74"/>
      <c r="D247" s="116"/>
      <c r="E247" s="74"/>
      <c r="F247" s="74"/>
      <c r="G247" s="74"/>
      <c r="H247" s="75"/>
      <c r="I247" s="74"/>
      <c r="J247" s="75"/>
      <c r="K247" s="75"/>
      <c r="L247" s="75"/>
      <c r="M247" s="75"/>
      <c r="N247" s="75"/>
      <c r="O247" s="75"/>
      <c r="P247" s="74"/>
      <c r="Q247" s="119">
        <v>65895</v>
      </c>
      <c r="R247" s="74"/>
      <c r="S247" s="74"/>
      <c r="T247" s="75"/>
      <c r="U247" s="74"/>
      <c r="V247" s="74"/>
      <c r="W247" s="74"/>
    </row>
    <row r="248" spans="1:23" x14ac:dyDescent="0.25">
      <c r="A248" s="32"/>
      <c r="B248" s="13" t="s">
        <v>316</v>
      </c>
      <c r="C248" s="14"/>
      <c r="D248" s="20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7"/>
      <c r="R248" s="16"/>
      <c r="S248" s="16">
        <v>125000</v>
      </c>
      <c r="T248" s="16">
        <f>S248-U248</f>
        <v>2500</v>
      </c>
      <c r="U248" s="16">
        <v>122500</v>
      </c>
      <c r="V248" s="12" t="s">
        <v>322</v>
      </c>
      <c r="W248" s="16">
        <f>SUM(P248:P250)-SUM(U248:U250)</f>
        <v>-318500</v>
      </c>
    </row>
    <row r="249" spans="1:23" hidden="1" x14ac:dyDescent="0.25">
      <c r="A249" s="32"/>
      <c r="B249" s="13"/>
      <c r="C249" s="14"/>
      <c r="D249" s="20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7"/>
      <c r="R249" s="16"/>
      <c r="S249" s="16">
        <v>100000</v>
      </c>
      <c r="T249" s="16">
        <v>2000</v>
      </c>
      <c r="U249" s="16">
        <v>98000</v>
      </c>
      <c r="V249" s="12" t="s">
        <v>329</v>
      </c>
      <c r="W249" s="16"/>
    </row>
    <row r="250" spans="1:23" hidden="1" x14ac:dyDescent="0.25">
      <c r="A250" s="32"/>
      <c r="B250" s="13"/>
      <c r="C250" s="14"/>
      <c r="D250" s="20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7"/>
      <c r="R250" s="16"/>
      <c r="S250" s="16">
        <v>100000</v>
      </c>
      <c r="T250" s="16">
        <v>2000</v>
      </c>
      <c r="U250" s="16">
        <v>98000</v>
      </c>
      <c r="V250" s="12" t="s">
        <v>330</v>
      </c>
      <c r="W250" s="16"/>
    </row>
    <row r="251" spans="1:23" hidden="1" x14ac:dyDescent="0.25">
      <c r="A251" s="73">
        <v>66098</v>
      </c>
      <c r="B251" s="74"/>
      <c r="C251" s="74"/>
      <c r="D251" s="116"/>
      <c r="E251" s="74"/>
      <c r="F251" s="74"/>
      <c r="G251" s="74"/>
      <c r="H251" s="75"/>
      <c r="I251" s="74"/>
      <c r="J251" s="75"/>
      <c r="K251" s="75"/>
      <c r="L251" s="75"/>
      <c r="M251" s="75"/>
      <c r="N251" s="75"/>
      <c r="O251" s="75"/>
      <c r="P251" s="74"/>
      <c r="Q251" s="119">
        <v>66098</v>
      </c>
      <c r="R251" s="74"/>
      <c r="S251" s="74"/>
      <c r="T251" s="75"/>
      <c r="U251" s="74"/>
      <c r="V251" s="74"/>
      <c r="W251" s="74"/>
    </row>
    <row r="252" spans="1:23" ht="47.25" hidden="1" x14ac:dyDescent="0.25">
      <c r="A252" s="32"/>
      <c r="B252" s="13" t="s">
        <v>346</v>
      </c>
      <c r="C252" s="14">
        <v>45587</v>
      </c>
      <c r="D252" s="20">
        <v>69</v>
      </c>
      <c r="E252" s="16">
        <v>244637</v>
      </c>
      <c r="F252" s="16">
        <v>0</v>
      </c>
      <c r="G252" s="16">
        <f t="shared" ref="G252" si="132">E252-F252</f>
        <v>244637</v>
      </c>
      <c r="H252" s="16">
        <f>ROUND(G252*18%,)</f>
        <v>44035</v>
      </c>
      <c r="I252" s="16">
        <f>ROUND(G252+H252,)</f>
        <v>288672</v>
      </c>
      <c r="J252" s="16">
        <f>G252*2%</f>
        <v>4892.74</v>
      </c>
      <c r="K252" s="16">
        <f>ROUND(G252*5%,)</f>
        <v>12232</v>
      </c>
      <c r="L252" s="16">
        <f>G252*10%</f>
        <v>24463.7</v>
      </c>
      <c r="M252" s="16">
        <f>G252*10%</f>
        <v>24463.7</v>
      </c>
      <c r="N252" s="122">
        <f>H252</f>
        <v>44035</v>
      </c>
      <c r="O252" s="16"/>
      <c r="P252" s="61">
        <f>I252-SUM(J252:O252)</f>
        <v>178584.86</v>
      </c>
      <c r="Q252" s="17"/>
      <c r="R252" s="16"/>
      <c r="S252" s="16">
        <v>200000</v>
      </c>
      <c r="T252" s="16">
        <v>4000</v>
      </c>
      <c r="U252" s="16">
        <v>196000</v>
      </c>
      <c r="V252" s="12" t="s">
        <v>338</v>
      </c>
      <c r="W252" s="16">
        <f>SUM(P252:P253)-SUM(U252:U253)</f>
        <v>26619.859999999986</v>
      </c>
    </row>
    <row r="253" spans="1:23" hidden="1" x14ac:dyDescent="0.25">
      <c r="A253" s="32"/>
      <c r="B253" s="13" t="s">
        <v>229</v>
      </c>
      <c r="C253" s="14"/>
      <c r="D253" s="20">
        <v>69</v>
      </c>
      <c r="E253" s="16">
        <f>N252</f>
        <v>44035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22">
        <f>E253</f>
        <v>44035</v>
      </c>
      <c r="Q253" s="17"/>
      <c r="R253" s="16"/>
      <c r="S253" s="16"/>
      <c r="T253" s="16"/>
      <c r="U253" s="16"/>
      <c r="V253" s="12"/>
      <c r="W253" s="16"/>
    </row>
    <row r="254" spans="1:23" hidden="1" x14ac:dyDescent="0.25">
      <c r="A254" s="73">
        <v>66099</v>
      </c>
      <c r="B254" s="74"/>
      <c r="C254" s="74"/>
      <c r="D254" s="116"/>
      <c r="E254" s="74"/>
      <c r="F254" s="74"/>
      <c r="G254" s="74"/>
      <c r="H254" s="75"/>
      <c r="I254" s="74"/>
      <c r="J254" s="75"/>
      <c r="K254" s="75"/>
      <c r="L254" s="75"/>
      <c r="M254" s="75"/>
      <c r="N254" s="75"/>
      <c r="O254" s="75"/>
      <c r="P254" s="74"/>
      <c r="Q254" s="119">
        <v>66099</v>
      </c>
      <c r="R254" s="74"/>
      <c r="S254" s="74"/>
      <c r="T254" s="75"/>
      <c r="U254" s="74"/>
      <c r="V254" s="74"/>
      <c r="W254" s="74"/>
    </row>
    <row r="255" spans="1:23" ht="31.5" x14ac:dyDescent="0.25">
      <c r="A255" s="32"/>
      <c r="B255" s="13" t="s">
        <v>383</v>
      </c>
      <c r="C255" s="14">
        <v>45645</v>
      </c>
      <c r="D255" s="20">
        <v>92</v>
      </c>
      <c r="E255" s="16">
        <v>241669</v>
      </c>
      <c r="F255" s="16">
        <v>0</v>
      </c>
      <c r="G255" s="16">
        <f t="shared" ref="G255" si="133">E255-F255</f>
        <v>241669</v>
      </c>
      <c r="H255" s="16">
        <f>ROUND(G255*18%,)</f>
        <v>43500</v>
      </c>
      <c r="I255" s="16">
        <f>ROUND(G255+H255,)</f>
        <v>285169</v>
      </c>
      <c r="J255" s="16">
        <f>G255*2%</f>
        <v>4833.38</v>
      </c>
      <c r="K255" s="16">
        <f>ROUND(G255*5%,)</f>
        <v>12083</v>
      </c>
      <c r="L255" s="16">
        <f>G255*10%</f>
        <v>24166.9</v>
      </c>
      <c r="M255" s="16">
        <f>G255*10%</f>
        <v>24166.9</v>
      </c>
      <c r="N255" s="122">
        <f>H255</f>
        <v>43500</v>
      </c>
      <c r="O255" s="16"/>
      <c r="P255" s="61">
        <f>I255-SUM(J255:O255)</f>
        <v>176418.82</v>
      </c>
      <c r="Q255" s="17"/>
      <c r="R255" s="16"/>
      <c r="S255" s="16">
        <v>300000</v>
      </c>
      <c r="T255" s="16">
        <v>6000</v>
      </c>
      <c r="U255" s="16">
        <v>294000</v>
      </c>
      <c r="V255" s="12" t="s">
        <v>337</v>
      </c>
      <c r="W255" s="16">
        <f>SUM(P255:P256)-SUM(U255:U256)</f>
        <v>-117581.18</v>
      </c>
    </row>
    <row r="256" spans="1:23" hidden="1" x14ac:dyDescent="0.25">
      <c r="A256" s="32"/>
      <c r="B256" s="13"/>
      <c r="C256" s="14"/>
      <c r="D256" s="20">
        <v>92</v>
      </c>
      <c r="E256" s="16">
        <v>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22">
        <f>E256</f>
        <v>0</v>
      </c>
      <c r="Q256" s="17"/>
      <c r="R256" s="16"/>
      <c r="S256" s="16"/>
      <c r="T256" s="16"/>
      <c r="U256" s="16"/>
      <c r="V256" s="12"/>
      <c r="W256" s="16"/>
    </row>
    <row r="257" spans="1:23" hidden="1" x14ac:dyDescent="0.25">
      <c r="A257" s="73">
        <v>66101</v>
      </c>
      <c r="B257" s="74"/>
      <c r="C257" s="74"/>
      <c r="D257" s="116"/>
      <c r="E257" s="74"/>
      <c r="F257" s="74"/>
      <c r="G257" s="74"/>
      <c r="H257" s="75"/>
      <c r="I257" s="74"/>
      <c r="J257" s="75"/>
      <c r="K257" s="75"/>
      <c r="L257" s="75"/>
      <c r="M257" s="75"/>
      <c r="N257" s="75"/>
      <c r="O257" s="75"/>
      <c r="P257" s="74"/>
      <c r="Q257" s="119">
        <v>66101</v>
      </c>
      <c r="R257" s="74"/>
      <c r="S257" s="74"/>
      <c r="T257" s="75"/>
      <c r="U257" s="74"/>
      <c r="V257" s="74"/>
      <c r="W257" s="74"/>
    </row>
    <row r="258" spans="1:23" ht="39.75" customHeight="1" x14ac:dyDescent="0.25">
      <c r="A258" s="32"/>
      <c r="B258" s="13" t="s">
        <v>355</v>
      </c>
      <c r="C258" s="14">
        <v>45602</v>
      </c>
      <c r="D258" s="20">
        <v>79</v>
      </c>
      <c r="E258" s="16">
        <v>101256</v>
      </c>
      <c r="F258" s="16">
        <v>0</v>
      </c>
      <c r="G258" s="16">
        <f t="shared" ref="G258" si="134">E258-F258</f>
        <v>101256</v>
      </c>
      <c r="H258" s="16">
        <f>ROUND(G258*18%,)</f>
        <v>18226</v>
      </c>
      <c r="I258" s="16">
        <f>ROUND(G258+H258,)</f>
        <v>119482</v>
      </c>
      <c r="J258" s="16">
        <f>G258*2%</f>
        <v>2025.1200000000001</v>
      </c>
      <c r="K258" s="16">
        <f>ROUND(G258*5%,)</f>
        <v>5063</v>
      </c>
      <c r="L258" s="16">
        <f>G258*10%</f>
        <v>10125.6</v>
      </c>
      <c r="M258" s="16">
        <f>G258*10%</f>
        <v>10125.6</v>
      </c>
      <c r="N258" s="122">
        <f>H258</f>
        <v>18226</v>
      </c>
      <c r="O258" s="16"/>
      <c r="P258" s="61">
        <f>I258-SUM(J258:O258)</f>
        <v>73916.679999999993</v>
      </c>
      <c r="Q258" s="17"/>
      <c r="R258" s="16"/>
      <c r="S258" s="16">
        <v>200000</v>
      </c>
      <c r="T258" s="16">
        <v>4000</v>
      </c>
      <c r="U258" s="16">
        <v>196000</v>
      </c>
      <c r="V258" s="12" t="s">
        <v>339</v>
      </c>
      <c r="W258" s="16">
        <f>SUM(P258:P259)-SUM(U258:U259)</f>
        <v>-103857.32</v>
      </c>
    </row>
    <row r="259" spans="1:23" hidden="1" x14ac:dyDescent="0.25">
      <c r="A259" s="32"/>
      <c r="B259" s="13" t="s">
        <v>229</v>
      </c>
      <c r="C259" s="14"/>
      <c r="D259" s="20">
        <v>79</v>
      </c>
      <c r="E259" s="16">
        <f>N258</f>
        <v>18226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22">
        <f>E259</f>
        <v>18226</v>
      </c>
      <c r="Q259" s="17"/>
      <c r="R259" s="16"/>
      <c r="S259" s="16"/>
      <c r="T259" s="16"/>
      <c r="U259" s="16"/>
      <c r="V259" s="12"/>
      <c r="W259" s="16"/>
    </row>
    <row r="260" spans="1:23" hidden="1" x14ac:dyDescent="0.25">
      <c r="A260" s="73">
        <v>66244</v>
      </c>
      <c r="B260" s="74"/>
      <c r="C260" s="74"/>
      <c r="D260" s="116"/>
      <c r="E260" s="74"/>
      <c r="F260" s="74"/>
      <c r="G260" s="74"/>
      <c r="H260" s="75"/>
      <c r="I260" s="74"/>
      <c r="J260" s="75"/>
      <c r="K260" s="75"/>
      <c r="L260" s="75"/>
      <c r="M260" s="75"/>
      <c r="N260" s="75"/>
      <c r="O260" s="75"/>
      <c r="P260" s="74"/>
      <c r="Q260" s="119">
        <v>66244</v>
      </c>
      <c r="R260" s="74"/>
      <c r="S260" s="74"/>
      <c r="T260" s="75"/>
      <c r="U260" s="74"/>
      <c r="V260" s="74"/>
      <c r="W260" s="74"/>
    </row>
    <row r="261" spans="1:23" x14ac:dyDescent="0.25">
      <c r="A261" s="32"/>
      <c r="B261" s="13" t="s">
        <v>359</v>
      </c>
      <c r="C261" s="14">
        <v>45551</v>
      </c>
      <c r="D261" s="20">
        <v>48</v>
      </c>
      <c r="E261" s="16">
        <v>499500</v>
      </c>
      <c r="F261" s="16">
        <v>0</v>
      </c>
      <c r="G261" s="16">
        <f t="shared" ref="G261" si="135">E261-F261</f>
        <v>499500</v>
      </c>
      <c r="H261" s="16">
        <f>ROUND(G261*18%,)</f>
        <v>89910</v>
      </c>
      <c r="I261" s="16">
        <f>ROUND(G261+H261,)</f>
        <v>589410</v>
      </c>
      <c r="J261" s="16">
        <f>G261*2%</f>
        <v>9990</v>
      </c>
      <c r="K261" s="16">
        <f>ROUND(G261*5%,)</f>
        <v>24975</v>
      </c>
      <c r="L261" s="16"/>
      <c r="M261" s="16"/>
      <c r="N261" s="122">
        <f>H261</f>
        <v>89910</v>
      </c>
      <c r="O261" s="16"/>
      <c r="P261" s="61"/>
      <c r="Q261" s="131" t="s">
        <v>367</v>
      </c>
      <c r="R261" s="16"/>
      <c r="S261" s="16">
        <v>500000</v>
      </c>
      <c r="T261" s="16">
        <f>S261-U261</f>
        <v>10000</v>
      </c>
      <c r="U261" s="16">
        <v>490000</v>
      </c>
      <c r="V261" s="12" t="s">
        <v>361</v>
      </c>
      <c r="W261" s="16">
        <f>SUM(P261:P262)-SUM(U261:U262)</f>
        <v>-890090</v>
      </c>
    </row>
    <row r="262" spans="1:23" hidden="1" x14ac:dyDescent="0.25">
      <c r="A262" s="32"/>
      <c r="B262" s="13" t="s">
        <v>229</v>
      </c>
      <c r="C262" s="14"/>
      <c r="D262" s="20"/>
      <c r="E262" s="16">
        <f>N261</f>
        <v>89910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22">
        <f>E262</f>
        <v>89910</v>
      </c>
      <c r="Q262" s="17"/>
      <c r="R262" s="16"/>
      <c r="S262" s="16"/>
      <c r="T262" s="16"/>
      <c r="U262" s="16">
        <v>490000</v>
      </c>
      <c r="V262" s="12" t="s">
        <v>369</v>
      </c>
      <c r="W262" s="16"/>
    </row>
    <row r="263" spans="1:23" hidden="1" x14ac:dyDescent="0.25">
      <c r="A263" s="73">
        <v>66309</v>
      </c>
      <c r="B263" s="74"/>
      <c r="C263" s="74"/>
      <c r="D263" s="116"/>
      <c r="E263" s="74"/>
      <c r="F263" s="74"/>
      <c r="G263" s="74"/>
      <c r="H263" s="75"/>
      <c r="I263" s="74"/>
      <c r="J263" s="75"/>
      <c r="K263" s="75"/>
      <c r="L263" s="75"/>
      <c r="M263" s="75"/>
      <c r="N263" s="75"/>
      <c r="O263" s="75"/>
      <c r="P263" s="74"/>
      <c r="Q263" s="119">
        <f>A263</f>
        <v>66309</v>
      </c>
      <c r="R263" s="74"/>
      <c r="S263" s="74"/>
      <c r="T263" s="75"/>
      <c r="U263" s="74"/>
      <c r="V263" s="74"/>
      <c r="W263" s="74"/>
    </row>
    <row r="264" spans="1:23" ht="31.5" x14ac:dyDescent="0.25">
      <c r="A264" s="32"/>
      <c r="B264" s="13" t="s">
        <v>349</v>
      </c>
      <c r="C264" s="14"/>
      <c r="D264" s="20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7"/>
      <c r="R264" s="16"/>
      <c r="S264" s="16"/>
      <c r="T264" s="16"/>
      <c r="U264" s="16">
        <v>294000</v>
      </c>
      <c r="V264" s="12" t="s">
        <v>350</v>
      </c>
      <c r="W264" s="16">
        <f>SUM(P264:P265)-SUM(U264:U265)</f>
        <v>-294000</v>
      </c>
    </row>
    <row r="265" spans="1:23" hidden="1" x14ac:dyDescent="0.25">
      <c r="A265" s="32"/>
      <c r="B265" s="13"/>
      <c r="C265" s="14"/>
      <c r="D265" s="20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7"/>
      <c r="R265" s="16"/>
      <c r="S265" s="16"/>
      <c r="T265" s="16"/>
      <c r="U265" s="16"/>
      <c r="V265" s="12"/>
      <c r="W265" s="16"/>
    </row>
    <row r="266" spans="1:23" hidden="1" x14ac:dyDescent="0.25">
      <c r="A266" s="73">
        <v>66604</v>
      </c>
      <c r="B266" s="74"/>
      <c r="C266" s="74"/>
      <c r="D266" s="116"/>
      <c r="E266" s="74"/>
      <c r="F266" s="74"/>
      <c r="G266" s="74"/>
      <c r="H266" s="75"/>
      <c r="I266" s="74"/>
      <c r="J266" s="75"/>
      <c r="K266" s="75"/>
      <c r="L266" s="75"/>
      <c r="M266" s="75"/>
      <c r="N266" s="75"/>
      <c r="O266" s="75"/>
      <c r="P266" s="74"/>
      <c r="Q266" s="119">
        <f>A266</f>
        <v>66604</v>
      </c>
      <c r="R266" s="74"/>
      <c r="S266" s="74"/>
      <c r="T266" s="75"/>
      <c r="U266" s="74"/>
      <c r="V266" s="74"/>
      <c r="W266" s="74"/>
    </row>
    <row r="267" spans="1:23" ht="32.25" thickBot="1" x14ac:dyDescent="0.3">
      <c r="A267" s="32"/>
      <c r="B267" s="13" t="s">
        <v>362</v>
      </c>
      <c r="C267" s="14">
        <v>45551</v>
      </c>
      <c r="D267" s="20">
        <v>86</v>
      </c>
      <c r="E267" s="16">
        <v>472500</v>
      </c>
      <c r="F267" s="16">
        <v>0</v>
      </c>
      <c r="G267" s="16">
        <f t="shared" ref="G267" si="136">E267-F267</f>
        <v>472500</v>
      </c>
      <c r="H267" s="16">
        <f>ROUND(G267*18%,)</f>
        <v>85050</v>
      </c>
      <c r="I267" s="16">
        <f>ROUND(G267+H267,)</f>
        <v>557550</v>
      </c>
      <c r="J267" s="16">
        <f>G267*2%</f>
        <v>9450</v>
      </c>
      <c r="K267" s="16">
        <f>ROUND(G267*5%,)</f>
        <v>23625</v>
      </c>
      <c r="L267" s="16"/>
      <c r="M267" s="16"/>
      <c r="N267" s="85">
        <f>H267</f>
        <v>85050</v>
      </c>
      <c r="O267" s="16"/>
      <c r="P267" s="61">
        <f>I267-SUM(J267:O267)</f>
        <v>439425</v>
      </c>
      <c r="Q267" s="17"/>
      <c r="R267" s="16"/>
      <c r="S267" s="16">
        <v>300000</v>
      </c>
      <c r="T267" s="16">
        <f>S267-U267</f>
        <v>6000</v>
      </c>
      <c r="U267" s="16">
        <v>294000</v>
      </c>
      <c r="V267" s="12" t="s">
        <v>365</v>
      </c>
      <c r="W267" s="16">
        <f>SUM(P267:P269)-SUM(U267:U269)</f>
        <v>-259525</v>
      </c>
    </row>
    <row r="268" spans="1:23" ht="16.5" hidden="1" thickBot="1" x14ac:dyDescent="0.3">
      <c r="A268" s="32"/>
      <c r="B268" s="13" t="s">
        <v>229</v>
      </c>
      <c r="C268" s="14"/>
      <c r="D268" s="20">
        <v>86</v>
      </c>
      <c r="E268" s="16">
        <f>N267</f>
        <v>85050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22">
        <f>E268</f>
        <v>85050</v>
      </c>
      <c r="Q268" s="17"/>
      <c r="R268" s="16"/>
      <c r="S268" s="16"/>
      <c r="T268" s="16"/>
      <c r="U268" s="16">
        <v>490000</v>
      </c>
      <c r="V268" s="12" t="s">
        <v>368</v>
      </c>
      <c r="W268" s="16"/>
    </row>
    <row r="269" spans="1:23" ht="16.5" hidden="1" thickBot="1" x14ac:dyDescent="0.3">
      <c r="A269" s="32"/>
      <c r="B269" s="13"/>
      <c r="C269" s="14"/>
      <c r="D269" s="20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22"/>
      <c r="Q269" s="17"/>
      <c r="R269" s="16"/>
      <c r="S269" s="16"/>
      <c r="T269" s="16"/>
      <c r="U269" s="16"/>
      <c r="V269" s="12"/>
      <c r="W269" s="16"/>
    </row>
    <row r="270" spans="1:23" ht="16.5" hidden="1" thickBot="1" x14ac:dyDescent="0.3">
      <c r="A270" s="73">
        <v>66605</v>
      </c>
      <c r="B270" s="74"/>
      <c r="C270" s="74"/>
      <c r="D270" s="116"/>
      <c r="E270" s="74"/>
      <c r="F270" s="74"/>
      <c r="G270" s="74"/>
      <c r="H270" s="75"/>
      <c r="I270" s="74"/>
      <c r="J270" s="75"/>
      <c r="K270" s="75"/>
      <c r="L270" s="75"/>
      <c r="M270" s="75"/>
      <c r="N270" s="75"/>
      <c r="O270" s="75"/>
      <c r="P270" s="74"/>
      <c r="Q270" s="119">
        <f>A270</f>
        <v>66605</v>
      </c>
      <c r="R270" s="74"/>
      <c r="S270" s="74"/>
      <c r="T270" s="75"/>
      <c r="U270" s="74"/>
      <c r="V270" s="74"/>
      <c r="W270" s="74"/>
    </row>
    <row r="271" spans="1:23" ht="32.25" hidden="1" thickBot="1" x14ac:dyDescent="0.3">
      <c r="A271" s="32">
        <v>1760000</v>
      </c>
      <c r="B271" s="13" t="s">
        <v>377</v>
      </c>
      <c r="C271" s="14">
        <v>45294</v>
      </c>
      <c r="D271" s="20">
        <v>88</v>
      </c>
      <c r="E271" s="16">
        <f>A271*15%</f>
        <v>264000</v>
      </c>
      <c r="F271" s="16">
        <v>0</v>
      </c>
      <c r="G271" s="16">
        <f t="shared" ref="G271" si="137">E271-F271</f>
        <v>264000</v>
      </c>
      <c r="H271" s="16">
        <f>ROUND(G271*18%,)</f>
        <v>47520</v>
      </c>
      <c r="I271" s="16">
        <f>ROUND(G271+H271,)</f>
        <v>311520</v>
      </c>
      <c r="J271" s="16">
        <f>G271*2%</f>
        <v>5280</v>
      </c>
      <c r="K271" s="16">
        <f>ROUND(G271*5%,)</f>
        <v>13200</v>
      </c>
      <c r="L271" s="16"/>
      <c r="M271" s="16"/>
      <c r="N271" s="85">
        <f>H271</f>
        <v>47520</v>
      </c>
      <c r="O271" s="16"/>
      <c r="P271" s="61"/>
      <c r="Q271" s="131" t="s">
        <v>384</v>
      </c>
      <c r="R271" s="16"/>
      <c r="S271" s="16"/>
      <c r="T271" s="16"/>
      <c r="U271" s="16"/>
      <c r="V271" s="12"/>
      <c r="W271" s="16">
        <f>SUM(P271:P272)-SUM(U271:U272)</f>
        <v>0</v>
      </c>
    </row>
    <row r="272" spans="1:23" ht="16.5" hidden="1" thickBot="1" x14ac:dyDescent="0.3">
      <c r="A272" s="32"/>
      <c r="B272" s="13"/>
      <c r="C272" s="14"/>
      <c r="D272" s="20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7"/>
      <c r="R272" s="16"/>
      <c r="S272" s="16"/>
      <c r="T272" s="16"/>
      <c r="U272" s="16"/>
      <c r="V272" s="12"/>
      <c r="W272" s="16"/>
    </row>
    <row r="273" spans="1:23" x14ac:dyDescent="0.25">
      <c r="A273" s="57"/>
      <c r="B273" s="58" t="s">
        <v>94</v>
      </c>
      <c r="C273" s="58" t="s">
        <v>94</v>
      </c>
      <c r="D273" s="58"/>
      <c r="E273" s="50">
        <f t="shared" ref="E273" si="138">SUM(E7:E272)</f>
        <v>51209124.200000003</v>
      </c>
      <c r="F273" s="59"/>
      <c r="G273" s="59"/>
      <c r="H273" s="10"/>
      <c r="I273" s="10"/>
      <c r="J273" s="50">
        <f t="shared" ref="J273:P273" si="139">SUM(J7:J272)</f>
        <v>830087.23540000001</v>
      </c>
      <c r="K273" s="50">
        <f t="shared" si="139"/>
        <v>2075220.5</v>
      </c>
      <c r="L273" s="50">
        <f t="shared" si="139"/>
        <v>305930.30000000005</v>
      </c>
      <c r="M273" s="50">
        <f t="shared" si="139"/>
        <v>1032821.4999999999</v>
      </c>
      <c r="N273" s="50">
        <f t="shared" si="139"/>
        <v>7440975</v>
      </c>
      <c r="O273" s="50">
        <f t="shared" si="139"/>
        <v>0</v>
      </c>
      <c r="P273" s="50">
        <f t="shared" si="139"/>
        <v>44004826.584599994</v>
      </c>
      <c r="Q273" s="54"/>
      <c r="R273" s="44" t="s">
        <v>17</v>
      </c>
      <c r="S273" s="50">
        <f>SUM(S7:S272)</f>
        <v>51347282</v>
      </c>
      <c r="T273" s="50">
        <f>SUM(T7:T272)</f>
        <v>1070100.02</v>
      </c>
      <c r="U273" s="50">
        <f>SUM(U7:U272)</f>
        <v>51616781.980000004</v>
      </c>
      <c r="V273" s="51"/>
      <c r="W273" s="50">
        <f>SUM(W7:W272)</f>
        <v>-7611955.3954000007</v>
      </c>
    </row>
    <row r="274" spans="1:23" hidden="1" x14ac:dyDescent="0.25">
      <c r="A274" s="34"/>
      <c r="B274" s="16"/>
      <c r="C274" s="16"/>
      <c r="D274" s="115"/>
      <c r="E274" s="16">
        <f>E268+E262+E259+E253+E236+E233+E226+E219+E215+E213+E210+E208+E207+E206+E200+E198+E196+E189+E185+E183+E181+E179+E176+E174+E172+E162+E161+E157+E156+E153+E151+E150+E147+E142+E140+E132+E130+E126+E124+E122+E113+E111+E105+E103+E97+E99+E92+E90+E87+E84+E75+E69+E67+E66+E65+E61+E60+E55+E53+E52+E47+E46+E45+E35+E30+E29+E28+E27+E20+E18+E15+E14+E11+E10</f>
        <v>6920320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55"/>
      <c r="R274" s="45"/>
      <c r="S274" s="16"/>
      <c r="T274" s="48"/>
      <c r="U274" s="16"/>
      <c r="V274" s="52"/>
      <c r="W274" s="16"/>
    </row>
    <row r="275" spans="1:23" hidden="1" x14ac:dyDescent="0.25">
      <c r="A275" s="34"/>
      <c r="B275" s="16"/>
      <c r="C275" s="16"/>
      <c r="D275" s="115"/>
      <c r="E275" s="16">
        <f>E273-E274</f>
        <v>44288804.200000003</v>
      </c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55"/>
      <c r="R275" s="46" t="s">
        <v>18</v>
      </c>
      <c r="S275" s="23"/>
      <c r="T275" s="48"/>
      <c r="U275" s="23">
        <f>P273-U273</f>
        <v>-7611955.39540001</v>
      </c>
      <c r="V275" s="52"/>
      <c r="W275" s="23"/>
    </row>
    <row r="276" spans="1:23" ht="16.5" hidden="1" thickBot="1" x14ac:dyDescent="0.3">
      <c r="A276" s="35"/>
      <c r="B276" s="24"/>
      <c r="C276" s="24"/>
      <c r="D276" s="117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56"/>
      <c r="R276" s="47"/>
      <c r="S276" s="25"/>
      <c r="T276" s="49"/>
      <c r="U276" s="25"/>
      <c r="V276" s="53"/>
      <c r="W276" s="25"/>
    </row>
    <row r="277" spans="1:23" hidden="1" x14ac:dyDescent="0.25"/>
    <row r="278" spans="1:23" hidden="1" x14ac:dyDescent="0.25">
      <c r="O278" s="60">
        <f>P273+L273+726852</f>
        <v>45037608.884599991</v>
      </c>
    </row>
    <row r="279" spans="1:23" hidden="1" x14ac:dyDescent="0.25"/>
    <row r="280" spans="1:23" ht="19.5" hidden="1" thickBot="1" x14ac:dyDescent="0.3">
      <c r="J280" s="162" t="s">
        <v>354</v>
      </c>
      <c r="K280" s="163"/>
      <c r="L280" s="164"/>
      <c r="U280" s="60">
        <f>O278-U273</f>
        <v>-6579173.095400013</v>
      </c>
    </row>
    <row r="281" spans="1:23" ht="19.5" hidden="1" thickBot="1" x14ac:dyDescent="0.3">
      <c r="J281" s="165" t="s">
        <v>385</v>
      </c>
      <c r="K281" s="163"/>
      <c r="L281" s="164"/>
      <c r="U281" s="1">
        <f>1000000</f>
        <v>1000000</v>
      </c>
    </row>
    <row r="282" spans="1:23" ht="16.5" hidden="1" thickBot="1" x14ac:dyDescent="0.3">
      <c r="J282" s="166" t="s">
        <v>201</v>
      </c>
      <c r="K282" s="167"/>
      <c r="L282" s="124">
        <f>K273+L273+M273</f>
        <v>3413972.3</v>
      </c>
      <c r="U282" s="60">
        <f>U280+U281</f>
        <v>-5579173.095400013</v>
      </c>
    </row>
    <row r="283" spans="1:23" ht="16.5" hidden="1" thickBot="1" x14ac:dyDescent="0.3">
      <c r="J283" s="168" t="s">
        <v>198</v>
      </c>
      <c r="K283" s="169"/>
      <c r="L283" s="124">
        <f>U275</f>
        <v>-7611955.39540001</v>
      </c>
    </row>
    <row r="284" spans="1:23" ht="16.5" hidden="1" thickBot="1" x14ac:dyDescent="0.3">
      <c r="J284" s="168" t="s">
        <v>199</v>
      </c>
      <c r="K284" s="169"/>
      <c r="L284" s="125"/>
    </row>
    <row r="285" spans="1:23" ht="16.5" hidden="1" thickBot="1" x14ac:dyDescent="0.3">
      <c r="J285" s="160" t="s">
        <v>200</v>
      </c>
      <c r="K285" s="161"/>
      <c r="L285" s="111">
        <f>N237+N245+N229</f>
        <v>122554</v>
      </c>
    </row>
  </sheetData>
  <autoFilter ref="W1:W285" xr:uid="{00000000-0009-0000-0000-000005000000}">
    <filterColumn colId="0">
      <filters>
        <filter val="-1,03,857.32"/>
        <filter val="-1,17,581.18"/>
        <filter val="-1,44,479.00"/>
        <filter val="-1,87,106.80"/>
        <filter val="-10,78,000.00"/>
        <filter val="-10,96,846.74"/>
        <filter val="-11,673.00"/>
        <filter val="-2,34,338.58"/>
        <filter val="-2,59,525.00"/>
        <filter val="-2,89,301.00"/>
        <filter val="-2,94,000.00"/>
        <filter val="-3,18,500.00"/>
        <filter val="-3,94,000.00"/>
        <filter val="-4,06,000.00"/>
        <filter val="-5,88,000.00"/>
        <filter val="-5,96,750.00"/>
        <filter val="-6,10,156.98"/>
        <filter val="-6,11,119.50"/>
        <filter val="-6,25,308.74"/>
        <filter val="-7,02,361.00"/>
        <filter val="-76,11,955.40"/>
        <filter val="-8,90,090.00"/>
        <filter val="-81,226.20"/>
        <filter val="-9,65,215.00"/>
        <filter val="-9,88,308.24"/>
      </filters>
    </filterColumn>
  </autoFilter>
  <mergeCells count="6">
    <mergeCell ref="J285:K285"/>
    <mergeCell ref="J280:L280"/>
    <mergeCell ref="J281:L281"/>
    <mergeCell ref="J282:K282"/>
    <mergeCell ref="J283:K283"/>
    <mergeCell ref="J284:K284"/>
  </mergeCells>
  <pageMargins left="0.70866141732283472" right="0.70866141732283472" top="0.74803149606299213" bottom="0.74803149606299213" header="0.31496062992125984" footer="0.31496062992125984"/>
  <pageSetup scale="140" orientation="portrait" r:id="rId1"/>
  <colBreaks count="1" manualBreakCount="1">
    <brk id="2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D6:E32"/>
  <sheetViews>
    <sheetView workbookViewId="0">
      <selection activeCell="J10" sqref="J10"/>
    </sheetView>
  </sheetViews>
  <sheetFormatPr defaultRowHeight="15" x14ac:dyDescent="0.25"/>
  <cols>
    <col min="4" max="4" width="76.42578125" bestFit="1" customWidth="1"/>
    <col min="5" max="5" width="17.140625" customWidth="1"/>
  </cols>
  <sheetData>
    <row r="6" spans="4:5" ht="15.75" thickBot="1" x14ac:dyDescent="0.3"/>
    <row r="7" spans="4:5" ht="15.75" thickBot="1" x14ac:dyDescent="0.3">
      <c r="D7" s="138" t="s">
        <v>387</v>
      </c>
      <c r="E7" s="138" t="s">
        <v>388</v>
      </c>
    </row>
    <row r="8" spans="4:5" ht="15.75" x14ac:dyDescent="0.25">
      <c r="D8" s="134" t="s">
        <v>150</v>
      </c>
      <c r="E8" s="135">
        <v>-611119.5</v>
      </c>
    </row>
    <row r="9" spans="4:5" ht="15.75" x14ac:dyDescent="0.25">
      <c r="D9" s="13" t="s">
        <v>154</v>
      </c>
      <c r="E9" s="136">
        <v>-702361</v>
      </c>
    </row>
    <row r="10" spans="4:5" ht="15.75" x14ac:dyDescent="0.25">
      <c r="D10" s="13" t="s">
        <v>153</v>
      </c>
      <c r="E10" s="136">
        <v>-144479</v>
      </c>
    </row>
    <row r="11" spans="4:5" ht="15.75" x14ac:dyDescent="0.25">
      <c r="D11" s="13" t="s">
        <v>155</v>
      </c>
      <c r="E11" s="136">
        <v>-965215</v>
      </c>
    </row>
    <row r="12" spans="4:5" ht="15.75" x14ac:dyDescent="0.25">
      <c r="D12" s="13" t="s">
        <v>162</v>
      </c>
      <c r="E12" s="136">
        <v>-406000</v>
      </c>
    </row>
    <row r="13" spans="4:5" ht="15.75" x14ac:dyDescent="0.25">
      <c r="D13" s="13" t="s">
        <v>169</v>
      </c>
      <c r="E13" s="136">
        <v>-289301</v>
      </c>
    </row>
    <row r="14" spans="4:5" ht="15.75" x14ac:dyDescent="0.25">
      <c r="D14" s="13" t="s">
        <v>172</v>
      </c>
      <c r="E14" s="136">
        <v>-988308.24</v>
      </c>
    </row>
    <row r="15" spans="4:5" ht="15.75" x14ac:dyDescent="0.25">
      <c r="D15" s="13" t="s">
        <v>173</v>
      </c>
      <c r="E15" s="136">
        <v>-1078000</v>
      </c>
    </row>
    <row r="16" spans="4:5" ht="15.75" x14ac:dyDescent="0.25">
      <c r="D16" s="13" t="s">
        <v>174</v>
      </c>
      <c r="E16" s="136">
        <v>-610156.98</v>
      </c>
    </row>
    <row r="17" spans="4:5" ht="15.75" x14ac:dyDescent="0.25">
      <c r="D17" s="13" t="s">
        <v>175</v>
      </c>
      <c r="E17" s="136">
        <v>-187106.79999999981</v>
      </c>
    </row>
    <row r="18" spans="4:5" ht="15.75" x14ac:dyDescent="0.25">
      <c r="D18" s="13" t="s">
        <v>166</v>
      </c>
      <c r="E18" s="136">
        <v>-596750</v>
      </c>
    </row>
    <row r="19" spans="4:5" ht="15.75" x14ac:dyDescent="0.25">
      <c r="D19" s="13" t="s">
        <v>233</v>
      </c>
      <c r="E19" s="136">
        <v>-394000</v>
      </c>
    </row>
    <row r="20" spans="4:5" ht="15.75" x14ac:dyDescent="0.25">
      <c r="D20" s="13" t="s">
        <v>297</v>
      </c>
      <c r="E20" s="136">
        <v>-625308.74</v>
      </c>
    </row>
    <row r="21" spans="4:5" ht="15.75" x14ac:dyDescent="0.25">
      <c r="D21" s="13" t="s">
        <v>341</v>
      </c>
      <c r="E21" s="136">
        <v>-11673</v>
      </c>
    </row>
    <row r="22" spans="4:5" ht="15.75" x14ac:dyDescent="0.25">
      <c r="D22" s="13" t="s">
        <v>295</v>
      </c>
      <c r="E22" s="136">
        <v>-1096846.74</v>
      </c>
    </row>
    <row r="23" spans="4:5" ht="15.75" x14ac:dyDescent="0.25">
      <c r="D23" s="13" t="s">
        <v>317</v>
      </c>
      <c r="E23" s="136">
        <v>-234338.58000000002</v>
      </c>
    </row>
    <row r="24" spans="4:5" ht="15.75" x14ac:dyDescent="0.25">
      <c r="D24" s="13" t="s">
        <v>347</v>
      </c>
      <c r="E24" s="136">
        <v>-81226.200000000012</v>
      </c>
    </row>
    <row r="25" spans="4:5" ht="15.75" x14ac:dyDescent="0.25">
      <c r="D25" s="13" t="s">
        <v>315</v>
      </c>
      <c r="E25" s="136">
        <v>-588000</v>
      </c>
    </row>
    <row r="26" spans="4:5" ht="15.75" x14ac:dyDescent="0.25">
      <c r="D26" s="13" t="s">
        <v>316</v>
      </c>
      <c r="E26" s="136">
        <v>-318500</v>
      </c>
    </row>
    <row r="27" spans="4:5" ht="31.5" x14ac:dyDescent="0.25">
      <c r="D27" s="13" t="s">
        <v>383</v>
      </c>
      <c r="E27" s="136">
        <v>-117581.18</v>
      </c>
    </row>
    <row r="28" spans="4:5" ht="15.75" x14ac:dyDescent="0.25">
      <c r="D28" s="13" t="s">
        <v>355</v>
      </c>
      <c r="E28" s="136">
        <v>-103857.32</v>
      </c>
    </row>
    <row r="29" spans="4:5" ht="15.75" x14ac:dyDescent="0.25">
      <c r="D29" s="13" t="s">
        <v>359</v>
      </c>
      <c r="E29" s="136">
        <v>-890090</v>
      </c>
    </row>
    <row r="30" spans="4:5" ht="15.75" x14ac:dyDescent="0.25">
      <c r="D30" s="13" t="s">
        <v>349</v>
      </c>
      <c r="E30" s="136">
        <v>-294000</v>
      </c>
    </row>
    <row r="31" spans="4:5" ht="15.75" x14ac:dyDescent="0.25">
      <c r="D31" s="13" t="s">
        <v>362</v>
      </c>
      <c r="E31" s="136">
        <v>-259525</v>
      </c>
    </row>
    <row r="32" spans="4:5" ht="15.75" thickBot="1" x14ac:dyDescent="0.3">
      <c r="D32" s="137"/>
      <c r="E32" s="137"/>
    </row>
  </sheetData>
  <pageMargins left="0.31496062992125984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Pune</vt:lpstr>
      <vt:lpstr>Sheet3</vt:lpstr>
      <vt:lpstr>Sheet1</vt:lpstr>
      <vt:lpstr>As per site</vt:lpstr>
      <vt:lpstr>Diif - Pune &amp; Site</vt:lpstr>
      <vt:lpstr>Pune (2)</vt:lpstr>
      <vt:lpstr>Sheet2</vt:lpstr>
      <vt:lpstr>Pune!Print_Area</vt:lpstr>
      <vt:lpstr>'Pune (2)'!Print_Area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2025-01-18T06:18:57Z</cp:lastPrinted>
  <dcterms:created xsi:type="dcterms:W3CDTF">2022-06-10T14:11:52Z</dcterms:created>
  <dcterms:modified xsi:type="dcterms:W3CDTF">2025-05-31T07:23:37Z</dcterms:modified>
</cp:coreProperties>
</file>