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Shahin\Ayansh Infratech - Copy\"/>
    </mc:Choice>
  </mc:AlternateContent>
  <xr:revisionPtr revIDLastSave="0" documentId="13_ncr:1_{98A89C60-97E9-4CEA-BCB1-023D61DFDD7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P20" i="1" s="1"/>
  <c r="O34" i="1"/>
  <c r="O43" i="1" s="1"/>
  <c r="P30" i="1" l="1"/>
  <c r="P29" i="1"/>
  <c r="N27" i="1" l="1"/>
  <c r="P26" i="1"/>
  <c r="V24" i="1"/>
  <c r="N24" i="1"/>
  <c r="P19" i="1"/>
  <c r="X22" i="1" s="1"/>
  <c r="P10" i="1"/>
  <c r="P11" i="1"/>
  <c r="V11" i="1" l="1"/>
  <c r="V12" i="1"/>
  <c r="V8" i="1"/>
  <c r="S13" i="1"/>
  <c r="V13" i="1" s="1"/>
  <c r="F28" i="1" l="1"/>
  <c r="E28" i="1"/>
  <c r="E9" i="1"/>
  <c r="G28" i="1" l="1"/>
  <c r="H28" i="1" s="1"/>
  <c r="N28" i="1" s="1"/>
  <c r="I44" i="1"/>
  <c r="G42" i="1"/>
  <c r="I42" i="1" s="1"/>
  <c r="G41" i="1"/>
  <c r="I41" i="1" s="1"/>
  <c r="S10" i="1"/>
  <c r="V10" i="1" s="1"/>
  <c r="I43" i="1" l="1"/>
  <c r="I45" i="1" s="1"/>
  <c r="J28" i="1"/>
  <c r="K28" i="1"/>
  <c r="I28" i="1"/>
  <c r="S9" i="1"/>
  <c r="V9" i="1" s="1"/>
  <c r="V34" i="1" s="1"/>
  <c r="P28" i="1" l="1"/>
  <c r="X31" i="1" s="1"/>
  <c r="I10" i="1"/>
  <c r="G9" i="1"/>
  <c r="G8" i="1"/>
  <c r="H8" i="1" s="1"/>
  <c r="H9" i="1" l="1"/>
  <c r="N9" i="1" s="1"/>
  <c r="J9" i="1"/>
  <c r="K9" i="1"/>
  <c r="L8" i="1"/>
  <c r="L34" i="1" s="1"/>
  <c r="M8" i="1"/>
  <c r="M34" i="1" s="1"/>
  <c r="K8" i="1"/>
  <c r="J8" i="1"/>
  <c r="N8" i="1"/>
  <c r="K34" i="1" l="1"/>
  <c r="O42" i="1" s="1"/>
  <c r="J34" i="1"/>
  <c r="N34" i="1"/>
  <c r="O45" i="1" s="1"/>
  <c r="I9" i="1"/>
  <c r="I8" i="1"/>
  <c r="P8" i="1" s="1"/>
  <c r="P9" i="1" l="1"/>
  <c r="P34" i="1" s="1"/>
  <c r="V36" i="1" s="1"/>
  <c r="O44" i="1" s="1"/>
  <c r="X14" i="1" l="1"/>
  <c r="X36" i="1" s="1"/>
</calcChain>
</file>

<file path=xl/sharedStrings.xml><?xml version="1.0" encoding="utf-8"?>
<sst xmlns="http://schemas.openxmlformats.org/spreadsheetml/2006/main" count="111" uniqueCount="98">
  <si>
    <t>Amount</t>
  </si>
  <si>
    <t>PAYMENT NOTE No.</t>
  </si>
  <si>
    <t>UTR</t>
  </si>
  <si>
    <t>SD (5%)</t>
  </si>
  <si>
    <t>Advance paid</t>
  </si>
  <si>
    <t>Pipeline laying work</t>
  </si>
  <si>
    <t>Total Paid Amount Rs.-</t>
  </si>
  <si>
    <t>Balance Payable Amount Rs.-</t>
  </si>
  <si>
    <t>Hold Amount for excess Qty. against DPR</t>
  </si>
  <si>
    <t>Ayansh Infratech</t>
  </si>
  <si>
    <t>Rangana Village Pipeline laying work</t>
  </si>
  <si>
    <t>23-01-2023 NEFT/AXISP00356620216/RIUP22/1905/AYANSH INFRATEC ₹ 3,84,262.00</t>
  </si>
  <si>
    <t>RIUP22/1905</t>
  </si>
  <si>
    <t>07-02-2023 NEFT/AXISP00361424977/RIUP22/2128/AYANSH INFRATEC ₹ 49,500.00</t>
  </si>
  <si>
    <t>RIUP22/2128</t>
  </si>
  <si>
    <t>11-04-2023 NEFT/AXISP00380905276/SPUP23/0080/AYANSH INFRATEC 29700.00</t>
  </si>
  <si>
    <t>SPUP23/0080</t>
  </si>
  <si>
    <t>ITEM</t>
  </si>
  <si>
    <t>DPR</t>
  </si>
  <si>
    <t>CUM</t>
  </si>
  <si>
    <t>EXCESS</t>
  </si>
  <si>
    <t>RATE</t>
  </si>
  <si>
    <t>AMT</t>
  </si>
  <si>
    <t>R BOE</t>
  </si>
  <si>
    <t>R IL</t>
  </si>
  <si>
    <t>Hold amt</t>
  </si>
  <si>
    <t>Already hold</t>
  </si>
  <si>
    <t>To be hold in this bill</t>
  </si>
  <si>
    <t>GST Release Note</t>
  </si>
  <si>
    <t>22-06-2023 NEFT/AXISP00400190423/RIUP23/793/AYANSH INFRATECH 114474.00</t>
  </si>
  <si>
    <t>RIUP23/793</t>
  </si>
  <si>
    <t>27-06-2023 NEFT/AXISP00401014824/RIUP23/799/AYANSH INFRATECH 119078.00</t>
  </si>
  <si>
    <t>Kabberpur Ahatmali Village Pipeline laying work</t>
  </si>
  <si>
    <t>RIUP22/1469</t>
  </si>
  <si>
    <t>12-12-2022 NEFT/AXISP00345431084/RIUP22/1469/AYANSH INFRATEC 222336.00</t>
  </si>
  <si>
    <t>RIUP22/1530</t>
  </si>
  <si>
    <t>15-12-2022 NEFT/AXISP00346642898/RIUP22/1530/AYANSH INFRATEC 50000.00</t>
  </si>
  <si>
    <t>GST relase note</t>
  </si>
  <si>
    <t>RIUP22/2392</t>
  </si>
  <si>
    <t>01-03-2023 NEFT/AXISP00367214842/RIUP22/2392/AYANSH INFRATEC 39600.00</t>
  </si>
  <si>
    <t>SPUP23/0107</t>
  </si>
  <si>
    <t>14-04-2023 14-04-2023 NEFT/AXISP00381847059/SPUP23/0107/AYANSH INFRATEC 76692.00</t>
  </si>
  <si>
    <t>RIUP22/2749</t>
  </si>
  <si>
    <t>27-03-2023 NEFT/AXISP00374606829/RIUP22/2749/AYANSH INFRATEC 49500.00</t>
  </si>
  <si>
    <t>RIUP23/207</t>
  </si>
  <si>
    <t>12-05-2023 NEFT/AXISP00389894113/RIUP23/207/AYANSH INFRATECH 5424.00</t>
  </si>
  <si>
    <t>RIUP23/630</t>
  </si>
  <si>
    <t>13-06-2023 NEFT/AXISP00398036696/RIUP23/630/AYANSH INFRATECH 39600.00</t>
  </si>
  <si>
    <t>Chhatela Urf Jainpur Village Pipeline laying work</t>
  </si>
  <si>
    <t>RIUP22/1074</t>
  </si>
  <si>
    <t>20-10-2022 NEFT/AXISP00330319205/RIUP22/1074/AYANSH INFRATEC 357953.00</t>
  </si>
  <si>
    <t>Hold Amount Release Note</t>
  </si>
  <si>
    <t>RIUP22/1529</t>
  </si>
  <si>
    <t>15-12-2022 NEFT/AXISP00346642897/RIUP22/1529/AYANSH INFRATEC 40116.00</t>
  </si>
  <si>
    <t>GS T Release Note</t>
  </si>
  <si>
    <t>RIUP22/2018</t>
  </si>
  <si>
    <t>31-01-2023 NEFT/AXISP00358425195/RIUP22/2018/AYANSH INFRATEC 90699.00</t>
  </si>
  <si>
    <t xml:space="preserve">30-05-2023 NEFT/AXISP00393348672/RIUP23/442/AYANSH INFRATECH 99000.00  </t>
  </si>
  <si>
    <t>28-07-2023 NEFT/AXISP00410054451/RIUP23/1256/AYANSH INFRATEC 49500.00</t>
  </si>
  <si>
    <t>RIUP23/442</t>
  </si>
  <si>
    <t>RIUP23/799</t>
  </si>
  <si>
    <t>RIUP23/1256</t>
  </si>
  <si>
    <t>remark</t>
  </si>
  <si>
    <t>44436-Hold the payment because contractor left the work.-by Sanjay patel</t>
  </si>
  <si>
    <t>withheld amount release</t>
  </si>
  <si>
    <t>02-08-2023 NEFT/AXISP00411992210/RIUP23/1273/AYANSH INFRATEC 91647.00 ( Difference on TDS )</t>
  </si>
  <si>
    <t>20-12-2023 NEFT/AXISP00454416134/RIUP23/3844/AYANSH INFRATECH/IBKL0000169 37229.00</t>
  </si>
  <si>
    <t xml:space="preserve">Total Hold </t>
  </si>
  <si>
    <t>Advance/ Surplus</t>
  </si>
  <si>
    <t xml:space="preserve">           </t>
  </si>
  <si>
    <t>22.7.24 - Girija Joshi</t>
  </si>
  <si>
    <t>DPR Excess  Debit</t>
  </si>
  <si>
    <t>GST Remaining</t>
  </si>
  <si>
    <t>Total Paid</t>
  </si>
  <si>
    <t>Balance Payable</t>
  </si>
  <si>
    <t>Uttar Pradesh</t>
  </si>
  <si>
    <t>Shamli</t>
  </si>
  <si>
    <t>Subcontractor:</t>
  </si>
  <si>
    <t>State:</t>
  </si>
  <si>
    <t>District: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</si>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</sst>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2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8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43" fontId="0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43" fontId="0" fillId="2" borderId="7" xfId="1" applyNumberFormat="1" applyFont="1" applyFill="1" applyBorder="1" applyAlignment="1">
      <alignment horizontal="center" vertical="center"/>
    </xf>
    <xf numFmtId="43" fontId="7" fillId="2" borderId="0" xfId="1" applyNumberFormat="1" applyFont="1" applyFill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165" fontId="6" fillId="2" borderId="5" xfId="0" applyNumberFormat="1" applyFont="1" applyFill="1" applyBorder="1" applyAlignment="1">
      <alignment vertical="center"/>
    </xf>
    <xf numFmtId="165" fontId="6" fillId="2" borderId="14" xfId="0" applyNumberFormat="1" applyFont="1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43" fontId="3" fillId="0" borderId="8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3" fillId="3" borderId="8" xfId="0" applyFont="1" applyFill="1" applyBorder="1" applyAlignment="1">
      <alignment horizontal="center" vertical="center" wrapText="1"/>
    </xf>
    <xf numFmtId="15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8" fillId="0" borderId="8" xfId="0" applyFont="1" applyBorder="1"/>
    <xf numFmtId="43" fontId="3" fillId="2" borderId="8" xfId="1" applyNumberFormat="1" applyFont="1" applyFill="1" applyBorder="1" applyAlignment="1">
      <alignment horizontal="right"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5" fillId="2" borderId="15" xfId="1" applyNumberFormat="1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43" fontId="10" fillId="4" borderId="8" xfId="1" applyNumberFormat="1" applyFont="1" applyFill="1" applyBorder="1" applyAlignment="1">
      <alignment vertical="center"/>
    </xf>
    <xf numFmtId="43" fontId="7" fillId="2" borderId="0" xfId="1" applyNumberFormat="1" applyFont="1" applyFill="1" applyAlignment="1">
      <alignment horizontal="right" vertical="center"/>
    </xf>
    <xf numFmtId="14" fontId="9" fillId="2" borderId="3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14" fontId="9" fillId="2" borderId="1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3" fontId="2" fillId="2" borderId="2" xfId="1" applyNumberFormat="1" applyFont="1" applyFill="1" applyBorder="1" applyAlignment="1">
      <alignment vertical="center"/>
    </xf>
    <xf numFmtId="0" fontId="6" fillId="0" borderId="0" xfId="0" applyFont="1"/>
    <xf numFmtId="0" fontId="6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11" fillId="2" borderId="15" xfId="1" applyFont="1" applyFill="1" applyBorder="1" applyAlignment="1">
      <alignment horizontal="center" vertical="center"/>
    </xf>
    <xf numFmtId="164" fontId="6" fillId="2" borderId="1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V8" sqref="V8"/>
    </sheetView>
  </sheetViews>
  <sheetFormatPr defaultColWidth="9" defaultRowHeight="24.95" customHeight="1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6" width="13.28515625" style="3" customWidth="1"/>
    <col min="7" max="7" width="15.42578125" style="3" bestFit="1" customWidth="1"/>
    <col min="8" max="8" width="14.7109375" style="16" customWidth="1"/>
    <col min="9" max="9" width="12.85546875" style="16" bestFit="1" customWidth="1"/>
    <col min="10" max="10" width="10.7109375" style="3" bestFit="1" customWidth="1"/>
    <col min="11" max="11" width="11.85546875" style="3" bestFit="1" customWidth="1"/>
    <col min="12" max="12" width="11.7109375" style="3" customWidth="1"/>
    <col min="13" max="13" width="10.42578125" style="3" customWidth="1"/>
    <col min="14" max="16" width="14.85546875" style="3" customWidth="1"/>
    <col min="17" max="17" width="9.28515625" style="3" customWidth="1"/>
    <col min="18" max="18" width="21" style="3" customWidth="1"/>
    <col min="19" max="19" width="27.42578125" style="3" customWidth="1"/>
    <col min="20" max="20" width="30.5703125" style="3" customWidth="1"/>
    <col min="21" max="21" width="18.28515625" style="3" customWidth="1"/>
    <col min="22" max="22" width="14" style="3" customWidth="1"/>
    <col min="23" max="23" width="95.7109375" style="3" bestFit="1" customWidth="1"/>
    <col min="24" max="24" width="13.28515625" style="3" customWidth="1"/>
    <col min="25" max="16384" width="9" style="3"/>
  </cols>
  <sheetData>
    <row r="1" spans="1:24" ht="24.95" customHeight="1" thickBot="1" x14ac:dyDescent="0.3">
      <c r="A1" s="65" t="s">
        <v>77</v>
      </c>
      <c r="B1" s="2" t="s">
        <v>9</v>
      </c>
      <c r="E1" s="4"/>
      <c r="F1" s="4"/>
      <c r="G1" s="4"/>
      <c r="H1" s="5"/>
      <c r="I1" s="5"/>
    </row>
    <row r="2" spans="1:24" ht="24.95" customHeight="1" thickBot="1" x14ac:dyDescent="0.3">
      <c r="A2" s="65" t="s">
        <v>78</v>
      </c>
      <c r="B2" s="6" t="s">
        <v>75</v>
      </c>
      <c r="C2" s="7"/>
      <c r="D2" s="7" t="s">
        <v>9</v>
      </c>
      <c r="H2" s="17" t="s">
        <v>5</v>
      </c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4" ht="24.95" customHeight="1" thickBot="1" x14ac:dyDescent="0.3">
      <c r="A3" s="65" t="s">
        <v>79</v>
      </c>
      <c r="B3" s="64" t="s">
        <v>76</v>
      </c>
      <c r="C3" s="7"/>
      <c r="D3" s="7"/>
      <c r="H3" s="17"/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4" ht="24.95" customHeight="1" thickBot="1" x14ac:dyDescent="0.3">
      <c r="A4" s="65" t="s">
        <v>80</v>
      </c>
      <c r="B4" s="10" t="s">
        <v>76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Q4" s="9"/>
      <c r="R4" s="12"/>
      <c r="S4" s="12"/>
      <c r="T4" s="12"/>
      <c r="U4" s="12"/>
      <c r="V4" s="12"/>
      <c r="W4" s="12"/>
    </row>
    <row r="5" spans="1:24" ht="24.95" customHeight="1" x14ac:dyDescent="0.25">
      <c r="A5" s="66" t="s">
        <v>81</v>
      </c>
      <c r="B5" s="67" t="s">
        <v>82</v>
      </c>
      <c r="C5" s="68" t="s">
        <v>83</v>
      </c>
      <c r="D5" s="69" t="s">
        <v>84</v>
      </c>
      <c r="E5" s="67" t="s">
        <v>85</v>
      </c>
      <c r="F5" s="67" t="s">
        <v>86</v>
      </c>
      <c r="G5" s="69" t="s">
        <v>87</v>
      </c>
      <c r="H5" s="70" t="s">
        <v>88</v>
      </c>
      <c r="I5" s="71" t="s">
        <v>0</v>
      </c>
      <c r="J5" s="67" t="s">
        <v>89</v>
      </c>
      <c r="K5" s="67" t="s">
        <v>90</v>
      </c>
      <c r="L5" s="67" t="s">
        <v>91</v>
      </c>
      <c r="M5" s="67" t="s">
        <v>92</v>
      </c>
      <c r="N5" s="67" t="s">
        <v>93</v>
      </c>
      <c r="O5" s="32" t="s">
        <v>8</v>
      </c>
      <c r="P5" s="32" t="s">
        <v>94</v>
      </c>
      <c r="Q5" s="32" t="s">
        <v>1</v>
      </c>
      <c r="R5" s="67" t="s">
        <v>95</v>
      </c>
      <c r="S5" s="67" t="s">
        <v>96</v>
      </c>
      <c r="T5" s="32" t="s">
        <v>3</v>
      </c>
      <c r="U5" s="32" t="s">
        <v>4</v>
      </c>
      <c r="V5" s="67" t="s">
        <v>97</v>
      </c>
      <c r="W5" s="67" t="s">
        <v>2</v>
      </c>
      <c r="X5" s="3" t="s">
        <v>62</v>
      </c>
    </row>
    <row r="6" spans="1:24" ht="24.95" customHeight="1" thickBot="1" x14ac:dyDescent="0.3">
      <c r="A6" s="51"/>
      <c r="B6" s="15"/>
      <c r="C6" s="15"/>
      <c r="D6" s="15"/>
      <c r="E6" s="15"/>
      <c r="F6" s="15"/>
      <c r="G6" s="15"/>
      <c r="H6" s="15"/>
      <c r="I6" s="15"/>
      <c r="J6" s="52">
        <v>0.01</v>
      </c>
      <c r="K6" s="52">
        <v>0.05</v>
      </c>
      <c r="L6" s="52">
        <v>0.1</v>
      </c>
      <c r="M6" s="52">
        <v>0.1</v>
      </c>
      <c r="N6" s="15"/>
      <c r="O6" s="15"/>
      <c r="P6" s="15"/>
      <c r="Q6" s="15"/>
      <c r="R6" s="15"/>
      <c r="S6" s="52">
        <v>0.01</v>
      </c>
      <c r="T6" s="52">
        <v>0.05</v>
      </c>
      <c r="U6" s="15"/>
      <c r="V6" s="15"/>
      <c r="W6" s="15"/>
    </row>
    <row r="7" spans="1:24" s="25" customFormat="1" ht="24.95" customHeight="1" x14ac:dyDescent="0.25">
      <c r="A7" s="50"/>
      <c r="B7" s="26"/>
      <c r="C7" s="26"/>
      <c r="D7" s="26"/>
      <c r="E7" s="26"/>
      <c r="F7" s="26"/>
      <c r="G7" s="26"/>
      <c r="H7" s="26"/>
      <c r="I7" s="26"/>
      <c r="J7" s="28"/>
      <c r="K7" s="28"/>
      <c r="L7" s="28"/>
      <c r="M7" s="28"/>
      <c r="N7" s="26"/>
      <c r="O7" s="26"/>
      <c r="P7" s="26"/>
      <c r="Q7" s="26"/>
      <c r="R7" s="26"/>
      <c r="S7" s="28"/>
      <c r="T7" s="28"/>
      <c r="U7" s="26"/>
      <c r="V7" s="26"/>
      <c r="W7" s="26"/>
    </row>
    <row r="8" spans="1:24" ht="24.95" customHeight="1" x14ac:dyDescent="0.25">
      <c r="A8" s="33">
        <v>54506</v>
      </c>
      <c r="B8" s="35" t="s">
        <v>10</v>
      </c>
      <c r="C8" s="18">
        <v>44939</v>
      </c>
      <c r="D8" s="36">
        <v>3</v>
      </c>
      <c r="E8" s="37">
        <v>635969</v>
      </c>
      <c r="F8" s="37">
        <v>0</v>
      </c>
      <c r="G8" s="37">
        <f>E8-F8</f>
        <v>635969</v>
      </c>
      <c r="H8" s="37">
        <f>ROUND(G8*18%,)</f>
        <v>114474</v>
      </c>
      <c r="I8" s="37">
        <f>ROUND(G8+H8,)</f>
        <v>750443</v>
      </c>
      <c r="J8" s="37">
        <f>ROUND(G8*J6,)</f>
        <v>6360</v>
      </c>
      <c r="K8" s="37">
        <f>ROUND(G8*5%,)</f>
        <v>31798</v>
      </c>
      <c r="L8" s="37">
        <f>ROUND(G8*10%,)</f>
        <v>63597</v>
      </c>
      <c r="M8" s="37">
        <f>ROUND(G8*10%,)</f>
        <v>63597</v>
      </c>
      <c r="N8" s="53">
        <f>H8</f>
        <v>114474</v>
      </c>
      <c r="O8" s="37">
        <v>86355</v>
      </c>
      <c r="P8" s="37">
        <f>I8-SUM(J8:O8)</f>
        <v>384262</v>
      </c>
      <c r="Q8" s="13" t="s">
        <v>12</v>
      </c>
      <c r="R8" s="13">
        <v>384262</v>
      </c>
      <c r="S8" s="13">
        <v>0</v>
      </c>
      <c r="T8" s="13">
        <v>0</v>
      </c>
      <c r="U8" s="13">
        <v>0</v>
      </c>
      <c r="V8" s="13">
        <f>R8-S8</f>
        <v>384262</v>
      </c>
      <c r="W8" s="38" t="s">
        <v>11</v>
      </c>
    </row>
    <row r="9" spans="1:24" ht="24.95" customHeight="1" x14ac:dyDescent="0.25">
      <c r="A9" s="33">
        <v>54506</v>
      </c>
      <c r="B9" s="35" t="s">
        <v>10</v>
      </c>
      <c r="C9" s="1">
        <v>45090</v>
      </c>
      <c r="D9" s="39">
        <v>6</v>
      </c>
      <c r="E9" s="13">
        <f>221374.05+25490.54</f>
        <v>246864.59</v>
      </c>
      <c r="F9" s="13">
        <v>0</v>
      </c>
      <c r="G9" s="13">
        <f>E9-F9</f>
        <v>246864.59</v>
      </c>
      <c r="H9" s="37">
        <f>ROUND(G9*18%,)</f>
        <v>44436</v>
      </c>
      <c r="I9" s="13">
        <f>G9+H9</f>
        <v>291300.58999999997</v>
      </c>
      <c r="J9" s="13">
        <f>J6*G9</f>
        <v>2468.6459</v>
      </c>
      <c r="K9" s="37">
        <f>ROUND(G9*5%,)</f>
        <v>12343</v>
      </c>
      <c r="L9" s="37"/>
      <c r="M9" s="37"/>
      <c r="N9" s="53">
        <f>H9</f>
        <v>44436</v>
      </c>
      <c r="O9" s="37">
        <v>33774.1</v>
      </c>
      <c r="P9" s="13">
        <f>I9-SUM(J9:O9)</f>
        <v>198278.84409999996</v>
      </c>
      <c r="Q9" s="13" t="s">
        <v>14</v>
      </c>
      <c r="R9" s="13">
        <v>50000</v>
      </c>
      <c r="S9" s="13">
        <f>R9*S6</f>
        <v>500</v>
      </c>
      <c r="T9" s="13">
        <v>0</v>
      </c>
      <c r="U9" s="13">
        <v>0</v>
      </c>
      <c r="V9" s="13">
        <f t="shared" ref="V9:V13" si="0">R9-S9</f>
        <v>49500</v>
      </c>
      <c r="W9" s="38" t="s">
        <v>13</v>
      </c>
    </row>
    <row r="10" spans="1:24" ht="24.95" customHeight="1" x14ac:dyDescent="0.25">
      <c r="A10" s="33">
        <v>54506</v>
      </c>
      <c r="B10" s="35" t="s">
        <v>28</v>
      </c>
      <c r="C10" s="1">
        <v>45093</v>
      </c>
      <c r="D10" s="39">
        <v>3</v>
      </c>
      <c r="E10" s="13">
        <v>114474</v>
      </c>
      <c r="F10" s="13">
        <v>0</v>
      </c>
      <c r="G10" s="13"/>
      <c r="H10" s="13">
        <v>0</v>
      </c>
      <c r="I10" s="13">
        <f>G10+H10</f>
        <v>0</v>
      </c>
      <c r="J10" s="13">
        <v>0</v>
      </c>
      <c r="K10" s="13"/>
      <c r="L10" s="13"/>
      <c r="M10" s="13"/>
      <c r="N10" s="13"/>
      <c r="O10" s="13"/>
      <c r="P10" s="53">
        <f>E10</f>
        <v>114474</v>
      </c>
      <c r="Q10" s="13" t="s">
        <v>16</v>
      </c>
      <c r="R10" s="13">
        <v>30000</v>
      </c>
      <c r="S10" s="13">
        <f>R10*S6</f>
        <v>300</v>
      </c>
      <c r="T10" s="13"/>
      <c r="U10" s="13"/>
      <c r="V10" s="13">
        <f t="shared" si="0"/>
        <v>29700</v>
      </c>
      <c r="W10" s="38" t="s">
        <v>15</v>
      </c>
    </row>
    <row r="11" spans="1:24" ht="24.95" customHeight="1" x14ac:dyDescent="0.25">
      <c r="A11" s="33">
        <v>54506</v>
      </c>
      <c r="B11" s="35" t="s">
        <v>28</v>
      </c>
      <c r="C11" s="1">
        <v>45275</v>
      </c>
      <c r="D11" s="39">
        <v>6</v>
      </c>
      <c r="E11" s="13">
        <v>44436</v>
      </c>
      <c r="F11" s="13">
        <v>0</v>
      </c>
      <c r="G11" s="13"/>
      <c r="H11" s="13">
        <v>0</v>
      </c>
      <c r="I11" s="13"/>
      <c r="J11" s="13"/>
      <c r="K11" s="13">
        <v>0</v>
      </c>
      <c r="L11" s="13"/>
      <c r="M11" s="13"/>
      <c r="N11" s="13">
        <v>0</v>
      </c>
      <c r="O11" s="13"/>
      <c r="P11" s="53">
        <f>E11</f>
        <v>44436</v>
      </c>
      <c r="Q11" s="13" t="s">
        <v>30</v>
      </c>
      <c r="R11" s="13">
        <v>114474</v>
      </c>
      <c r="S11" s="13">
        <v>0</v>
      </c>
      <c r="T11" s="13"/>
      <c r="U11" s="13">
        <v>0</v>
      </c>
      <c r="V11" s="13">
        <f t="shared" si="0"/>
        <v>114474</v>
      </c>
      <c r="W11" s="38" t="s">
        <v>29</v>
      </c>
    </row>
    <row r="12" spans="1:24" ht="24.95" customHeight="1" x14ac:dyDescent="0.25">
      <c r="A12" s="33">
        <v>54506</v>
      </c>
      <c r="B12" s="35"/>
      <c r="C12" s="1"/>
      <c r="D12" s="3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 t="s">
        <v>60</v>
      </c>
      <c r="R12" s="13">
        <v>119078</v>
      </c>
      <c r="S12" s="13"/>
      <c r="T12" s="13"/>
      <c r="U12" s="13"/>
      <c r="V12" s="13">
        <f t="shared" si="0"/>
        <v>119078</v>
      </c>
      <c r="W12" s="38" t="s">
        <v>31</v>
      </c>
    </row>
    <row r="13" spans="1:24" ht="24.95" customHeight="1" x14ac:dyDescent="0.25">
      <c r="A13" s="33">
        <v>54506</v>
      </c>
      <c r="B13" s="35"/>
      <c r="C13" s="1"/>
      <c r="D13" s="3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 t="s">
        <v>61</v>
      </c>
      <c r="R13" s="13">
        <v>50000</v>
      </c>
      <c r="S13" s="13">
        <f>R13*S6</f>
        <v>500</v>
      </c>
      <c r="T13" s="13"/>
      <c r="U13" s="13"/>
      <c r="V13" s="13">
        <f t="shared" si="0"/>
        <v>49500</v>
      </c>
      <c r="W13" s="38" t="s">
        <v>58</v>
      </c>
    </row>
    <row r="14" spans="1:24" ht="24.95" customHeight="1" x14ac:dyDescent="0.25">
      <c r="A14" s="33">
        <v>54506</v>
      </c>
      <c r="B14" s="35"/>
      <c r="C14" s="1"/>
      <c r="D14" s="3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40" t="s">
        <v>63</v>
      </c>
      <c r="X14" s="24">
        <f>SUM(P8:P14)-SUM(V8:V14)</f>
        <v>-5063.1559000000125</v>
      </c>
    </row>
    <row r="15" spans="1:24" s="25" customFormat="1" ht="24.95" customHeight="1" x14ac:dyDescent="0.25">
      <c r="A15" s="34"/>
      <c r="B15" s="41"/>
      <c r="C15" s="42"/>
      <c r="D15" s="43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34"/>
    </row>
    <row r="16" spans="1:24" ht="24.95" customHeight="1" x14ac:dyDescent="0.25">
      <c r="A16" s="33">
        <v>53638</v>
      </c>
      <c r="B16" s="35" t="s">
        <v>32</v>
      </c>
      <c r="C16" s="1">
        <v>44897</v>
      </c>
      <c r="D16" s="39">
        <v>2</v>
      </c>
      <c r="E16" s="13">
        <v>426066</v>
      </c>
      <c r="F16" s="13">
        <v>0</v>
      </c>
      <c r="G16" s="13">
        <v>426066</v>
      </c>
      <c r="H16" s="13">
        <v>76692</v>
      </c>
      <c r="I16" s="13">
        <v>502758</v>
      </c>
      <c r="J16" s="13">
        <v>4261</v>
      </c>
      <c r="K16" s="13">
        <v>21303</v>
      </c>
      <c r="L16" s="13">
        <v>42607</v>
      </c>
      <c r="M16" s="13">
        <v>42607</v>
      </c>
      <c r="N16" s="53">
        <v>76692</v>
      </c>
      <c r="O16" s="13">
        <v>92952</v>
      </c>
      <c r="P16" s="13">
        <v>222336</v>
      </c>
      <c r="Q16" s="13" t="s">
        <v>33</v>
      </c>
      <c r="R16" s="13">
        <v>222336</v>
      </c>
      <c r="S16" s="13">
        <v>0</v>
      </c>
      <c r="T16" s="13">
        <v>0</v>
      </c>
      <c r="U16" s="13">
        <v>0</v>
      </c>
      <c r="V16" s="13">
        <v>222336</v>
      </c>
      <c r="W16" s="38" t="s">
        <v>34</v>
      </c>
    </row>
    <row r="17" spans="1:24" ht="24.95" customHeight="1" x14ac:dyDescent="0.25">
      <c r="A17" s="33">
        <v>53638</v>
      </c>
      <c r="B17" s="35" t="s">
        <v>32</v>
      </c>
      <c r="C17" s="1">
        <v>45001</v>
      </c>
      <c r="D17" s="39">
        <v>4</v>
      </c>
      <c r="E17" s="13">
        <v>127734</v>
      </c>
      <c r="F17" s="13">
        <v>0</v>
      </c>
      <c r="G17" s="13">
        <v>127734</v>
      </c>
      <c r="H17" s="13">
        <v>22992</v>
      </c>
      <c r="I17" s="13">
        <v>150726</v>
      </c>
      <c r="J17" s="13">
        <v>1277</v>
      </c>
      <c r="K17" s="13">
        <v>6387</v>
      </c>
      <c r="L17" s="13">
        <v>12773</v>
      </c>
      <c r="M17" s="13">
        <v>12773</v>
      </c>
      <c r="N17" s="53">
        <v>22992</v>
      </c>
      <c r="O17" s="13"/>
      <c r="P17" s="13">
        <v>94524</v>
      </c>
      <c r="Q17" s="13" t="s">
        <v>35</v>
      </c>
      <c r="R17" s="13">
        <v>50000</v>
      </c>
      <c r="S17" s="13">
        <v>0</v>
      </c>
      <c r="T17" s="13">
        <v>0</v>
      </c>
      <c r="U17" s="13">
        <v>0</v>
      </c>
      <c r="V17" s="13">
        <v>50000</v>
      </c>
      <c r="W17" s="38" t="s">
        <v>36</v>
      </c>
    </row>
    <row r="18" spans="1:24" ht="24.95" customHeight="1" x14ac:dyDescent="0.25">
      <c r="A18" s="33">
        <v>53638</v>
      </c>
      <c r="B18" s="35" t="s">
        <v>37</v>
      </c>
      <c r="C18" s="1"/>
      <c r="D18" s="39">
        <v>2</v>
      </c>
      <c r="E18" s="13">
        <v>76692</v>
      </c>
      <c r="F18" s="13"/>
      <c r="G18" s="13">
        <v>76692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53">
        <v>76692</v>
      </c>
      <c r="Q18" s="13" t="s">
        <v>38</v>
      </c>
      <c r="R18" s="13">
        <v>40000</v>
      </c>
      <c r="S18" s="13">
        <v>400</v>
      </c>
      <c r="T18" s="13">
        <v>0</v>
      </c>
      <c r="U18" s="13">
        <v>0</v>
      </c>
      <c r="V18" s="13">
        <v>39600</v>
      </c>
      <c r="W18" s="38" t="s">
        <v>39</v>
      </c>
    </row>
    <row r="19" spans="1:24" ht="24.95" customHeight="1" x14ac:dyDescent="0.25">
      <c r="A19" s="33">
        <v>53638</v>
      </c>
      <c r="B19" s="35" t="s">
        <v>64</v>
      </c>
      <c r="C19" s="1">
        <v>45275</v>
      </c>
      <c r="D19" s="39">
        <v>2</v>
      </c>
      <c r="E19" s="13">
        <v>50000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/>
      <c r="M19" s="13"/>
      <c r="N19" s="13">
        <v>0</v>
      </c>
      <c r="O19" s="13"/>
      <c r="P19" s="13">
        <f>E19</f>
        <v>50000</v>
      </c>
      <c r="Q19" s="13" t="s">
        <v>40</v>
      </c>
      <c r="R19" s="13">
        <v>76692</v>
      </c>
      <c r="S19" s="13">
        <v>0</v>
      </c>
      <c r="T19" s="13"/>
      <c r="U19" s="13">
        <v>0</v>
      </c>
      <c r="V19" s="13">
        <v>76692</v>
      </c>
      <c r="W19" s="38" t="s">
        <v>41</v>
      </c>
    </row>
    <row r="20" spans="1:24" ht="24.95" customHeight="1" x14ac:dyDescent="0.25">
      <c r="A20" s="33">
        <v>53638</v>
      </c>
      <c r="B20" s="35" t="s">
        <v>37</v>
      </c>
      <c r="C20" s="1"/>
      <c r="D20" s="39">
        <v>4</v>
      </c>
      <c r="E20" s="13">
        <f>N17</f>
        <v>22992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53">
        <f>E20</f>
        <v>22992</v>
      </c>
      <c r="Q20" s="13" t="s">
        <v>42</v>
      </c>
      <c r="R20" s="13">
        <v>50000</v>
      </c>
      <c r="S20" s="13">
        <v>500</v>
      </c>
      <c r="T20" s="13">
        <v>0</v>
      </c>
      <c r="U20" s="13">
        <v>0</v>
      </c>
      <c r="V20" s="13">
        <v>49500</v>
      </c>
      <c r="W20" s="38" t="s">
        <v>43</v>
      </c>
    </row>
    <row r="21" spans="1:24" ht="24.95" customHeight="1" x14ac:dyDescent="0.25">
      <c r="A21" s="33">
        <v>53638</v>
      </c>
      <c r="B21" s="35"/>
      <c r="C21" s="1"/>
      <c r="D21" s="39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 t="s">
        <v>44</v>
      </c>
      <c r="R21" s="13">
        <v>5424</v>
      </c>
      <c r="S21" s="13">
        <v>0</v>
      </c>
      <c r="T21" s="13"/>
      <c r="U21" s="13">
        <v>0</v>
      </c>
      <c r="V21" s="13">
        <v>5424</v>
      </c>
      <c r="W21" s="38" t="s">
        <v>45</v>
      </c>
    </row>
    <row r="22" spans="1:24" ht="24.95" customHeight="1" x14ac:dyDescent="0.25">
      <c r="A22" s="33">
        <v>53638</v>
      </c>
      <c r="B22" s="35"/>
      <c r="C22" s="1"/>
      <c r="D22" s="39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 t="s">
        <v>46</v>
      </c>
      <c r="R22" s="13">
        <v>39600</v>
      </c>
      <c r="S22" s="13"/>
      <c r="T22" s="13"/>
      <c r="U22" s="13"/>
      <c r="V22" s="13">
        <v>39600</v>
      </c>
      <c r="W22" s="38" t="s">
        <v>47</v>
      </c>
      <c r="X22" s="24">
        <f>SUM(P16:P22)-SUM(V16:V22)</f>
        <v>-16608</v>
      </c>
    </row>
    <row r="23" spans="1:24" s="25" customFormat="1" ht="24.95" customHeight="1" x14ac:dyDescent="0.25">
      <c r="A23" s="34"/>
      <c r="B23" s="41"/>
      <c r="C23" s="42"/>
      <c r="D23" s="43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34"/>
    </row>
    <row r="24" spans="1:24" ht="24.95" customHeight="1" x14ac:dyDescent="0.25">
      <c r="A24" s="33">
        <v>52409</v>
      </c>
      <c r="B24" s="35" t="s">
        <v>48</v>
      </c>
      <c r="C24" s="1">
        <v>44838</v>
      </c>
      <c r="D24" s="39">
        <v>1</v>
      </c>
      <c r="E24" s="13">
        <v>503886</v>
      </c>
      <c r="F24" s="13">
        <v>0</v>
      </c>
      <c r="G24" s="13">
        <v>503886</v>
      </c>
      <c r="H24" s="13">
        <v>90699</v>
      </c>
      <c r="I24" s="13">
        <v>594585</v>
      </c>
      <c r="J24" s="13">
        <v>5039</v>
      </c>
      <c r="K24" s="13">
        <v>25194</v>
      </c>
      <c r="L24" s="13"/>
      <c r="M24" s="13">
        <v>50389</v>
      </c>
      <c r="N24" s="53">
        <f>H24</f>
        <v>90699</v>
      </c>
      <c r="O24" s="53">
        <v>40116</v>
      </c>
      <c r="P24" s="13">
        <v>357954</v>
      </c>
      <c r="Q24" s="13" t="s">
        <v>49</v>
      </c>
      <c r="R24" s="13">
        <v>357953</v>
      </c>
      <c r="S24" s="13">
        <v>3579.53</v>
      </c>
      <c r="T24" s="13">
        <v>0</v>
      </c>
      <c r="U24" s="13">
        <v>0</v>
      </c>
      <c r="V24" s="13">
        <f>P24-1</f>
        <v>357953</v>
      </c>
      <c r="W24" s="38" t="s">
        <v>50</v>
      </c>
    </row>
    <row r="25" spans="1:24" ht="24.95" customHeight="1" x14ac:dyDescent="0.25">
      <c r="A25" s="33">
        <v>52409</v>
      </c>
      <c r="B25" s="35" t="s">
        <v>51</v>
      </c>
      <c r="C25" s="1">
        <v>44908</v>
      </c>
      <c r="D25" s="39">
        <v>1</v>
      </c>
      <c r="E25" s="13">
        <v>40116</v>
      </c>
      <c r="F25" s="13">
        <v>0</v>
      </c>
      <c r="G25" s="13"/>
      <c r="H25" s="13">
        <v>0</v>
      </c>
      <c r="I25" s="13"/>
      <c r="J25" s="13">
        <v>0</v>
      </c>
      <c r="K25" s="13">
        <v>0</v>
      </c>
      <c r="L25" s="13"/>
      <c r="M25" s="13"/>
      <c r="N25" s="13"/>
      <c r="O25" s="13">
        <v>0</v>
      </c>
      <c r="P25" s="53">
        <v>40116</v>
      </c>
      <c r="Q25" s="13" t="s">
        <v>52</v>
      </c>
      <c r="R25" s="13">
        <v>40116</v>
      </c>
      <c r="S25" s="13">
        <v>0</v>
      </c>
      <c r="T25" s="13">
        <v>0</v>
      </c>
      <c r="U25" s="13">
        <v>0</v>
      </c>
      <c r="V25" s="13">
        <v>40116</v>
      </c>
      <c r="W25" s="38" t="s">
        <v>53</v>
      </c>
    </row>
    <row r="26" spans="1:24" ht="24.95" customHeight="1" x14ac:dyDescent="0.25">
      <c r="A26" s="33">
        <v>52409</v>
      </c>
      <c r="B26" s="35" t="s">
        <v>54</v>
      </c>
      <c r="C26" s="1">
        <v>44954</v>
      </c>
      <c r="D26" s="39">
        <v>1</v>
      </c>
      <c r="E26" s="13">
        <v>90699</v>
      </c>
      <c r="F26" s="13">
        <v>0</v>
      </c>
      <c r="G26" s="13"/>
      <c r="H26" s="13">
        <v>0</v>
      </c>
      <c r="I26" s="13"/>
      <c r="J26" s="13">
        <v>0</v>
      </c>
      <c r="K26" s="13"/>
      <c r="L26" s="13"/>
      <c r="M26" s="13"/>
      <c r="N26" s="13"/>
      <c r="O26" s="13"/>
      <c r="P26" s="53">
        <f>E26</f>
        <v>90699</v>
      </c>
      <c r="Q26" s="13" t="s">
        <v>55</v>
      </c>
      <c r="R26" s="13">
        <v>90699</v>
      </c>
      <c r="S26" s="13">
        <v>0</v>
      </c>
      <c r="T26" s="13"/>
      <c r="U26" s="13"/>
      <c r="V26" s="13">
        <v>90699</v>
      </c>
      <c r="W26" s="38" t="s">
        <v>56</v>
      </c>
    </row>
    <row r="27" spans="1:24" ht="24.95" customHeight="1" x14ac:dyDescent="0.25">
      <c r="A27" s="33">
        <v>52409</v>
      </c>
      <c r="B27" s="35" t="s">
        <v>48</v>
      </c>
      <c r="C27" s="1">
        <v>45086</v>
      </c>
      <c r="D27" s="39">
        <v>5</v>
      </c>
      <c r="E27" s="13">
        <v>18945.5</v>
      </c>
      <c r="F27" s="13">
        <v>0</v>
      </c>
      <c r="G27" s="13">
        <v>18945.5</v>
      </c>
      <c r="H27" s="13">
        <v>3410</v>
      </c>
      <c r="I27" s="13">
        <v>22355.5</v>
      </c>
      <c r="J27" s="13">
        <v>189</v>
      </c>
      <c r="K27" s="13">
        <v>947</v>
      </c>
      <c r="L27" s="13">
        <v>1895</v>
      </c>
      <c r="M27" s="13">
        <v>1895</v>
      </c>
      <c r="N27" s="53">
        <f>H27</f>
        <v>3410</v>
      </c>
      <c r="O27" s="13">
        <v>0</v>
      </c>
      <c r="P27" s="13">
        <v>14019.5</v>
      </c>
      <c r="Q27" s="13" t="s">
        <v>59</v>
      </c>
      <c r="R27" s="13">
        <v>99000</v>
      </c>
      <c r="S27" s="13">
        <v>0</v>
      </c>
      <c r="T27" s="13"/>
      <c r="U27" s="13">
        <v>0</v>
      </c>
      <c r="V27" s="13">
        <v>99000</v>
      </c>
      <c r="W27" s="38" t="s">
        <v>57</v>
      </c>
    </row>
    <row r="28" spans="1:24" ht="24.95" customHeight="1" x14ac:dyDescent="0.25">
      <c r="A28" s="33">
        <v>52409</v>
      </c>
      <c r="B28" s="35" t="s">
        <v>48</v>
      </c>
      <c r="C28" s="1">
        <v>45126</v>
      </c>
      <c r="D28" s="39">
        <v>7</v>
      </c>
      <c r="E28" s="13">
        <f>220875.85</f>
        <v>220875.85</v>
      </c>
      <c r="F28" s="13">
        <f>38150-5155.32</f>
        <v>32994.68</v>
      </c>
      <c r="G28" s="13">
        <f>E28-F28</f>
        <v>187881.17</v>
      </c>
      <c r="H28" s="13">
        <f>ROUND(G28*18%,)</f>
        <v>33819</v>
      </c>
      <c r="I28" s="13">
        <f>G28+H28</f>
        <v>221700.17</v>
      </c>
      <c r="J28" s="13">
        <f>ROUND(G28*1%,)</f>
        <v>1879</v>
      </c>
      <c r="K28" s="13">
        <f>ROUND(G28*5%,)</f>
        <v>9394</v>
      </c>
      <c r="L28" s="13">
        <v>0</v>
      </c>
      <c r="M28" s="13">
        <v>0</v>
      </c>
      <c r="N28" s="53">
        <f>H28</f>
        <v>33819</v>
      </c>
      <c r="O28" s="13">
        <v>0</v>
      </c>
      <c r="P28" s="13">
        <f>I28-SUM(J28:O28)</f>
        <v>176608.17</v>
      </c>
      <c r="Q28" s="13" t="s">
        <v>60</v>
      </c>
      <c r="R28" s="13">
        <v>119078</v>
      </c>
      <c r="S28" s="13"/>
      <c r="T28" s="13"/>
      <c r="U28" s="13"/>
      <c r="V28" s="13">
        <v>119078</v>
      </c>
      <c r="W28" s="38" t="s">
        <v>31</v>
      </c>
    </row>
    <row r="29" spans="1:24" ht="24.95" customHeight="1" x14ac:dyDescent="0.15">
      <c r="A29" s="33">
        <v>52409</v>
      </c>
      <c r="B29" s="35" t="s">
        <v>28</v>
      </c>
      <c r="C29" s="1">
        <v>45275</v>
      </c>
      <c r="D29" s="39">
        <v>5</v>
      </c>
      <c r="E29" s="13">
        <v>3410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53">
        <f>E29</f>
        <v>3410</v>
      </c>
      <c r="Q29" s="13"/>
      <c r="R29" s="13"/>
      <c r="S29" s="13"/>
      <c r="T29" s="13"/>
      <c r="U29" s="13"/>
      <c r="V29" s="13">
        <v>91647</v>
      </c>
      <c r="W29" s="44" t="s">
        <v>65</v>
      </c>
    </row>
    <row r="30" spans="1:24" ht="24.95" customHeight="1" x14ac:dyDescent="0.15">
      <c r="A30" s="33">
        <v>52409</v>
      </c>
      <c r="B30" s="35" t="s">
        <v>28</v>
      </c>
      <c r="C30" s="1">
        <v>45275</v>
      </c>
      <c r="D30" s="39">
        <v>7</v>
      </c>
      <c r="E30" s="13">
        <v>33819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53">
        <f>E30</f>
        <v>33819</v>
      </c>
      <c r="Q30" s="13"/>
      <c r="R30" s="13"/>
      <c r="S30" s="13"/>
      <c r="T30" s="13"/>
      <c r="U30" s="13"/>
      <c r="V30" s="13">
        <v>37229</v>
      </c>
      <c r="W30" s="44" t="s">
        <v>66</v>
      </c>
    </row>
    <row r="31" spans="1:24" ht="24.95" customHeight="1" x14ac:dyDescent="0.25">
      <c r="A31" s="33">
        <v>52409</v>
      </c>
      <c r="B31" s="39"/>
      <c r="C31" s="39"/>
      <c r="D31" s="39"/>
      <c r="E31" s="45"/>
      <c r="F31" s="45"/>
      <c r="G31" s="45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24">
        <f>SUM(P24:P31)-SUM(V24:V31)</f>
        <v>-119096.32999999996</v>
      </c>
    </row>
    <row r="32" spans="1:24" ht="24.9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4" ht="24.95" customHeight="1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4" ht="24.95" customHeight="1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9">
        <f t="shared" ref="J34:O34" si="1">SUM(J8:J31)</f>
        <v>21473.6459</v>
      </c>
      <c r="K34" s="49">
        <f t="shared" si="1"/>
        <v>107366</v>
      </c>
      <c r="L34" s="49">
        <f t="shared" si="1"/>
        <v>120872</v>
      </c>
      <c r="M34" s="49">
        <f t="shared" si="1"/>
        <v>171261</v>
      </c>
      <c r="N34" s="49">
        <f t="shared" si="1"/>
        <v>386522</v>
      </c>
      <c r="O34" s="49">
        <f t="shared" si="1"/>
        <v>253197.1</v>
      </c>
      <c r="P34" s="49">
        <f>SUM(P8:P31)</f>
        <v>1924620.5140999998</v>
      </c>
      <c r="Q34" s="48"/>
      <c r="R34" s="48"/>
      <c r="S34" s="48"/>
      <c r="T34" s="49" t="s">
        <v>6</v>
      </c>
      <c r="U34" s="48"/>
      <c r="V34" s="49">
        <f>SUM(V6:V31)</f>
        <v>2065388</v>
      </c>
      <c r="W34" s="49" t="s">
        <v>73</v>
      </c>
    </row>
    <row r="35" spans="1:24" ht="24.9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46"/>
      <c r="W35" s="46"/>
    </row>
    <row r="36" spans="1:24" ht="24.95" customHeight="1" thickBo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47" t="s">
        <v>7</v>
      </c>
      <c r="U36" s="15"/>
      <c r="V36" s="47">
        <f>P34-V34</f>
        <v>-140767.4859000002</v>
      </c>
      <c r="W36" s="47" t="s">
        <v>74</v>
      </c>
      <c r="X36" s="29">
        <f>SUM(X8:X35)</f>
        <v>-140767.48589999997</v>
      </c>
    </row>
    <row r="39" spans="1:24" ht="24.95" customHeight="1" thickBot="1" x14ac:dyDescent="0.3"/>
    <row r="40" spans="1:24" ht="24.95" customHeight="1" thickBot="1" x14ac:dyDescent="0.3">
      <c r="D40" s="21" t="s">
        <v>17</v>
      </c>
      <c r="E40" s="21" t="s">
        <v>18</v>
      </c>
      <c r="F40" s="21" t="s">
        <v>19</v>
      </c>
      <c r="G40" s="21" t="s">
        <v>20</v>
      </c>
      <c r="H40" s="22" t="s">
        <v>21</v>
      </c>
      <c r="I40" s="22" t="s">
        <v>22</v>
      </c>
      <c r="M40" s="55" t="s">
        <v>9</v>
      </c>
      <c r="N40" s="56"/>
      <c r="O40" s="57"/>
    </row>
    <row r="41" spans="1:24" ht="24.95" customHeight="1" thickBot="1" x14ac:dyDescent="0.3">
      <c r="D41" s="21" t="s">
        <v>23</v>
      </c>
      <c r="E41" s="21">
        <v>32</v>
      </c>
      <c r="F41" s="21">
        <v>921.7</v>
      </c>
      <c r="G41" s="21">
        <f>F41-E41</f>
        <v>889.7</v>
      </c>
      <c r="H41" s="22">
        <v>50</v>
      </c>
      <c r="I41" s="22">
        <f>H41*G41</f>
        <v>44485</v>
      </c>
      <c r="L41" s="3" t="s">
        <v>69</v>
      </c>
      <c r="M41" s="55" t="s">
        <v>70</v>
      </c>
      <c r="N41" s="58"/>
      <c r="O41" s="59"/>
    </row>
    <row r="42" spans="1:24" ht="24.95" customHeight="1" thickBot="1" x14ac:dyDescent="0.3">
      <c r="D42" s="19" t="s">
        <v>24</v>
      </c>
      <c r="E42" s="19">
        <v>196.55</v>
      </c>
      <c r="F42" s="19">
        <v>256.12</v>
      </c>
      <c r="G42" s="21">
        <f>F42-E42</f>
        <v>59.569999999999993</v>
      </c>
      <c r="H42" s="20">
        <v>330</v>
      </c>
      <c r="I42" s="22">
        <f>H42*G42</f>
        <v>19658.099999999999</v>
      </c>
      <c r="M42" s="60" t="s">
        <v>67</v>
      </c>
      <c r="N42" s="61"/>
      <c r="O42" s="30">
        <f>K34+L34+M34</f>
        <v>399499</v>
      </c>
    </row>
    <row r="43" spans="1:24" ht="24.95" customHeight="1" thickBot="1" x14ac:dyDescent="0.3">
      <c r="H43" s="16" t="s">
        <v>25</v>
      </c>
      <c r="I43" s="16">
        <f>SUM(I41:I42)</f>
        <v>64143.1</v>
      </c>
      <c r="M43" s="60" t="s">
        <v>71</v>
      </c>
      <c r="N43" s="61"/>
      <c r="O43" s="30">
        <f>O34</f>
        <v>253197.1</v>
      </c>
    </row>
    <row r="44" spans="1:24" ht="24.95" customHeight="1" thickBot="1" x14ac:dyDescent="0.3">
      <c r="H44" s="16" t="s">
        <v>26</v>
      </c>
      <c r="I44" s="16">
        <f>O8</f>
        <v>86355</v>
      </c>
      <c r="M44" s="62" t="s">
        <v>68</v>
      </c>
      <c r="N44" s="63"/>
      <c r="O44" s="31">
        <f>V36</f>
        <v>-140767.4859000002</v>
      </c>
    </row>
    <row r="45" spans="1:24" ht="24.95" customHeight="1" thickBot="1" x14ac:dyDescent="0.3">
      <c r="G45" s="54" t="s">
        <v>27</v>
      </c>
      <c r="H45" s="54"/>
      <c r="I45" s="23">
        <f>I43-I44</f>
        <v>-22211.9</v>
      </c>
      <c r="M45" s="62" t="s">
        <v>72</v>
      </c>
      <c r="N45" s="63"/>
      <c r="O45" s="31">
        <f>N34-P30-P29-P26-P20-P18-P11-P10</f>
        <v>0</v>
      </c>
    </row>
    <row r="48" spans="1:24" ht="24.95" customHeight="1" x14ac:dyDescent="0.25">
      <c r="K48" s="24"/>
    </row>
  </sheetData>
  <mergeCells count="7">
    <mergeCell ref="G45:H45"/>
    <mergeCell ref="M40:O40"/>
    <mergeCell ref="M41:O41"/>
    <mergeCell ref="M42:N42"/>
    <mergeCell ref="M43:N43"/>
    <mergeCell ref="M44:N44"/>
    <mergeCell ref="M45:N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2025-05-27T07:29:03Z</dcterms:modified>
</cp:coreProperties>
</file>