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8BEC3E63-DBB3-41F0-B925-F3A78AB9D7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P28" i="1"/>
  <c r="G27" i="1"/>
  <c r="J27" i="1" s="1"/>
  <c r="G31" i="1"/>
  <c r="K31" i="1" s="1"/>
  <c r="T24" i="1"/>
  <c r="T25" i="1"/>
  <c r="G16" i="1"/>
  <c r="J16" i="1" s="1"/>
  <c r="T18" i="1"/>
  <c r="H27" i="1" l="1"/>
  <c r="I27" i="1" s="1"/>
  <c r="L31" i="1"/>
  <c r="M16" i="1"/>
  <c r="M31" i="1"/>
  <c r="H31" i="1"/>
  <c r="N31" i="1" s="1"/>
  <c r="E32" i="1" s="1"/>
  <c r="P32" i="1" s="1"/>
  <c r="J31" i="1"/>
  <c r="K27" i="1"/>
  <c r="K16" i="1"/>
  <c r="H16" i="1"/>
  <c r="N16" i="1" s="1"/>
  <c r="E17" i="1" s="1"/>
  <c r="G17" i="1" s="1"/>
  <c r="I17" i="1" s="1"/>
  <c r="P17" i="1" s="1"/>
  <c r="L16" i="1"/>
  <c r="N27" i="1" l="1"/>
  <c r="P27" i="1" s="1"/>
  <c r="V30" i="1" s="1"/>
  <c r="I31" i="1"/>
  <c r="P31" i="1" s="1"/>
  <c r="V34" i="1" s="1"/>
  <c r="I16" i="1"/>
  <c r="P16" i="1" s="1"/>
  <c r="G25" i="1"/>
  <c r="I25" i="1" s="1"/>
  <c r="O25" i="1"/>
  <c r="P25" i="1" l="1"/>
  <c r="T17" i="1"/>
  <c r="T16" i="1"/>
  <c r="G15" i="1"/>
  <c r="I15" i="1" s="1"/>
  <c r="P15" i="1" s="1"/>
  <c r="G24" i="1" l="1"/>
  <c r="K24" i="1" l="1"/>
  <c r="H24" i="1"/>
  <c r="N24" i="1" s="1"/>
  <c r="L24" i="1"/>
  <c r="J24" i="1"/>
  <c r="T15" i="1"/>
  <c r="G14" i="1"/>
  <c r="M14" i="1" s="1"/>
  <c r="T23" i="1"/>
  <c r="T22" i="1"/>
  <c r="T14" i="1"/>
  <c r="O24" i="1" l="1"/>
  <c r="I24" i="1"/>
  <c r="P24" i="1"/>
  <c r="H14" i="1"/>
  <c r="N14" i="1" s="1"/>
  <c r="L14" i="1"/>
  <c r="J14" i="1"/>
  <c r="K14" i="1"/>
  <c r="P23" i="1"/>
  <c r="G22" i="1"/>
  <c r="L22" i="1" s="1"/>
  <c r="H22" i="1" l="1"/>
  <c r="N22" i="1" s="1"/>
  <c r="J22" i="1"/>
  <c r="I14" i="1"/>
  <c r="P14" i="1" s="1"/>
  <c r="K22" i="1"/>
  <c r="I22" i="1" l="1"/>
  <c r="P22" i="1" s="1"/>
  <c r="V26" i="1" s="1"/>
  <c r="O39" i="1" l="1"/>
  <c r="P13" i="1"/>
  <c r="G12" i="1"/>
  <c r="M12" i="1" s="1"/>
  <c r="T13" i="1"/>
  <c r="T11" i="1"/>
  <c r="T12" i="1"/>
  <c r="P11" i="1"/>
  <c r="P10" i="1"/>
  <c r="T10" i="1"/>
  <c r="T9" i="1"/>
  <c r="T8" i="1"/>
  <c r="T37" i="1" l="1"/>
  <c r="J12" i="1"/>
  <c r="L12" i="1"/>
  <c r="H12" i="1"/>
  <c r="N12" i="1" s="1"/>
  <c r="K12" i="1"/>
  <c r="G8" i="1"/>
  <c r="I12" i="1" l="1"/>
  <c r="H8" i="1"/>
  <c r="N8" i="1" s="1"/>
  <c r="L8" i="1"/>
  <c r="P12" i="1"/>
  <c r="M8" i="1"/>
  <c r="K8" i="1"/>
  <c r="J8" i="1"/>
  <c r="I8" i="1" l="1"/>
  <c r="P8" i="1" s="1"/>
  <c r="G9" i="1" l="1"/>
  <c r="M9" i="1" l="1"/>
  <c r="M39" i="1" s="1"/>
  <c r="H9" i="1"/>
  <c r="I9" i="1" s="1"/>
  <c r="K9" i="1"/>
  <c r="K39" i="1" s="1"/>
  <c r="L9" i="1"/>
  <c r="L39" i="1" s="1"/>
  <c r="J9" i="1"/>
  <c r="J45" i="1" l="1"/>
  <c r="N9" i="1"/>
  <c r="N39" i="1" s="1"/>
  <c r="J48" i="1" s="1"/>
  <c r="P9" i="1"/>
  <c r="V21" i="1" s="1"/>
  <c r="P37" i="1" l="1"/>
  <c r="T39" i="1" s="1"/>
  <c r="J46" i="1" s="1"/>
  <c r="J49" i="1" s="1"/>
</calcChain>
</file>

<file path=xl/sharedStrings.xml><?xml version="1.0" encoding="utf-8"?>
<sst xmlns="http://schemas.openxmlformats.org/spreadsheetml/2006/main" count="98" uniqueCount="87">
  <si>
    <t>Amount</t>
  </si>
  <si>
    <t>PAYMENT NOTE No.</t>
  </si>
  <si>
    <t>UTR</t>
  </si>
  <si>
    <t xml:space="preserve">Debit </t>
  </si>
  <si>
    <t>Total Paid Amount Rs. -</t>
  </si>
  <si>
    <t>Balance Payable Amount Rs. -</t>
  </si>
  <si>
    <t>Total Payable Amount Rs. -</t>
  </si>
  <si>
    <t>Hold Amount For Quantity excess against DPR</t>
  </si>
  <si>
    <t xml:space="preserve">Pipe line work AT MUNDET KHADER  VILLAGE </t>
  </si>
  <si>
    <t>20-10-2022 NEFT/AXISP00330252345/RIUP22/1051/SHOIEB CHIKARA 198000.0</t>
  </si>
  <si>
    <t>RIUP22/1051</t>
  </si>
  <si>
    <t>19-11-2022 NEFT/AXISP00339152070/RIUP22/1273/SHOIEB CHIKARA 66075.00</t>
  </si>
  <si>
    <t>RIUP22/1273</t>
  </si>
  <si>
    <t>19-11-2022 NEFT/AXISP00339152071/RIUP22/1274/SHOIEB CHIKARA 257975.00</t>
  </si>
  <si>
    <t>RIUP22/1274</t>
  </si>
  <si>
    <t>GST Release note</t>
  </si>
  <si>
    <t>20-12-2022 NEFT/AXISP00347623943/RIUP22/1538/SHOIEB CHIKARA 68860.00</t>
  </si>
  <si>
    <t>RIUP22/1538</t>
  </si>
  <si>
    <t>20-12-2022 NEFT/AXISP00347623944/RIUP22/1573/SHOIEB CHIKARA 60968.00</t>
  </si>
  <si>
    <t>RIUP22/1573</t>
  </si>
  <si>
    <t>27-03-2023 NEFT/AXISP00374603527/RIUP22/2733/SHOIEB CHIKARA 297000.00</t>
  </si>
  <si>
    <t>RIUP22/2733</t>
  </si>
  <si>
    <t>12-05-2023 NEFT/AXISP00389861568/RIUP23/211/BALAJI CONTRACTO 14707.00</t>
  </si>
  <si>
    <t>RIUP23/211</t>
  </si>
  <si>
    <t>12-05-2023 NEFT/AXISP00389861569/RIUP23/212/BALAJI CONTRACTO 81376.00</t>
  </si>
  <si>
    <t>RIUP23/212</t>
  </si>
  <si>
    <t>GSt Release Note</t>
  </si>
  <si>
    <t>SPUP23/0360</t>
  </si>
  <si>
    <t>03-05-2023 NEFT/AXISP00386899990/SPUP23/0360/BALAJI CONTRACT 152767.00</t>
  </si>
  <si>
    <t>RIUP23/363</t>
  </si>
  <si>
    <t>24-05-2023 NEFT/AXISP00392230456/RIUP23/363/BALAJI CONTRACTO 30897.00</t>
  </si>
  <si>
    <t>RIUP23/1252</t>
  </si>
  <si>
    <t>28-07-2023 NEFT/AXISP00410054452/RIUP23/1252/BALAJI CONTRACT 234347.00</t>
  </si>
  <si>
    <t>RIUP23/1693</t>
  </si>
  <si>
    <t>25-08-2023 NEFT/AXISP00418333474/RIUP23/1693/BALAJI CONTRACTOR/SBIN0015712 57003.00</t>
  </si>
  <si>
    <t>RIUP23/2048</t>
  </si>
  <si>
    <t>18-09-2023 NEFT/AXISP00425751834/RIUP23/2048/BALAJI CONTRACTOR/SBIN0015712 174440.00</t>
  </si>
  <si>
    <t>RIUP23/2785</t>
  </si>
  <si>
    <t>19-10-2023 NEFT/AXISP00435739499/RIUP23/2785/BALAJI CONTRACTOR/SBIN0015712 35280.00</t>
  </si>
  <si>
    <t>18-09-2023 NEFT/AXISP00425658727/RIUP23/2077/BALAJI CONTRACTOR/SBIN0015712 37600.00</t>
  </si>
  <si>
    <t>19-10-2023 NEFT/AXISP00435739500/RIUP23/2786/BALAJI CONTRACTOR/SBIN0015712 7200.0</t>
  </si>
  <si>
    <t>09-11-2023 NEFT/AXISP00442541929/RIUP23/3177/BALAJI CONTRACTOR/SBIN0015712 99000.00</t>
  </si>
  <si>
    <t>RIUP23/3177</t>
  </si>
  <si>
    <t>GST</t>
  </si>
  <si>
    <t>Balaji Contractor</t>
  </si>
  <si>
    <t>29-11-2023 NEFT/AXISP00447355236/RIUP23/3482/BALAJI CONTRACTOR/SBIN0015712 114609.00</t>
  </si>
  <si>
    <t>08-01-2024 NEFT/AXISP00460674626/RIUP23/3973/BALAJI CONTRACTOR/SBIN0015712 ₹ 93,067.00</t>
  </si>
  <si>
    <t>RIUP23/3973</t>
  </si>
  <si>
    <t xml:space="preserve">Hold Amount </t>
  </si>
  <si>
    <t>Advance / Surplus</t>
  </si>
  <si>
    <t xml:space="preserve">Balance </t>
  </si>
  <si>
    <t>GST Remaining</t>
  </si>
  <si>
    <t>02-02-2024 NEFT/AXISP00467690382/RIUP23/4479/BALAJI CONTRACTOR/SBIN0015712 46719.00</t>
  </si>
  <si>
    <t>RIUP23/4479</t>
  </si>
  <si>
    <t>02-02-2024 NEFT/AXISP00467690381/RIUP23/4478/BALAJI CONTRACTOR/SBIN0015712 32348.00</t>
  </si>
  <si>
    <t>RIUP23/2077</t>
  </si>
  <si>
    <t>RIUP23/2786</t>
  </si>
  <si>
    <t>RIUP23/3482</t>
  </si>
  <si>
    <t>RIUP23/4478</t>
  </si>
  <si>
    <t>Updated On 11-06-2024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</si>
  <si>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</si>
  <si>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</si>
  <si>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</si>
  <si>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</si>
  <si>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</si>
  <si>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</si>
  <si>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</si>
  <si>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</si>
  <si>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</si>
  <si>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</si>
  <si>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</si>
  <si>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</si>
  <si>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</si>
  <si>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</si>
  <si>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</si>
  <si>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</si>
  <si>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</si>
  <si>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</si>
  <si>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</si>
  <si>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</si>
  <si>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</si>
  <si>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</si>
  <si>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</si>
  <si>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 MUNDET KHADER  VILLAGE   Pipe line work</t>
  </si>
  <si>
    <t>Mundet khadar Village   pump house work</t>
  </si>
  <si>
    <t>Mudet Village  D G work</t>
  </si>
  <si>
    <t xml:space="preserve"> Bajheri VILLAGE   Pipe Line &amp; FHTC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</si>
</sst>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5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3" fontId="3" fillId="2" borderId="15" xfId="1" applyNumberFormat="1" applyFont="1" applyFill="1" applyBorder="1" applyAlignment="1">
      <alignment vertical="center"/>
    </xf>
    <xf numFmtId="9" fontId="3" fillId="2" borderId="15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3" fillId="2" borderId="9" xfId="1" applyNumberFormat="1" applyFont="1" applyFill="1" applyBorder="1" applyAlignment="1">
      <alignment horizontal="right" vertical="center"/>
    </xf>
    <xf numFmtId="0" fontId="7" fillId="0" borderId="9" xfId="0" applyFont="1" applyBorder="1"/>
    <xf numFmtId="43" fontId="3" fillId="2" borderId="1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0" fillId="2" borderId="8" xfId="0" applyNumberFormat="1" applyFill="1" applyBorder="1" applyAlignment="1">
      <alignment vertical="center"/>
    </xf>
    <xf numFmtId="0" fontId="0" fillId="0" borderId="31" xfId="0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9" fillId="2" borderId="15" xfId="1" applyFont="1" applyFill="1" applyBorder="1" applyAlignment="1">
      <alignment horizontal="center" vertical="center"/>
    </xf>
    <xf numFmtId="164" fontId="6" fillId="2" borderId="15" xfId="1" applyFont="1" applyFill="1" applyBorder="1" applyAlignment="1">
      <alignment horizontal="center" vertical="center"/>
    </xf>
    <xf numFmtId="43" fontId="8" fillId="2" borderId="28" xfId="1" applyNumberFormat="1" applyFont="1" applyFill="1" applyBorder="1" applyAlignment="1">
      <alignment horizontal="center" vertical="center"/>
    </xf>
    <xf numFmtId="43" fontId="8" fillId="2" borderId="29" xfId="1" applyNumberFormat="1" applyFont="1" applyFill="1" applyBorder="1" applyAlignment="1">
      <alignment horizontal="center" vertical="center"/>
    </xf>
    <xf numFmtId="43" fontId="8" fillId="2" borderId="30" xfId="1" applyNumberFormat="1" applyFont="1" applyFill="1" applyBorder="1" applyAlignment="1">
      <alignment horizontal="center" vertical="center"/>
    </xf>
    <xf numFmtId="43" fontId="8" fillId="2" borderId="20" xfId="1" applyNumberFormat="1" applyFont="1" applyFill="1" applyBorder="1" applyAlignment="1">
      <alignment horizontal="center" vertical="center"/>
    </xf>
    <xf numFmtId="43" fontId="8" fillId="2" borderId="21" xfId="1" applyNumberFormat="1" applyFont="1" applyFill="1" applyBorder="1" applyAlignment="1">
      <alignment horizontal="center" vertical="center"/>
    </xf>
    <xf numFmtId="43" fontId="8" fillId="2" borderId="22" xfId="1" applyNumberFormat="1" applyFont="1" applyFill="1" applyBorder="1" applyAlignment="1">
      <alignment horizontal="center" vertical="center"/>
    </xf>
    <xf numFmtId="43" fontId="8" fillId="2" borderId="23" xfId="1" applyNumberFormat="1" applyFont="1" applyFill="1" applyBorder="1" applyAlignment="1">
      <alignment horizontal="center" vertical="center"/>
    </xf>
    <xf numFmtId="43" fontId="8" fillId="2" borderId="24" xfId="1" applyNumberFormat="1" applyFont="1" applyFill="1" applyBorder="1" applyAlignment="1">
      <alignment horizontal="center" vertical="center"/>
    </xf>
    <xf numFmtId="43" fontId="8" fillId="2" borderId="25" xfId="1" applyNumberFormat="1" applyFont="1" applyFill="1" applyBorder="1" applyAlignment="1">
      <alignment horizontal="center" vertical="center"/>
    </xf>
    <xf numFmtId="43" fontId="8" fillId="2" borderId="26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43" fontId="8" fillId="2" borderId="27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9"/>
  <sheetViews>
    <sheetView tabSelected="1" topLeftCell="A23" zoomScale="85" zoomScaleNormal="85" workbookViewId="0">
      <selection activeCell="B31" sqref="B31"/>
    </sheetView>
  </sheetViews>
  <sheetFormatPr defaultColWidth="9" defaultRowHeight="24.95" customHeight="1" x14ac:dyDescent="0.25"/>
  <cols>
    <col min="1" max="1" width="28.7109375" style="4" customWidth="1"/>
    <col min="2" max="2" width="30" style="4" customWidth="1"/>
    <col min="3" max="3" width="13.42578125" style="4" bestFit="1" customWidth="1"/>
    <col min="4" max="4" width="11.5703125" style="4" bestFit="1" customWidth="1"/>
    <col min="5" max="5" width="13.28515625" style="4" bestFit="1" customWidth="1"/>
    <col min="6" max="7" width="13.28515625" style="4" customWidth="1"/>
    <col min="8" max="8" width="14.7109375" style="19" customWidth="1"/>
    <col min="9" max="9" width="12.85546875" style="19" bestFit="1" customWidth="1"/>
    <col min="10" max="10" width="10.7109375" style="4" bestFit="1" customWidth="1"/>
    <col min="11" max="13" width="13.28515625" style="4" customWidth="1"/>
    <col min="14" max="16" width="14.85546875" style="4" customWidth="1"/>
    <col min="17" max="17" width="21.7109375" style="4" bestFit="1" customWidth="1"/>
    <col min="18" max="18" width="12.7109375" style="4" bestFit="1" customWidth="1"/>
    <col min="19" max="19" width="14.5703125" style="4" bestFit="1" customWidth="1"/>
    <col min="20" max="20" width="15" style="4" bestFit="1" customWidth="1"/>
    <col min="21" max="21" width="86.7109375" style="4" customWidth="1"/>
    <col min="22" max="22" width="10.85546875" style="4" bestFit="1" customWidth="1"/>
    <col min="23" max="16384" width="9" style="4"/>
  </cols>
  <sheetData>
    <row r="1" spans="1:106" ht="24.95" customHeight="1" thickBot="1" x14ac:dyDescent="0.3">
      <c r="A1" s="56" t="s">
        <v>60</v>
      </c>
      <c r="B1" s="3" t="s">
        <v>44</v>
      </c>
      <c r="E1" s="5"/>
      <c r="F1" s="5"/>
      <c r="G1" s="5"/>
      <c r="H1" s="6"/>
      <c r="I1" s="6"/>
    </row>
    <row r="2" spans="1:106" ht="24.95" customHeight="1" thickBot="1" x14ac:dyDescent="0.3">
      <c r="A2" s="56" t="s">
        <v>61</v>
      </c>
      <c r="B2" s="7" t="s">
        <v>64</v>
      </c>
      <c r="C2" s="8"/>
      <c r="D2" s="8"/>
      <c r="H2" s="21"/>
      <c r="I2" s="9"/>
      <c r="K2" s="10"/>
      <c r="L2" s="10"/>
      <c r="M2" s="10"/>
      <c r="N2" s="10"/>
      <c r="O2" s="10"/>
      <c r="P2" s="10"/>
      <c r="Q2" s="10"/>
      <c r="R2" s="10"/>
      <c r="S2" s="10"/>
    </row>
    <row r="3" spans="1:106" ht="24.95" customHeight="1" thickBot="1" x14ac:dyDescent="0.3">
      <c r="A3" s="56" t="s">
        <v>62</v>
      </c>
      <c r="B3" s="55" t="s">
        <v>65</v>
      </c>
      <c r="C3" s="8"/>
      <c r="D3" s="8"/>
      <c r="H3" s="21"/>
      <c r="I3" s="9"/>
      <c r="K3" s="10"/>
      <c r="L3" s="10"/>
      <c r="M3" s="10"/>
      <c r="N3" s="10"/>
      <c r="O3" s="10"/>
      <c r="P3" s="10"/>
      <c r="Q3" s="10"/>
      <c r="R3" s="10"/>
      <c r="S3" s="10"/>
    </row>
    <row r="4" spans="1:106" ht="24.95" customHeight="1" thickBot="1" x14ac:dyDescent="0.3">
      <c r="A4" s="56" t="s">
        <v>63</v>
      </c>
      <c r="B4" s="11" t="s">
        <v>65</v>
      </c>
      <c r="C4" s="11"/>
      <c r="D4" s="11"/>
      <c r="E4" s="11"/>
      <c r="F4" s="10"/>
      <c r="G4" s="10"/>
      <c r="H4" s="12"/>
      <c r="I4" s="12"/>
      <c r="J4" s="10"/>
      <c r="K4" s="10"/>
      <c r="L4" s="10"/>
      <c r="M4" s="10"/>
      <c r="Q4" s="10"/>
      <c r="R4" s="13"/>
      <c r="S4" s="13"/>
      <c r="T4" s="13"/>
      <c r="U4" s="13"/>
    </row>
    <row r="5" spans="1:106" ht="24.95" customHeight="1" thickBot="1" x14ac:dyDescent="0.3">
      <c r="A5" s="57" t="s">
        <v>66</v>
      </c>
      <c r="B5" s="58" t="s">
        <v>67</v>
      </c>
      <c r="C5" s="59" t="s">
        <v>68</v>
      </c>
      <c r="D5" s="60" t="s">
        <v>69</v>
      </c>
      <c r="E5" s="58" t="s">
        <v>70</v>
      </c>
      <c r="F5" s="58" t="s">
        <v>71</v>
      </c>
      <c r="G5" s="60" t="s">
        <v>72</v>
      </c>
      <c r="H5" s="61" t="s">
        <v>73</v>
      </c>
      <c r="I5" s="62" t="s">
        <v>0</v>
      </c>
      <c r="J5" s="58" t="s">
        <v>74</v>
      </c>
      <c r="K5" s="58" t="s">
        <v>75</v>
      </c>
      <c r="L5" s="58" t="s">
        <v>76</v>
      </c>
      <c r="M5" s="58" t="s">
        <v>77</v>
      </c>
      <c r="N5" s="32" t="s">
        <v>78</v>
      </c>
      <c r="O5" s="32" t="s">
        <v>7</v>
      </c>
      <c r="P5" s="32" t="s">
        <v>79</v>
      </c>
      <c r="Q5" s="31" t="s">
        <v>1</v>
      </c>
      <c r="R5" s="58" t="s">
        <v>80</v>
      </c>
      <c r="S5" s="58" t="s">
        <v>81</v>
      </c>
      <c r="T5" s="58" t="s">
        <v>82</v>
      </c>
      <c r="U5" s="58" t="s">
        <v>2</v>
      </c>
    </row>
    <row r="6" spans="1:106" ht="24.95" customHeight="1" x14ac:dyDescent="0.25">
      <c r="B6" s="33"/>
      <c r="C6" s="33"/>
      <c r="D6" s="33"/>
      <c r="E6" s="33"/>
      <c r="F6" s="33"/>
      <c r="G6" s="33"/>
      <c r="H6" s="33"/>
      <c r="I6" s="33"/>
      <c r="J6" s="34">
        <v>0.01</v>
      </c>
      <c r="K6" s="34">
        <v>0.05</v>
      </c>
      <c r="L6" s="34">
        <v>0.05</v>
      </c>
      <c r="M6" s="34">
        <v>0.1</v>
      </c>
      <c r="N6" s="33"/>
      <c r="O6" s="33"/>
      <c r="P6" s="33"/>
      <c r="Q6" s="33"/>
      <c r="R6" s="33"/>
      <c r="S6" s="34">
        <v>0.01</v>
      </c>
      <c r="T6" s="33"/>
      <c r="U6" s="33"/>
    </row>
    <row r="7" spans="1:106" s="25" customFormat="1" ht="24.95" customHeight="1" x14ac:dyDescent="0.25">
      <c r="B7" s="28"/>
      <c r="C7" s="28"/>
      <c r="D7" s="28"/>
      <c r="E7" s="28"/>
      <c r="F7" s="28"/>
      <c r="G7" s="28"/>
      <c r="H7" s="28"/>
      <c r="I7" s="28"/>
      <c r="J7" s="35"/>
      <c r="K7" s="35"/>
      <c r="L7" s="35"/>
      <c r="M7" s="35"/>
      <c r="N7" s="28"/>
      <c r="O7" s="28"/>
      <c r="P7" s="28"/>
      <c r="Q7" s="28"/>
      <c r="R7" s="28"/>
      <c r="S7" s="35"/>
      <c r="T7" s="28"/>
      <c r="U7" s="28"/>
    </row>
    <row r="8" spans="1:106" ht="24.95" customHeight="1" x14ac:dyDescent="0.25">
      <c r="A8" s="4">
        <v>52391</v>
      </c>
      <c r="B8" s="36" t="s">
        <v>83</v>
      </c>
      <c r="C8" s="1">
        <v>44839</v>
      </c>
      <c r="D8" s="29">
        <v>1</v>
      </c>
      <c r="E8" s="14">
        <v>382557</v>
      </c>
      <c r="F8" s="14">
        <v>0</v>
      </c>
      <c r="G8" s="14">
        <f>ROUND(E8-F8,)</f>
        <v>382557</v>
      </c>
      <c r="H8" s="14">
        <f>ROUND(G8*18%,)</f>
        <v>68860</v>
      </c>
      <c r="I8" s="14">
        <f>G8+H8</f>
        <v>451417</v>
      </c>
      <c r="J8" s="14">
        <f>ROUND(G8*$J$6,)</f>
        <v>3826</v>
      </c>
      <c r="K8" s="14">
        <f>ROUND(G8*$K$6,)</f>
        <v>19128</v>
      </c>
      <c r="L8" s="14">
        <f>ROUND(G8*$L$6,)</f>
        <v>19128</v>
      </c>
      <c r="M8" s="14">
        <f>ROUND(G8*$M$6,)</f>
        <v>38256</v>
      </c>
      <c r="N8" s="14">
        <f>H8</f>
        <v>68860</v>
      </c>
      <c r="O8" s="14">
        <v>38144</v>
      </c>
      <c r="P8" s="14">
        <f>I8-SUM(J8:O8)</f>
        <v>264075</v>
      </c>
      <c r="Q8" s="14" t="s">
        <v>10</v>
      </c>
      <c r="R8" s="14">
        <v>198000</v>
      </c>
      <c r="S8" s="14"/>
      <c r="T8" s="14">
        <f>R8</f>
        <v>198000</v>
      </c>
      <c r="U8" s="37" t="s">
        <v>9</v>
      </c>
    </row>
    <row r="9" spans="1:106" ht="24.95" customHeight="1" x14ac:dyDescent="0.25">
      <c r="A9" s="4">
        <v>52391</v>
      </c>
      <c r="B9" s="36" t="s">
        <v>8</v>
      </c>
      <c r="C9" s="1">
        <v>44876</v>
      </c>
      <c r="D9" s="29">
        <v>3</v>
      </c>
      <c r="E9" s="14">
        <v>338711</v>
      </c>
      <c r="F9" s="14">
        <v>0</v>
      </c>
      <c r="G9" s="14">
        <f>E9-F9</f>
        <v>338711</v>
      </c>
      <c r="H9" s="14">
        <f>ROUND(G9*18%,)</f>
        <v>60968</v>
      </c>
      <c r="I9" s="14">
        <f>G9+H9</f>
        <v>399679</v>
      </c>
      <c r="J9" s="14">
        <f>ROUND(G9*$J$6,)</f>
        <v>3387</v>
      </c>
      <c r="K9" s="14">
        <f>ROUND(G9*$K$6,)</f>
        <v>16936</v>
      </c>
      <c r="L9" s="14">
        <f>ROUNDUP(G9*$L$6,1)</f>
        <v>16935.599999999999</v>
      </c>
      <c r="M9" s="14">
        <f>ROUNDUP(G9*$M$6,1)</f>
        <v>33871.1</v>
      </c>
      <c r="N9" s="14">
        <f>H9</f>
        <v>60968</v>
      </c>
      <c r="O9" s="14">
        <v>9607</v>
      </c>
      <c r="P9" s="14">
        <f>ROUNDUP(I9-SUM(J9:O9),0)</f>
        <v>257975</v>
      </c>
      <c r="Q9" s="14" t="s">
        <v>12</v>
      </c>
      <c r="R9" s="14">
        <v>66075</v>
      </c>
      <c r="S9" s="14"/>
      <c r="T9" s="14">
        <f>R9</f>
        <v>66075</v>
      </c>
      <c r="U9" s="37" t="s">
        <v>11</v>
      </c>
    </row>
    <row r="10" spans="1:106" ht="24.95" customHeight="1" x14ac:dyDescent="0.25">
      <c r="A10" s="4">
        <v>52391</v>
      </c>
      <c r="B10" s="36" t="s">
        <v>15</v>
      </c>
      <c r="C10" s="1">
        <v>44915</v>
      </c>
      <c r="D10" s="29">
        <v>1</v>
      </c>
      <c r="E10" s="14">
        <v>68860</v>
      </c>
      <c r="F10" s="14">
        <v>0</v>
      </c>
      <c r="G10" s="14"/>
      <c r="H10" s="14"/>
      <c r="I10" s="14"/>
      <c r="J10" s="14"/>
      <c r="K10" s="14"/>
      <c r="L10" s="14"/>
      <c r="M10" s="14"/>
      <c r="N10" s="14"/>
      <c r="O10" s="14"/>
      <c r="P10" s="14">
        <f>E10</f>
        <v>68860</v>
      </c>
      <c r="Q10" s="14" t="s">
        <v>14</v>
      </c>
      <c r="R10" s="14">
        <v>257975</v>
      </c>
      <c r="S10" s="14"/>
      <c r="T10" s="14">
        <f>R10</f>
        <v>257975</v>
      </c>
      <c r="U10" s="37" t="s">
        <v>13</v>
      </c>
    </row>
    <row r="11" spans="1:106" ht="24.95" customHeight="1" x14ac:dyDescent="0.25">
      <c r="A11" s="4">
        <v>52391</v>
      </c>
      <c r="B11" s="36" t="s">
        <v>15</v>
      </c>
      <c r="C11" s="1">
        <v>44916</v>
      </c>
      <c r="D11" s="29">
        <v>3</v>
      </c>
      <c r="E11" s="14">
        <v>60968</v>
      </c>
      <c r="F11" s="14">
        <v>0</v>
      </c>
      <c r="G11" s="14"/>
      <c r="H11" s="14"/>
      <c r="I11" s="14"/>
      <c r="J11" s="14"/>
      <c r="K11" s="14"/>
      <c r="L11" s="14"/>
      <c r="M11" s="14"/>
      <c r="N11" s="14"/>
      <c r="O11" s="14"/>
      <c r="P11" s="14">
        <f>E11</f>
        <v>60968</v>
      </c>
      <c r="Q11" s="14" t="s">
        <v>17</v>
      </c>
      <c r="R11" s="14">
        <v>68860</v>
      </c>
      <c r="S11" s="14"/>
      <c r="T11" s="14">
        <f t="shared" ref="T11:T13" si="0">R11</f>
        <v>68860</v>
      </c>
      <c r="U11" s="37" t="s">
        <v>16</v>
      </c>
    </row>
    <row r="12" spans="1:106" ht="24.95" customHeight="1" x14ac:dyDescent="0.25">
      <c r="A12" s="4">
        <v>52391</v>
      </c>
      <c r="B12" s="36" t="s">
        <v>83</v>
      </c>
      <c r="C12" s="1">
        <v>44996</v>
      </c>
      <c r="D12" s="29">
        <v>6</v>
      </c>
      <c r="E12" s="14">
        <v>452088</v>
      </c>
      <c r="F12" s="14">
        <v>0</v>
      </c>
      <c r="G12" s="14">
        <f>ROUND(E12-F12,)</f>
        <v>452088</v>
      </c>
      <c r="H12" s="14">
        <f>ROUND(G12*18%,)</f>
        <v>81376</v>
      </c>
      <c r="I12" s="14">
        <f>G12+H12</f>
        <v>533464</v>
      </c>
      <c r="J12" s="14">
        <f>ROUND(G12*$J$6,)</f>
        <v>4521</v>
      </c>
      <c r="K12" s="14">
        <f>ROUND(G12*$K$6,)</f>
        <v>22604</v>
      </c>
      <c r="L12" s="14">
        <f>ROUND(G12*10%,)</f>
        <v>45209</v>
      </c>
      <c r="M12" s="14">
        <f>ROUND(G12*$M$6,)</f>
        <v>45209</v>
      </c>
      <c r="N12" s="14">
        <f>H12</f>
        <v>81376</v>
      </c>
      <c r="O12" s="14">
        <v>22838</v>
      </c>
      <c r="P12" s="14">
        <f>I12-SUM(J12:O12)</f>
        <v>311707</v>
      </c>
      <c r="Q12" s="14" t="s">
        <v>19</v>
      </c>
      <c r="R12" s="14">
        <v>60968</v>
      </c>
      <c r="S12" s="14"/>
      <c r="T12" s="14">
        <f t="shared" si="0"/>
        <v>60968</v>
      </c>
      <c r="U12" s="37" t="s">
        <v>18</v>
      </c>
    </row>
    <row r="13" spans="1:106" ht="24.95" customHeight="1" x14ac:dyDescent="0.25">
      <c r="A13" s="4">
        <v>52391</v>
      </c>
      <c r="B13" s="36" t="s">
        <v>15</v>
      </c>
      <c r="C13" s="1">
        <v>45034</v>
      </c>
      <c r="D13" s="29">
        <v>6</v>
      </c>
      <c r="E13" s="14">
        <v>81376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>
        <f>E13</f>
        <v>81376</v>
      </c>
      <c r="Q13" s="14" t="s">
        <v>21</v>
      </c>
      <c r="R13" s="14">
        <v>297000</v>
      </c>
      <c r="S13" s="14"/>
      <c r="T13" s="14">
        <f t="shared" si="0"/>
        <v>297000</v>
      </c>
      <c r="U13" s="37" t="s">
        <v>20</v>
      </c>
    </row>
    <row r="14" spans="1:106" ht="24.95" customHeight="1" x14ac:dyDescent="0.25">
      <c r="A14" s="4">
        <v>52391</v>
      </c>
      <c r="B14" s="36" t="s">
        <v>83</v>
      </c>
      <c r="C14" s="1">
        <v>45122</v>
      </c>
      <c r="D14" s="29">
        <v>12</v>
      </c>
      <c r="E14" s="14">
        <v>290414.7</v>
      </c>
      <c r="F14" s="14">
        <v>26271.1</v>
      </c>
      <c r="G14" s="14">
        <f>ROUND(E14+F14,)</f>
        <v>316686</v>
      </c>
      <c r="H14" s="14">
        <f>ROUND(G14*18%,)</f>
        <v>57003</v>
      </c>
      <c r="I14" s="14">
        <f>G14+H14</f>
        <v>373689</v>
      </c>
      <c r="J14" s="14">
        <f>ROUND(G14*$J$6,)</f>
        <v>3167</v>
      </c>
      <c r="K14" s="14">
        <f>ROUND(G14*$K$6,)</f>
        <v>15834</v>
      </c>
      <c r="L14" s="14">
        <f>ROUND(G14*10%,)</f>
        <v>31669</v>
      </c>
      <c r="M14" s="14">
        <f>ROUND(G14*$M$6,)</f>
        <v>31669</v>
      </c>
      <c r="N14" s="14">
        <f>H14</f>
        <v>57003</v>
      </c>
      <c r="O14" s="14"/>
      <c r="P14" s="14">
        <f>I14-SUM(J14:O14)</f>
        <v>234347</v>
      </c>
      <c r="Q14" s="14" t="s">
        <v>23</v>
      </c>
      <c r="R14" s="14">
        <v>14707</v>
      </c>
      <c r="S14" s="14"/>
      <c r="T14" s="14">
        <f>R14</f>
        <v>14707</v>
      </c>
      <c r="U14" s="37" t="s">
        <v>22</v>
      </c>
    </row>
    <row r="15" spans="1:106" s="24" customFormat="1" ht="24.95" customHeight="1" x14ac:dyDescent="0.25">
      <c r="A15" s="30">
        <v>52391</v>
      </c>
      <c r="B15" s="36" t="s">
        <v>15</v>
      </c>
      <c r="C15" s="1">
        <v>45159</v>
      </c>
      <c r="D15" s="29">
        <v>12</v>
      </c>
      <c r="E15" s="14">
        <v>57003</v>
      </c>
      <c r="F15" s="14"/>
      <c r="G15" s="14">
        <f>ROUND(E15+F15,)</f>
        <v>57003</v>
      </c>
      <c r="H15" s="14"/>
      <c r="I15" s="14">
        <f>G15+H15</f>
        <v>57003</v>
      </c>
      <c r="J15" s="14"/>
      <c r="K15" s="14"/>
      <c r="L15" s="14"/>
      <c r="M15" s="14"/>
      <c r="N15" s="14"/>
      <c r="O15" s="14"/>
      <c r="P15" s="14">
        <f>I15-SUM(J15:O15)</f>
        <v>57003</v>
      </c>
      <c r="Q15" s="14" t="s">
        <v>25</v>
      </c>
      <c r="R15" s="14">
        <v>81376</v>
      </c>
      <c r="S15" s="14"/>
      <c r="T15" s="14">
        <f>R15</f>
        <v>81376</v>
      </c>
      <c r="U15" s="54" t="s">
        <v>24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</row>
    <row r="16" spans="1:106" s="24" customFormat="1" ht="24.95" customHeight="1" x14ac:dyDescent="0.25">
      <c r="A16" s="30">
        <v>52391</v>
      </c>
      <c r="B16" s="36" t="s">
        <v>83</v>
      </c>
      <c r="C16" s="1">
        <v>45273</v>
      </c>
      <c r="D16" s="29">
        <v>19</v>
      </c>
      <c r="E16" s="14">
        <v>316774</v>
      </c>
      <c r="F16" s="14">
        <v>57225</v>
      </c>
      <c r="G16" s="14">
        <f>E16-F16</f>
        <v>259549</v>
      </c>
      <c r="H16" s="14">
        <f>ROUND(G16*18%,)</f>
        <v>46719</v>
      </c>
      <c r="I16" s="14">
        <f>G16+H16</f>
        <v>306268</v>
      </c>
      <c r="J16" s="14">
        <f>ROUND(G16*$J$6,)</f>
        <v>2595</v>
      </c>
      <c r="K16" s="14">
        <f>ROUND(G16*$K$6,)</f>
        <v>12977</v>
      </c>
      <c r="L16" s="14">
        <f>ROUND(G16*10%,)</f>
        <v>25955</v>
      </c>
      <c r="M16" s="14">
        <f>ROUND(G16*$M$6,)</f>
        <v>25955</v>
      </c>
      <c r="N16" s="14">
        <f>H16</f>
        <v>46719</v>
      </c>
      <c r="O16" s="14"/>
      <c r="P16" s="14">
        <f>I16-SUM(J16:O16)</f>
        <v>192067</v>
      </c>
      <c r="Q16" s="14" t="s">
        <v>31</v>
      </c>
      <c r="R16" s="14">
        <v>234347</v>
      </c>
      <c r="S16" s="14"/>
      <c r="T16" s="14">
        <f t="shared" ref="T16:T18" si="1">R16</f>
        <v>234347</v>
      </c>
      <c r="U16" s="37" t="s">
        <v>32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</row>
    <row r="17" spans="1:22" ht="24.95" customHeight="1" x14ac:dyDescent="0.25">
      <c r="A17" s="4">
        <v>52391</v>
      </c>
      <c r="B17" s="36" t="s">
        <v>15</v>
      </c>
      <c r="C17" s="1"/>
      <c r="D17" s="29">
        <v>19</v>
      </c>
      <c r="E17" s="14">
        <f>N16</f>
        <v>46719</v>
      </c>
      <c r="F17" s="14"/>
      <c r="G17" s="14">
        <f>ROUND(E17+F17,)</f>
        <v>46719</v>
      </c>
      <c r="H17" s="14"/>
      <c r="I17" s="14">
        <f>G17+H17</f>
        <v>46719</v>
      </c>
      <c r="J17" s="14"/>
      <c r="K17" s="14"/>
      <c r="L17" s="14"/>
      <c r="M17" s="14"/>
      <c r="N17" s="14"/>
      <c r="O17" s="14"/>
      <c r="P17" s="14">
        <f>I17-SUM(J17:O17)</f>
        <v>46719</v>
      </c>
      <c r="Q17" s="14" t="s">
        <v>33</v>
      </c>
      <c r="R17" s="14">
        <v>57003</v>
      </c>
      <c r="S17" s="14"/>
      <c r="T17" s="14">
        <f t="shared" si="1"/>
        <v>57003</v>
      </c>
      <c r="U17" s="54" t="s">
        <v>34</v>
      </c>
    </row>
    <row r="18" spans="1:22" ht="24.95" customHeight="1" x14ac:dyDescent="0.25">
      <c r="A18" s="4">
        <v>52391</v>
      </c>
      <c r="B18" s="36"/>
      <c r="C18" s="1"/>
      <c r="D18" s="2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 t="s">
        <v>42</v>
      </c>
      <c r="R18" s="14">
        <v>99000</v>
      </c>
      <c r="S18" s="14"/>
      <c r="T18" s="14">
        <f t="shared" si="1"/>
        <v>99000</v>
      </c>
      <c r="U18" s="37" t="s">
        <v>41</v>
      </c>
    </row>
    <row r="19" spans="1:22" ht="24.95" customHeight="1" x14ac:dyDescent="0.25">
      <c r="A19" s="4">
        <v>52391</v>
      </c>
      <c r="B19" s="36"/>
      <c r="C19" s="1"/>
      <c r="D19" s="2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 t="s">
        <v>47</v>
      </c>
      <c r="R19" s="14">
        <v>93067</v>
      </c>
      <c r="S19" s="14"/>
      <c r="T19" s="14">
        <f t="shared" ref="T19" si="2">R19</f>
        <v>93067</v>
      </c>
      <c r="U19" s="37" t="s">
        <v>46</v>
      </c>
    </row>
    <row r="20" spans="1:22" ht="24.95" customHeight="1" x14ac:dyDescent="0.25">
      <c r="A20" s="4">
        <v>52391</v>
      </c>
      <c r="B20" s="36"/>
      <c r="C20" s="1"/>
      <c r="D20" s="2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53</v>
      </c>
      <c r="R20" s="14">
        <v>46719</v>
      </c>
      <c r="S20" s="14"/>
      <c r="T20" s="14">
        <v>46719</v>
      </c>
      <c r="U20" s="37" t="s">
        <v>52</v>
      </c>
    </row>
    <row r="21" spans="1:22" s="25" customFormat="1" ht="24.95" customHeight="1" x14ac:dyDescent="0.25">
      <c r="B21" s="38"/>
      <c r="C21" s="39"/>
      <c r="D21" s="4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41"/>
      <c r="V21" s="53">
        <f>SUM(P8:P20,0)-SUM(T8:T20,0)</f>
        <v>0</v>
      </c>
    </row>
    <row r="22" spans="1:22" ht="24.95" customHeight="1" x14ac:dyDescent="0.25">
      <c r="A22" s="4">
        <v>56802</v>
      </c>
      <c r="B22" s="36" t="s">
        <v>84</v>
      </c>
      <c r="C22" s="1">
        <v>45033</v>
      </c>
      <c r="D22" s="29">
        <v>7</v>
      </c>
      <c r="E22" s="14">
        <v>185000</v>
      </c>
      <c r="F22" s="14">
        <v>13352</v>
      </c>
      <c r="G22" s="14">
        <f>ROUND(E22-F22,)</f>
        <v>171648</v>
      </c>
      <c r="H22" s="14">
        <f>ROUND(G22*18%,0)</f>
        <v>30897</v>
      </c>
      <c r="I22" s="14">
        <f>G22+H22</f>
        <v>202545</v>
      </c>
      <c r="J22" s="14">
        <f>ROUND(G22*$J$6,)</f>
        <v>1716</v>
      </c>
      <c r="K22" s="14">
        <f>G22*$K$6</f>
        <v>8582.4</v>
      </c>
      <c r="L22" s="14">
        <f>G22*$L$6</f>
        <v>8582.4</v>
      </c>
      <c r="M22" s="14">
        <v>0</v>
      </c>
      <c r="N22" s="14">
        <f>H22</f>
        <v>30897</v>
      </c>
      <c r="O22" s="42"/>
      <c r="P22" s="14">
        <f>ROUND(I22-SUM(J22:N22),0)</f>
        <v>152767</v>
      </c>
      <c r="Q22" s="14" t="s">
        <v>27</v>
      </c>
      <c r="R22" s="14">
        <v>152767</v>
      </c>
      <c r="S22" s="14">
        <v>0</v>
      </c>
      <c r="T22" s="14">
        <f>R22-S22</f>
        <v>152767</v>
      </c>
      <c r="U22" s="37" t="s">
        <v>28</v>
      </c>
    </row>
    <row r="23" spans="1:22" ht="24.95" customHeight="1" x14ac:dyDescent="0.25">
      <c r="A23" s="4">
        <v>56802</v>
      </c>
      <c r="B23" s="36" t="s">
        <v>26</v>
      </c>
      <c r="C23" s="1">
        <v>45069</v>
      </c>
      <c r="D23" s="29">
        <v>7</v>
      </c>
      <c r="E23" s="14">
        <v>30897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>
        <f>E23</f>
        <v>30897</v>
      </c>
      <c r="Q23" s="14" t="s">
        <v>29</v>
      </c>
      <c r="R23" s="14">
        <v>30897</v>
      </c>
      <c r="S23" s="14">
        <v>0</v>
      </c>
      <c r="T23" s="14">
        <f>R23-S23</f>
        <v>30897</v>
      </c>
      <c r="U23" s="37" t="s">
        <v>30</v>
      </c>
    </row>
    <row r="24" spans="1:22" ht="24.95" customHeight="1" x14ac:dyDescent="0.25">
      <c r="A24" s="4">
        <v>56802</v>
      </c>
      <c r="B24" s="36" t="s">
        <v>84</v>
      </c>
      <c r="C24" s="1">
        <v>45177</v>
      </c>
      <c r="D24" s="29">
        <v>13</v>
      </c>
      <c r="E24" s="14">
        <v>196000</v>
      </c>
      <c r="F24" s="14">
        <v>0</v>
      </c>
      <c r="G24" s="14">
        <f t="shared" ref="G24:G25" si="3">ROUND(E24-F24,)</f>
        <v>196000</v>
      </c>
      <c r="H24" s="14">
        <f>ROUND(G24*18%,0)</f>
        <v>35280</v>
      </c>
      <c r="I24" s="14">
        <f t="shared" ref="I24" si="4">G24+H24</f>
        <v>231280</v>
      </c>
      <c r="J24" s="14">
        <f t="shared" ref="J24" si="5">ROUND(G24*$J$6,)</f>
        <v>1960</v>
      </c>
      <c r="K24" s="14">
        <f t="shared" ref="K24" si="6">ROUND(G24*$K$6,)</f>
        <v>9800</v>
      </c>
      <c r="L24" s="14">
        <f>G24*$L$6</f>
        <v>9800</v>
      </c>
      <c r="M24" s="14">
        <v>0</v>
      </c>
      <c r="N24" s="14">
        <f>H24</f>
        <v>35280</v>
      </c>
      <c r="O24" s="14">
        <f t="shared" ref="O24" si="7">H24</f>
        <v>35280</v>
      </c>
      <c r="P24" s="14">
        <f t="shared" ref="P24" si="8">ROUND(I24-SUM(J24:O24),0)</f>
        <v>139160</v>
      </c>
      <c r="Q24" s="14" t="s">
        <v>35</v>
      </c>
      <c r="R24" s="14">
        <v>174440</v>
      </c>
      <c r="S24" s="14">
        <v>0</v>
      </c>
      <c r="T24" s="14">
        <f t="shared" ref="T24:T25" si="9">R24-S24</f>
        <v>174440</v>
      </c>
      <c r="U24" s="37" t="s">
        <v>36</v>
      </c>
    </row>
    <row r="25" spans="1:22" ht="24.95" customHeight="1" x14ac:dyDescent="0.25">
      <c r="A25" s="4">
        <v>56802</v>
      </c>
      <c r="B25" s="36" t="s">
        <v>26</v>
      </c>
      <c r="C25" s="1">
        <v>45217</v>
      </c>
      <c r="D25" s="29">
        <v>13</v>
      </c>
      <c r="E25" s="14">
        <v>35280</v>
      </c>
      <c r="F25" s="14"/>
      <c r="G25" s="14">
        <f t="shared" si="3"/>
        <v>35280</v>
      </c>
      <c r="H25" s="14"/>
      <c r="I25" s="14">
        <f t="shared" ref="I25" si="10">G25+H25</f>
        <v>35280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f t="shared" ref="O25" si="11">H25</f>
        <v>0</v>
      </c>
      <c r="P25" s="14">
        <f t="shared" ref="P25" si="12">ROUND(I25-SUM(J25:O25),0)</f>
        <v>35280</v>
      </c>
      <c r="Q25" s="14" t="s">
        <v>37</v>
      </c>
      <c r="R25" s="14">
        <v>35280</v>
      </c>
      <c r="S25" s="14"/>
      <c r="T25" s="14">
        <f t="shared" si="9"/>
        <v>35280</v>
      </c>
      <c r="U25" s="37" t="s">
        <v>38</v>
      </c>
    </row>
    <row r="26" spans="1:22" s="25" customFormat="1" ht="24.95" customHeight="1" x14ac:dyDescent="0.25">
      <c r="B26" s="38"/>
      <c r="C26" s="39"/>
      <c r="D26" s="4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41"/>
      <c r="V26" s="53">
        <f>SUM(P22:P25,0)-SUM(T22:T25,0)</f>
        <v>-35280</v>
      </c>
    </row>
    <row r="27" spans="1:22" ht="24.95" customHeight="1" x14ac:dyDescent="0.25">
      <c r="A27" s="4">
        <v>59218</v>
      </c>
      <c r="B27" s="36" t="s">
        <v>85</v>
      </c>
      <c r="C27" s="1">
        <v>45177</v>
      </c>
      <c r="D27" s="29">
        <v>14</v>
      </c>
      <c r="E27" s="14">
        <v>40000</v>
      </c>
      <c r="F27" s="14"/>
      <c r="G27" s="14">
        <f>E27-F27</f>
        <v>40000</v>
      </c>
      <c r="H27" s="14">
        <f>G27*18%</f>
        <v>7200</v>
      </c>
      <c r="I27" s="14">
        <f>G27+H27</f>
        <v>47200</v>
      </c>
      <c r="J27" s="14">
        <f>G27*1%</f>
        <v>400</v>
      </c>
      <c r="K27" s="14">
        <f>G27*5%</f>
        <v>2000</v>
      </c>
      <c r="L27" s="14">
        <v>0</v>
      </c>
      <c r="M27" s="14">
        <v>0</v>
      </c>
      <c r="N27" s="14">
        <f>H27</f>
        <v>7200</v>
      </c>
      <c r="O27" s="14">
        <v>0</v>
      </c>
      <c r="P27" s="14">
        <f t="shared" ref="P27" si="13">ROUND(I27-SUM(J27:O27),0)</f>
        <v>37600</v>
      </c>
      <c r="Q27" s="14" t="s">
        <v>55</v>
      </c>
      <c r="R27" s="14">
        <v>37600</v>
      </c>
      <c r="S27" s="14"/>
      <c r="T27" s="14">
        <v>37600</v>
      </c>
      <c r="U27" s="37" t="s">
        <v>39</v>
      </c>
    </row>
    <row r="28" spans="1:22" ht="24.95" customHeight="1" x14ac:dyDescent="0.25">
      <c r="A28" s="4">
        <v>59218</v>
      </c>
      <c r="B28" s="14" t="s">
        <v>43</v>
      </c>
      <c r="C28" s="14"/>
      <c r="D28" s="14">
        <v>14</v>
      </c>
      <c r="E28" s="14">
        <v>7200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>
        <f>E28</f>
        <v>7200</v>
      </c>
      <c r="Q28" s="14" t="s">
        <v>56</v>
      </c>
      <c r="R28" s="14">
        <v>7200</v>
      </c>
      <c r="S28" s="14"/>
      <c r="T28" s="14">
        <v>7200</v>
      </c>
      <c r="U28" s="37" t="s">
        <v>40</v>
      </c>
    </row>
    <row r="29" spans="1:22" ht="24.95" customHeight="1" x14ac:dyDescent="0.25">
      <c r="A29" s="4">
        <v>59218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2"/>
    </row>
    <row r="30" spans="1:22" ht="24.95" customHeight="1" x14ac:dyDescent="0.25">
      <c r="A30" s="25"/>
      <c r="B30" s="38"/>
      <c r="C30" s="39"/>
      <c r="D30" s="40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41"/>
      <c r="V30" s="53">
        <f>SUM(P27:P29,0)-SUM(T27:T29,0)</f>
        <v>0</v>
      </c>
    </row>
    <row r="31" spans="1:22" ht="24.95" customHeight="1" x14ac:dyDescent="0.25">
      <c r="A31" s="4">
        <v>60105</v>
      </c>
      <c r="B31" s="36" t="s">
        <v>86</v>
      </c>
      <c r="C31" s="1">
        <v>45237</v>
      </c>
      <c r="D31" s="29">
        <v>15</v>
      </c>
      <c r="E31" s="14">
        <v>179709</v>
      </c>
      <c r="F31" s="14"/>
      <c r="G31" s="14">
        <f>E31-F31</f>
        <v>179709</v>
      </c>
      <c r="H31" s="14">
        <f>G31*18%</f>
        <v>32347.62</v>
      </c>
      <c r="I31" s="14">
        <f>G31+H31</f>
        <v>212056.62</v>
      </c>
      <c r="J31" s="14">
        <f>G31*1%</f>
        <v>1797.0900000000001</v>
      </c>
      <c r="K31" s="14">
        <f>G31*5%</f>
        <v>8985.4500000000007</v>
      </c>
      <c r="L31" s="14">
        <f>G31*10%</f>
        <v>17970.900000000001</v>
      </c>
      <c r="M31" s="14">
        <f>G31*10%</f>
        <v>17970.900000000001</v>
      </c>
      <c r="N31" s="14">
        <f>H31</f>
        <v>32347.62</v>
      </c>
      <c r="O31" s="14">
        <v>18375</v>
      </c>
      <c r="P31" s="14">
        <f t="shared" ref="P31" si="14">ROUND(I31-SUM(J31:O31),0)</f>
        <v>114610</v>
      </c>
      <c r="Q31" s="14" t="s">
        <v>57</v>
      </c>
      <c r="R31" s="14">
        <v>114609</v>
      </c>
      <c r="S31" s="14"/>
      <c r="T31" s="14">
        <v>114609</v>
      </c>
      <c r="U31" s="37" t="s">
        <v>45</v>
      </c>
    </row>
    <row r="32" spans="1:22" ht="24.95" customHeight="1" x14ac:dyDescent="0.25">
      <c r="A32" s="4">
        <v>60105</v>
      </c>
      <c r="B32" s="14" t="s">
        <v>43</v>
      </c>
      <c r="C32" s="14"/>
      <c r="D32" s="14">
        <v>15</v>
      </c>
      <c r="E32" s="14">
        <f>N31</f>
        <v>32347.62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>
        <f>E32</f>
        <v>32347.62</v>
      </c>
      <c r="Q32" s="14" t="s">
        <v>58</v>
      </c>
      <c r="R32" s="14">
        <v>32348</v>
      </c>
      <c r="S32" s="14"/>
      <c r="T32" s="14">
        <v>32348</v>
      </c>
      <c r="U32" s="37" t="s">
        <v>54</v>
      </c>
    </row>
    <row r="33" spans="1:22" ht="24.95" customHeight="1" x14ac:dyDescent="0.25">
      <c r="A33" s="4">
        <v>60105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</row>
    <row r="34" spans="1:22" ht="24.95" customHeight="1" thickBot="1" x14ac:dyDescent="0.2">
      <c r="A34" s="4">
        <v>60105</v>
      </c>
      <c r="B34" s="2"/>
      <c r="C34" s="2"/>
      <c r="D34" s="2"/>
      <c r="E34" s="43"/>
      <c r="F34" s="43"/>
      <c r="G34" s="43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44"/>
      <c r="V34" s="53">
        <f>SUM(P31:P34,0)-SUM(T31:T34,0)</f>
        <v>0.61999999999534339</v>
      </c>
    </row>
    <row r="35" spans="1:22" ht="24.9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5"/>
    </row>
    <row r="36" spans="1:22" ht="24.95" customHeight="1" thickBot="1" x14ac:dyDescent="0.3">
      <c r="A36" s="1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7"/>
      <c r="U36" s="45"/>
    </row>
    <row r="37" spans="1:22" ht="24.95" customHeight="1" thickBot="1" x14ac:dyDescent="0.3">
      <c r="A37" s="16"/>
      <c r="B37" s="46"/>
      <c r="C37" s="47"/>
      <c r="D37" s="47"/>
      <c r="E37" s="47"/>
      <c r="F37" s="47"/>
      <c r="G37" s="47"/>
      <c r="H37" s="47"/>
      <c r="I37" s="47"/>
      <c r="J37" s="47"/>
      <c r="K37" s="48" t="s">
        <v>6</v>
      </c>
      <c r="L37" s="47"/>
      <c r="M37" s="47"/>
      <c r="N37" s="47"/>
      <c r="O37" s="47"/>
      <c r="P37" s="48">
        <f>SUM(P8:P34)</f>
        <v>2124958.62</v>
      </c>
      <c r="Q37" s="48" t="s">
        <v>4</v>
      </c>
      <c r="R37" s="47"/>
      <c r="T37" s="49">
        <f>SUM(T6:T34)</f>
        <v>2160238</v>
      </c>
      <c r="U37" s="50"/>
    </row>
    <row r="38" spans="1:22" ht="24.9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22"/>
      <c r="R38" s="15"/>
      <c r="T38" s="16"/>
      <c r="U38" s="15"/>
    </row>
    <row r="39" spans="1:22" ht="24.9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22">
        <f>SUM(K8:K34)</f>
        <v>116846.84999999999</v>
      </c>
      <c r="L39" s="22">
        <f t="shared" ref="L39:M39" si="15">SUM(L8:L34)</f>
        <v>175249.9</v>
      </c>
      <c r="M39" s="22">
        <f t="shared" si="15"/>
        <v>192931</v>
      </c>
      <c r="N39" s="22">
        <f>SUM(N8:N34)</f>
        <v>420650.62</v>
      </c>
      <c r="O39" s="22">
        <f>SUM(O8:O34)</f>
        <v>124244</v>
      </c>
      <c r="P39" s="15"/>
      <c r="Q39" s="22" t="s">
        <v>5</v>
      </c>
      <c r="R39" s="15"/>
      <c r="T39" s="20">
        <f>P37-T37</f>
        <v>-35279.379999999888</v>
      </c>
      <c r="U39" s="17"/>
    </row>
    <row r="40" spans="1:22" ht="24.9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7"/>
    </row>
    <row r="42" spans="1:22" ht="24.95" customHeight="1" x14ac:dyDescent="0.25">
      <c r="K42" s="23"/>
    </row>
    <row r="43" spans="1:22" ht="24.95" customHeight="1" thickBot="1" x14ac:dyDescent="0.3"/>
    <row r="44" spans="1:22" ht="24.95" customHeight="1" thickBot="1" x14ac:dyDescent="0.3">
      <c r="H44" s="66" t="s">
        <v>59</v>
      </c>
      <c r="I44" s="67"/>
      <c r="J44" s="67"/>
      <c r="K44" s="68"/>
    </row>
    <row r="45" spans="1:22" ht="24.95" customHeight="1" x14ac:dyDescent="0.25">
      <c r="H45" s="69" t="s">
        <v>48</v>
      </c>
      <c r="I45" s="70"/>
      <c r="J45" s="69">
        <f>K39+L39+M39</f>
        <v>485027.75</v>
      </c>
      <c r="K45" s="71"/>
    </row>
    <row r="46" spans="1:22" ht="24.95" customHeight="1" x14ac:dyDescent="0.25">
      <c r="H46" s="72" t="s">
        <v>49</v>
      </c>
      <c r="I46" s="73"/>
      <c r="J46" s="72">
        <f>T39</f>
        <v>-35279.379999999888</v>
      </c>
      <c r="K46" s="74"/>
      <c r="L46" s="19"/>
    </row>
    <row r="47" spans="1:22" ht="24.95" customHeight="1" x14ac:dyDescent="0.25">
      <c r="H47" s="72" t="s">
        <v>3</v>
      </c>
      <c r="I47" s="73"/>
      <c r="J47" s="72">
        <v>94314</v>
      </c>
      <c r="K47" s="74"/>
    </row>
    <row r="48" spans="1:22" ht="24.95" customHeight="1" thickBot="1" x14ac:dyDescent="0.3">
      <c r="H48" s="63" t="s">
        <v>51</v>
      </c>
      <c r="I48" s="64"/>
      <c r="J48" s="63">
        <f>N39-P10-P11-P13-P15-P17-P23-P25-P28-P32</f>
        <v>0</v>
      </c>
      <c r="K48" s="65"/>
    </row>
    <row r="49" spans="8:11" ht="24.95" customHeight="1" thickBot="1" x14ac:dyDescent="0.3">
      <c r="H49" s="63" t="s">
        <v>50</v>
      </c>
      <c r="I49" s="64"/>
      <c r="J49" s="63">
        <f>J46+J48</f>
        <v>-35279.379999999888</v>
      </c>
      <c r="K49" s="65"/>
    </row>
  </sheetData>
  <mergeCells count="11">
    <mergeCell ref="H48:I48"/>
    <mergeCell ref="J48:K48"/>
    <mergeCell ref="H49:I49"/>
    <mergeCell ref="J49:K49"/>
    <mergeCell ref="H44:K44"/>
    <mergeCell ref="H45:I45"/>
    <mergeCell ref="J45:K45"/>
    <mergeCell ref="H46:I46"/>
    <mergeCell ref="J46:K46"/>
    <mergeCell ref="H47:I47"/>
    <mergeCell ref="J47:K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2025-05-29T10:58:57Z</dcterms:modified>
</cp:coreProperties>
</file>