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F9C0F1C3-56AE-47F5-B525-8ECC3E6ED4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mbined" sheetId="1" r:id="rId1"/>
    <sheet name="New rate" sheetId="6" r:id="rId2"/>
  </sheets>
  <calcPr calcId="191029"/>
</workbook>
</file>

<file path=xl/calcChain.xml><?xml version="1.0" encoding="utf-8"?>
<calcChain xmlns="http://schemas.openxmlformats.org/spreadsheetml/2006/main">
  <c r="M17" i="1" l="1"/>
  <c r="Q17" i="1"/>
  <c r="G7" i="1"/>
  <c r="H48" i="6"/>
  <c r="H7" i="1" l="1"/>
  <c r="N7" i="1" s="1"/>
  <c r="N17" i="1" s="1"/>
  <c r="J7" i="1"/>
  <c r="J17" i="1" s="1"/>
  <c r="K7" i="1"/>
  <c r="K17" i="1" s="1"/>
  <c r="L7" i="1"/>
  <c r="L17" i="1" s="1"/>
  <c r="Q92" i="6"/>
  <c r="Q69" i="6"/>
  <c r="Q24" i="6"/>
  <c r="Q23" i="6"/>
  <c r="I14" i="6"/>
  <c r="J14" i="6" s="1"/>
  <c r="K14" i="6" s="1"/>
  <c r="Q9" i="6"/>
  <c r="I8" i="6"/>
  <c r="J8" i="6" s="1"/>
  <c r="K8" i="6" s="1"/>
  <c r="G95" i="6"/>
  <c r="G88" i="6"/>
  <c r="G81" i="6"/>
  <c r="H95" i="6"/>
  <c r="H81" i="6"/>
  <c r="H74" i="6"/>
  <c r="G74" i="6"/>
  <c r="H65" i="6"/>
  <c r="G65" i="6"/>
  <c r="G56" i="6"/>
  <c r="G48" i="6"/>
  <c r="G37" i="6"/>
  <c r="I37" i="6" s="1"/>
  <c r="O37" i="6" s="1"/>
  <c r="H37" i="6"/>
  <c r="H12" i="6"/>
  <c r="H19" i="6"/>
  <c r="H30" i="6"/>
  <c r="G30" i="6"/>
  <c r="G19" i="6"/>
  <c r="G12" i="6"/>
  <c r="G91" i="6"/>
  <c r="I91" i="6" s="1"/>
  <c r="I90" i="6"/>
  <c r="J90" i="6" s="1"/>
  <c r="K90" i="6" s="1"/>
  <c r="H83" i="6"/>
  <c r="H88" i="6" s="1"/>
  <c r="G83" i="6"/>
  <c r="G85" i="6" s="1"/>
  <c r="I85" i="6" s="1"/>
  <c r="G76" i="6"/>
  <c r="G78" i="6" s="1"/>
  <c r="I78" i="6" s="1"/>
  <c r="G67" i="6"/>
  <c r="G68" i="6" s="1"/>
  <c r="I68" i="6" s="1"/>
  <c r="I61" i="6"/>
  <c r="G60" i="6"/>
  <c r="I60" i="6" s="1"/>
  <c r="Q51" i="6"/>
  <c r="H50" i="6"/>
  <c r="H56" i="6" s="1"/>
  <c r="G50" i="6"/>
  <c r="H45" i="6"/>
  <c r="I45" i="6" s="1"/>
  <c r="G43" i="6"/>
  <c r="G44" i="6" s="1"/>
  <c r="I44" i="6" s="1"/>
  <c r="G32" i="6"/>
  <c r="I32" i="6" s="1"/>
  <c r="G22" i="6"/>
  <c r="I22" i="6" s="1"/>
  <c r="G21" i="6"/>
  <c r="G16" i="6"/>
  <c r="I16" i="6" s="1"/>
  <c r="J16" i="6" s="1"/>
  <c r="K16" i="6" s="1"/>
  <c r="G10" i="6"/>
  <c r="I10" i="6" s="1"/>
  <c r="I81" i="6" l="1"/>
  <c r="O81" i="6" s="1"/>
  <c r="I7" i="1"/>
  <c r="O7" i="1" s="1"/>
  <c r="I56" i="6"/>
  <c r="P56" i="6" s="1"/>
  <c r="G25" i="6"/>
  <c r="I25" i="6" s="1"/>
  <c r="K25" i="6" s="1"/>
  <c r="I50" i="6"/>
  <c r="J50" i="6" s="1"/>
  <c r="I95" i="6"/>
  <c r="P95" i="6" s="1"/>
  <c r="I12" i="6"/>
  <c r="O12" i="6" s="1"/>
  <c r="I19" i="6"/>
  <c r="M19" i="6" s="1"/>
  <c r="J10" i="6"/>
  <c r="K10" i="6" s="1"/>
  <c r="J25" i="6"/>
  <c r="J22" i="6"/>
  <c r="K22" i="6" s="1"/>
  <c r="L45" i="6"/>
  <c r="M45" i="6"/>
  <c r="N45" i="6"/>
  <c r="O45" i="6"/>
  <c r="J32" i="6"/>
  <c r="K32" i="6" s="1"/>
  <c r="I21" i="6"/>
  <c r="N37" i="6"/>
  <c r="M37" i="6"/>
  <c r="I83" i="6"/>
  <c r="J83" i="6" s="1"/>
  <c r="G84" i="6" s="1"/>
  <c r="I84" i="6" s="1"/>
  <c r="K84" i="6" s="1"/>
  <c r="Q84" i="6" s="1"/>
  <c r="L37" i="6"/>
  <c r="G34" i="6"/>
  <c r="I34" i="6" s="1"/>
  <c r="J37" i="6"/>
  <c r="K37" i="6" s="1"/>
  <c r="I88" i="6"/>
  <c r="M88" i="6" s="1"/>
  <c r="I74" i="6"/>
  <c r="L74" i="6" s="1"/>
  <c r="I65" i="6"/>
  <c r="N65" i="6" s="1"/>
  <c r="J56" i="6"/>
  <c r="K56" i="6" s="1"/>
  <c r="O56" i="6"/>
  <c r="L56" i="6"/>
  <c r="M56" i="6"/>
  <c r="N56" i="6"/>
  <c r="I48" i="6"/>
  <c r="J48" i="6" s="1"/>
  <c r="K48" i="6" s="1"/>
  <c r="P37" i="6"/>
  <c r="P12" i="6"/>
  <c r="N12" i="6"/>
  <c r="I30" i="6"/>
  <c r="O30" i="6" s="1"/>
  <c r="P30" i="6"/>
  <c r="J85" i="6"/>
  <c r="J44" i="6"/>
  <c r="J68" i="6"/>
  <c r="J91" i="6"/>
  <c r="J78" i="6"/>
  <c r="J60" i="6"/>
  <c r="I67" i="6"/>
  <c r="I43" i="6"/>
  <c r="G52" i="6"/>
  <c r="I52" i="6" s="1"/>
  <c r="J61" i="6"/>
  <c r="K61" i="6" s="1"/>
  <c r="J45" i="6"/>
  <c r="P45" i="6" s="1"/>
  <c r="I76" i="6"/>
  <c r="J81" i="6" l="1"/>
  <c r="K81" i="6" s="1"/>
  <c r="L81" i="6"/>
  <c r="J95" i="6"/>
  <c r="K95" i="6" s="1"/>
  <c r="M81" i="6"/>
  <c r="Q81" i="6" s="1"/>
  <c r="N95" i="6"/>
  <c r="N81" i="6"/>
  <c r="O95" i="6"/>
  <c r="P81" i="6"/>
  <c r="M95" i="6"/>
  <c r="P19" i="6"/>
  <c r="L19" i="6"/>
  <c r="L95" i="6"/>
  <c r="J19" i="6"/>
  <c r="K19" i="6" s="1"/>
  <c r="M12" i="6"/>
  <c r="O19" i="6"/>
  <c r="J12" i="6"/>
  <c r="K12" i="6" s="1"/>
  <c r="N19" i="6"/>
  <c r="J65" i="6"/>
  <c r="K65" i="6" s="1"/>
  <c r="N74" i="6"/>
  <c r="K83" i="6"/>
  <c r="M74" i="6"/>
  <c r="L12" i="6"/>
  <c r="O74" i="6"/>
  <c r="N88" i="6"/>
  <c r="J88" i="6"/>
  <c r="K88" i="6" s="1"/>
  <c r="M48" i="6"/>
  <c r="P65" i="6"/>
  <c r="J21" i="6"/>
  <c r="K21" i="6" s="1"/>
  <c r="L48" i="6"/>
  <c r="O65" i="6"/>
  <c r="O88" i="6"/>
  <c r="L30" i="6"/>
  <c r="N48" i="6"/>
  <c r="Q37" i="6"/>
  <c r="J30" i="6"/>
  <c r="K30" i="6" s="1"/>
  <c r="M30" i="6"/>
  <c r="P48" i="6"/>
  <c r="L65" i="6"/>
  <c r="J34" i="6"/>
  <c r="K34" i="6" s="1"/>
  <c r="M65" i="6"/>
  <c r="L88" i="6"/>
  <c r="P88" i="6"/>
  <c r="N30" i="6"/>
  <c r="O48" i="6"/>
  <c r="J74" i="6"/>
  <c r="K74" i="6" s="1"/>
  <c r="P74" i="6"/>
  <c r="Q95" i="6"/>
  <c r="Q56" i="6"/>
  <c r="J76" i="6"/>
  <c r="K50" i="6"/>
  <c r="K68" i="6"/>
  <c r="K45" i="6"/>
  <c r="Q45" i="6" s="1"/>
  <c r="J52" i="6"/>
  <c r="K52" i="6" s="1"/>
  <c r="J67" i="6"/>
  <c r="K67" i="6" s="1"/>
  <c r="K78" i="6"/>
  <c r="J43" i="6"/>
  <c r="K60" i="6"/>
  <c r="K91" i="6"/>
  <c r="K85" i="6"/>
  <c r="G33" i="6"/>
  <c r="I33" i="6" s="1"/>
  <c r="K44" i="6"/>
  <c r="Q19" i="6" l="1"/>
  <c r="Q12" i="6"/>
  <c r="O98" i="6"/>
  <c r="Q65" i="6"/>
  <c r="M98" i="6"/>
  <c r="N98" i="6"/>
  <c r="Q88" i="6"/>
  <c r="Q48" i="6"/>
  <c r="Q30" i="6"/>
  <c r="Q74" i="6"/>
  <c r="K33" i="6"/>
  <c r="Q33" i="6" s="1"/>
  <c r="K76" i="6"/>
  <c r="K43" i="6"/>
  <c r="Q96" i="6" l="1"/>
  <c r="T97" i="6" s="1"/>
  <c r="O8" i="1" l="1"/>
  <c r="O17" i="1" s="1"/>
  <c r="Q18" i="1" l="1"/>
</calcChain>
</file>

<file path=xl/sharedStrings.xml><?xml version="1.0" encoding="utf-8"?>
<sst xmlns="http://schemas.openxmlformats.org/spreadsheetml/2006/main" count="214" uniqueCount="165">
  <si>
    <t>Invoice Reconcilation</t>
  </si>
  <si>
    <t>Janardhan Organic Food Mill</t>
  </si>
  <si>
    <t>OHT Construction work</t>
  </si>
  <si>
    <t>Invoice Details</t>
  </si>
  <si>
    <t>Invoice Date</t>
  </si>
  <si>
    <t>Invoice No</t>
  </si>
  <si>
    <t>Basic Amt</t>
  </si>
  <si>
    <t xml:space="preserve">Debit </t>
  </si>
  <si>
    <t>After Debit Amt</t>
  </si>
  <si>
    <t>18% GST</t>
  </si>
  <si>
    <t>Amount</t>
  </si>
  <si>
    <t>TDS (1%)</t>
  </si>
  <si>
    <t>SD (5%)</t>
  </si>
  <si>
    <t>On Commissioning</t>
  </si>
  <si>
    <t>Testing Deposit</t>
  </si>
  <si>
    <t>GST SD (18%)</t>
  </si>
  <si>
    <t>Final Amount</t>
  </si>
  <si>
    <t>PAYMENT NOTE No.</t>
  </si>
  <si>
    <t>Total Amount Paid</t>
  </si>
  <si>
    <t>UTR</t>
  </si>
  <si>
    <t>Kajipur Thirwa Village OHT Construction work 250kl 12 m</t>
  </si>
  <si>
    <t>RIUP22/2401</t>
  </si>
  <si>
    <t>01/03/2023 NEFT/AXISP00367587604/RIUP22/2401/JANARD 495000.00</t>
  </si>
  <si>
    <t>RIUP23/579</t>
  </si>
  <si>
    <t>12-06-2023 NEFT/AXISP00397581454/RIUP23/579/JANARDAN ORGANIC 99000.00</t>
  </si>
  <si>
    <t>RIUP23/651</t>
  </si>
  <si>
    <t>13-06-2023 NEFT/AXISP00398124635/RIUP23/651/JANARDAN ORGANIC 99000.00</t>
  </si>
  <si>
    <t>Total Payable Amount Rs. -</t>
  </si>
  <si>
    <t>Makheri kadargarh  Village OHT Construction work</t>
  </si>
  <si>
    <t>GST release note</t>
  </si>
  <si>
    <t>RIUP22/1124</t>
  </si>
  <si>
    <t>28-10-2022 NEFT/AXISP00332142998/RIUP22/1124/JANARDAN ORGANI 594000.00</t>
  </si>
  <si>
    <t>RIUP22/1996</t>
  </si>
  <si>
    <t>24-01-2023 NEFT/AXISP00330179787/RIUP22/1996/JANARDAN ORGANI 495000.00</t>
  </si>
  <si>
    <t>Mantmanti  Village OHT Construction work )375 KL 12 M staging Ht)</t>
  </si>
  <si>
    <t>RIUP22/1050</t>
  </si>
  <si>
    <t>20-10-2022 NEFT/AXISP00330179783/RIUP22/1050/JANARDAN ORGANI 594000.00</t>
  </si>
  <si>
    <t>RIUP22/1995</t>
  </si>
  <si>
    <t>24-01-2023 NEFT/AXISP00330179786/RIUP22/1995/JANARDAN ORGANI 495000.00</t>
  </si>
  <si>
    <t>2023 April 07 ----------- Janardan Organic Food Mill --------- Rs. 50,000 ------------ /AXISP00379707431</t>
  </si>
  <si>
    <t>Badhev Kannukheda Village OHT Construction work</t>
  </si>
  <si>
    <t>RIUP22/1250</t>
  </si>
  <si>
    <t>14-11-2022 NEFT/AXISP00337247390/RIUP22/1250/JANARDAN ORGANI 297000.00</t>
  </si>
  <si>
    <t>RIUP22/1344</t>
  </si>
  <si>
    <t>24-11-2022 NEFT/AXISP00340040190/RIUP22/1344/JANARDAN ORGANI 297000.00</t>
  </si>
  <si>
    <t>RIUP22/1616</t>
  </si>
  <si>
    <t>23-12-2022 NEFT/AXISP00348462541/RIUP22/1616/JANARDAN ORGANI 198000.00</t>
  </si>
  <si>
    <t>RIUP22/2142</t>
  </si>
  <si>
    <t>13-02-2023 NEFT/AXISP00362757393/RIUP22/2142/JANARDAN ORGANI ₹ 30,106.00</t>
  </si>
  <si>
    <t>RIUP22/2183</t>
  </si>
  <si>
    <t>16-02-2023 NEFT/AXISP00363866679/RIUP22/2183/JANARDAN ORGANI ₹ 85,079.00</t>
  </si>
  <si>
    <t>2023 April 07 ------------ Janardan Organic Food Mills ------------ Rs. 2,00,000 -------------- AXISP00379707434</t>
  </si>
  <si>
    <t>SPUP23/0191</t>
  </si>
  <si>
    <t>21-04-2023 NEFT/AXISP00383377297/SPUP23/0191/JANARDAN ORGANI 7573.00</t>
  </si>
  <si>
    <t>RIUP23/331</t>
  </si>
  <si>
    <t>19-05-2023 NEFT/AXISP00391394987/RIUP23/331/JANARDAN ORGANIC ₹ 1,48,500.00</t>
  </si>
  <si>
    <t>Datera  Village OHT Construction work</t>
  </si>
  <si>
    <t>GST reklease note</t>
  </si>
  <si>
    <t>RIUP22/1390</t>
  </si>
  <si>
    <t>30-11-2022 NEFT/AXISP00341651972/RIUP22/1390/JANARDAN ORGANI 495000.00</t>
  </si>
  <si>
    <t>RIUP22/1578</t>
  </si>
  <si>
    <t>20-12-2022 NEFT/AXISP00347623939/RIUP22/1578/JANARDAN ORGANI 148500.00</t>
  </si>
  <si>
    <t>Grahi Hasanpur Village OHT Construction work</t>
  </si>
  <si>
    <t>GST release</t>
  </si>
  <si>
    <t>RIUP22/1512</t>
  </si>
  <si>
    <t>14-12-2022 NEFT/AXISP00346247015/RIUP22/1512/JANARDAN ORGANI 495000.00</t>
  </si>
  <si>
    <t>RIUP22/2178</t>
  </si>
  <si>
    <t>15-02-2023 NEFT/AXISP00363307377/RIUP22/2178/JANARDAN ORGANI ₹ 29,556.00 - GST adj</t>
  </si>
  <si>
    <t>2023 April 07 ---------- Janardan Organic Food Mill ----------- Rs. 1,00,000 ---------- AXISP00379707433</t>
  </si>
  <si>
    <t>RIUP22/2495</t>
  </si>
  <si>
    <t>08-03-2023 NEFT/AXISP00369766184/RIUP22/2495/JANARDAN ORGANI 495000.00</t>
  </si>
  <si>
    <t>Rajhar Village OHT Construction work 350kl 14 m</t>
  </si>
  <si>
    <t>SPUP23/0186</t>
  </si>
  <si>
    <t>19-04-2023 19-04-2023 NEFT/AXISP00382928308/SPUP23/0186/JANARDAN ORGANI 215436.00</t>
  </si>
  <si>
    <t>SPUP23/0187</t>
  </si>
  <si>
    <t>19-04-2023 19-04-2023 NEFT/AXISP00382928309/SPUP23/0187/JANARDAN ORGANI 357153.00</t>
  </si>
  <si>
    <t>Titayli Village OHT Construction work</t>
  </si>
  <si>
    <t>GST Release Note</t>
  </si>
  <si>
    <t>RIUP22/786</t>
  </si>
  <si>
    <t>20-09-2022 NEFT/AXISP00321260566/RIUP22/786/JANARDAN ORGANIC ₹ 2,97,000.00</t>
  </si>
  <si>
    <t>RIUP22/1251</t>
  </si>
  <si>
    <t>14-11-2022 NEFT/AXISP00337247391/RIUP22/1251/JANARDAN ORGANI 198000.00</t>
  </si>
  <si>
    <t>Gangarampur Village OHT Construction work 250 kl 12m</t>
  </si>
  <si>
    <t>RIUP22/698</t>
  </si>
  <si>
    <t>07-09-2022 NEFT/AXISP00318202763/RIUP22/698/JANARDAN ORGANIC 297000.00</t>
  </si>
  <si>
    <t>RIUP22/785</t>
  </si>
  <si>
    <t>20-09-2022 NEFT/AXISP00321260568/RIUP22/785/JANARDAN ORGANIC ₹ 2,97,000.00</t>
  </si>
  <si>
    <t>RIUP22/1579</t>
  </si>
  <si>
    <t>20-12-2022 NEFT/AXISP00347623938/RIUP22/1579/JANARDAN ORGANI 148500.00</t>
  </si>
  <si>
    <t>2023 April 07 ---------- Janardam Organic Food Mill ----------- Rs. 50,000 ------------ /AXISP00379707430</t>
  </si>
  <si>
    <t>Kheri Khushnam Village OHT Construction work</t>
  </si>
  <si>
    <t>RIUP22/697</t>
  </si>
  <si>
    <t>07-09-2022 NEFT/AXISP00318202764/RIUP22/697/JANARDAN ORGANIC 297000.00</t>
  </si>
  <si>
    <t>RIUP22/784</t>
  </si>
  <si>
    <t>20-09-2022 NEFT/AXISP00321260567/RIUP22/784/JANARDAN ORGANIC ₹ 2,97,000.00</t>
  </si>
  <si>
    <t>2023 April 07 ------------ Janardan Organic Food Mill ---------- Rs. 1,00,000 ------------ AXISP00379707432</t>
  </si>
  <si>
    <t>Kelashikarpur Village OHT Construction work 200Kl 14 mtr</t>
  </si>
  <si>
    <t xml:space="preserve">GST Release Note </t>
  </si>
  <si>
    <t>RIUP22/537</t>
  </si>
  <si>
    <t>19-08-2022 NEFT/AXISP00312898798/RIUP22/537/JANARDAN ORGANIC 396000.00</t>
  </si>
  <si>
    <t>RIUP22/1123</t>
  </si>
  <si>
    <t>28-10-2022 NEFT/AXISP00332142997/RIUP22/1123/JANARDAN ORGANI 594000.00</t>
  </si>
  <si>
    <t>RIUP23/944</t>
  </si>
  <si>
    <t>28-06-2023 NEFT/AXISP00401570071/RIUP23/944/JANARDAN ORGANIC ₹ 1,98,000.00</t>
  </si>
  <si>
    <t>RIUP23/943</t>
  </si>
  <si>
    <t>28-06-2023 NEFT/AXISP00401570070/RIUP23/943/JANARDAN ORGANIC ₹ 1,98,000.00</t>
  </si>
  <si>
    <t>RIUP23/942</t>
  </si>
  <si>
    <t>28-06-2023 NEFT/AXISP00401570069/RIUP23/942/JANARDAN ORGANIC ₹ 1,98,000.00</t>
  </si>
  <si>
    <t>RIUP23/941</t>
  </si>
  <si>
    <t>28-06-2023 NEFT/AXISP00401570068/RIUP23/941/JANARDAN ORGANIC ₹ 1,98,000.00</t>
  </si>
  <si>
    <t>28-06-2023 NEFT/AXISP00401570067/RIUP23/940/JANARDAN ORGANIC ₹ 1,98,000.00</t>
  </si>
  <si>
    <t>RIUP23/940</t>
  </si>
  <si>
    <t>RIUP23/963</t>
  </si>
  <si>
    <t>30-06-2023 NEFT/AXISP00402152394/RIUP23/963/JANARDAN ORGANIC 247500.00</t>
  </si>
  <si>
    <t>30-06-2023 NEFT/AXISP00402152393/RIUP23/965/JANARDAN ORGANIC 247500.00</t>
  </si>
  <si>
    <t>RIUP23/964</t>
  </si>
  <si>
    <t>30-06-2023 NEFT/AXISP00402152395/RIUP23/964/JANARDAN ORGANIC 198000.00</t>
  </si>
  <si>
    <t>RIUP23/975</t>
  </si>
  <si>
    <t>01-07-2023 NEFT/AXISP00402764249/RIUP23/975/JANARDAN ORGANIC 198000.00</t>
  </si>
  <si>
    <t>03-07-2023 NEFT/AXISP00403218877/RIUP23/992/JANARDAN ORGANIC 99000.00</t>
  </si>
  <si>
    <t>28-07-2023 NEFT/AXISP00410110586/RIUP23/1266A/JANARDAN ORGAN ₹ 1,98,000.00</t>
  </si>
  <si>
    <t>28-07-2023 NEFT/AXISP00410084837/RIUP23/1266/JANARDAN ORGANI 198000.00</t>
  </si>
  <si>
    <t>OR</t>
  </si>
  <si>
    <t>NR</t>
  </si>
  <si>
    <t>Total Paid</t>
  </si>
  <si>
    <t>Balance Payable</t>
  </si>
  <si>
    <t>SITE</t>
  </si>
  <si>
    <t>Work</t>
  </si>
  <si>
    <t>Sub Contractor</t>
  </si>
  <si>
    <t>Shamli - UP</t>
  </si>
  <si>
    <t>28-07-2023 NEFT/AXISP00410084838/RIUP23/1265/JANARDAN ORGANI 99000.01</t>
  </si>
  <si>
    <t>18-07-2023 NEFT/AXISP00407734316/RIUP23/1138/JANARDAN ORGANI 198000.00</t>
  </si>
  <si>
    <t>RIUP23/1138</t>
  </si>
  <si>
    <t>28-07-2023 NEFT/AXISP00410084840/RIUP23/1267A/JANARDAN ORGAN 198000.01</t>
  </si>
  <si>
    <t>18-07-2023 NEFT/AXISP00407734315/RIUP23/1137/JANARDAN ORGANI 99000.00</t>
  </si>
  <si>
    <t>RIUP23/1137</t>
  </si>
  <si>
    <t>25-07-2023 NEFT/AXISP00409456856/RIUP23/1209/JANARDAN FOOD ORG 1,98,000.00</t>
  </si>
  <si>
    <t>RIUP23/1209</t>
  </si>
  <si>
    <t>Bhatia CAD</t>
  </si>
  <si>
    <t>28-08-2023 NEFT/AXISP00418870942/RIUP23/1754/BHATIA CAD &amp; DESIG/KKBK0004355 98000.00</t>
  </si>
  <si>
    <t>14-08-2023 NEFT/AXISP00415763057/RIUP23/1515/BHATIA CAD DES ₹ 78,400.00</t>
  </si>
  <si>
    <t>25-08-2023 NEFT/AXISP00418333473/RIUP23/1696/BHATIA CAD &amp; DESIG/KKBK0004355 24703.00</t>
  </si>
  <si>
    <t>Subcontractor:</t>
  </si>
  <si>
    <t>State:</t>
  </si>
  <si>
    <t>District:</t>
  </si>
  <si>
    <t>Block: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</si>
  <si>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</si>
  <si>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</si>
  <si>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</si>
  <si>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</si>
  <si>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</si>
  <si>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</si>
  <si>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</si>
  <si>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</si>
  <si>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</si>
  <si>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</si>
  <si>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</si>
  <si>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</si>
  <si>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</si>
  <si>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</si>
  <si>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</si>
  <si>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</si>
  <si>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</si>
  <si>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Mimla talab village   OHT work</t>
  </si>
  <si>
    <t>Gujjarpur Fatehpur village  OHT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</si>
</sst>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sz val="9"/>
      <color rgb="FF333333"/>
      <name val="Verdana"/>
      <family val="2"/>
    </font>
    <font>
      <sz val="9"/>
      <color rgb="FFFF0000"/>
      <name val="Comic Sans MS"/>
      <family val="4"/>
    </font>
    <font>
      <sz val="11"/>
      <color rgb="FFFF0000"/>
      <name val="Calibri"/>
      <family val="2"/>
      <scheme val="minor"/>
    </font>
    <font>
      <b/>
      <sz val="9"/>
      <color rgb="FFFF0000"/>
      <name val="Comic Sans MS"/>
      <family val="4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3" tint="0.39997558519241921"/>
      <name val="Comic Sans MS"/>
      <family val="4"/>
    </font>
    <font>
      <sz val="18"/>
      <color theme="1"/>
      <name val="Comic Sans MS"/>
      <family val="4"/>
    </font>
    <font>
      <sz val="20"/>
      <color theme="1"/>
      <name val="Comic Sans MS"/>
      <family val="4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1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3" fillId="2" borderId="1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43" fontId="4" fillId="2" borderId="0" xfId="1" applyNumberFormat="1" applyFont="1" applyFill="1" applyBorder="1" applyAlignment="1">
      <alignment horizontal="center" vertical="center"/>
    </xf>
    <xf numFmtId="43" fontId="0" fillId="2" borderId="0" xfId="1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/>
    </xf>
    <xf numFmtId="43" fontId="4" fillId="2" borderId="0" xfId="1" applyNumberFormat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43" fontId="4" fillId="2" borderId="6" xfId="1" applyNumberFormat="1" applyFont="1" applyFill="1" applyBorder="1" applyAlignment="1">
      <alignment vertical="center"/>
    </xf>
    <xf numFmtId="43" fontId="4" fillId="2" borderId="5" xfId="1" applyNumberFormat="1" applyFont="1" applyFill="1" applyBorder="1" applyAlignment="1">
      <alignment vertical="center"/>
    </xf>
    <xf numFmtId="43" fontId="4" fillId="2" borderId="8" xfId="1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43" fontId="4" fillId="2" borderId="9" xfId="1" applyNumberFormat="1" applyFont="1" applyFill="1" applyBorder="1" applyAlignment="1">
      <alignment vertical="center"/>
    </xf>
    <xf numFmtId="43" fontId="4" fillId="2" borderId="10" xfId="1" applyNumberFormat="1" applyFont="1" applyFill="1" applyBorder="1" applyAlignment="1">
      <alignment vertical="center"/>
    </xf>
    <xf numFmtId="43" fontId="4" fillId="2" borderId="12" xfId="1" applyNumberFormat="1" applyFont="1" applyFill="1" applyBorder="1" applyAlignment="1">
      <alignment vertical="center"/>
    </xf>
    <xf numFmtId="43" fontId="4" fillId="2" borderId="13" xfId="1" applyNumberFormat="1" applyFont="1" applyFill="1" applyBorder="1" applyAlignment="1">
      <alignment vertical="center"/>
    </xf>
    <xf numFmtId="43" fontId="4" fillId="2" borderId="14" xfId="1" applyNumberFormat="1" applyFont="1" applyFill="1" applyBorder="1" applyAlignment="1">
      <alignment vertical="center"/>
    </xf>
    <xf numFmtId="43" fontId="4" fillId="3" borderId="8" xfId="1" applyNumberFormat="1" applyFont="1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0" fontId="0" fillId="2" borderId="9" xfId="0" applyFill="1" applyBorder="1" applyAlignment="1">
      <alignment vertical="center"/>
    </xf>
    <xf numFmtId="43" fontId="4" fillId="3" borderId="9" xfId="1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15" fontId="4" fillId="2" borderId="9" xfId="0" applyNumberFormat="1" applyFont="1" applyFill="1" applyBorder="1" applyAlignment="1">
      <alignment horizontal="center" vertical="center"/>
    </xf>
    <xf numFmtId="14" fontId="4" fillId="2" borderId="9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43" fontId="7" fillId="2" borderId="16" xfId="1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43" fontId="4" fillId="3" borderId="10" xfId="1" applyNumberFormat="1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8" fillId="0" borderId="10" xfId="0" applyFont="1" applyBorder="1" applyAlignment="1">
      <alignment vertical="center"/>
    </xf>
    <xf numFmtId="15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vertical="center"/>
    </xf>
    <xf numFmtId="9" fontId="4" fillId="2" borderId="12" xfId="1" applyNumberFormat="1" applyFont="1" applyFill="1" applyBorder="1" applyAlignment="1">
      <alignment vertical="center"/>
    </xf>
    <xf numFmtId="0" fontId="0" fillId="2" borderId="10" xfId="0" applyFill="1" applyBorder="1" applyAlignment="1">
      <alignment vertical="center" wrapText="1"/>
    </xf>
    <xf numFmtId="0" fontId="6" fillId="2" borderId="0" xfId="0" applyFont="1" applyFill="1" applyAlignment="1">
      <alignment vertical="center"/>
    </xf>
    <xf numFmtId="0" fontId="4" fillId="2" borderId="10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43" fontId="6" fillId="2" borderId="3" xfId="1" applyNumberFormat="1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43" fontId="4" fillId="2" borderId="19" xfId="1" applyNumberFormat="1" applyFont="1" applyFill="1" applyBorder="1" applyAlignment="1">
      <alignment vertical="center"/>
    </xf>
    <xf numFmtId="43" fontId="4" fillId="2" borderId="20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43" fontId="6" fillId="2" borderId="15" xfId="1" applyNumberFormat="1" applyFont="1" applyFill="1" applyBorder="1" applyAlignment="1">
      <alignment vertical="center"/>
    </xf>
    <xf numFmtId="43" fontId="6" fillId="2" borderId="16" xfId="1" applyNumberFormat="1" applyFont="1" applyFill="1" applyBorder="1" applyAlignment="1">
      <alignment vertical="center"/>
    </xf>
    <xf numFmtId="43" fontId="4" fillId="2" borderId="17" xfId="1" applyNumberFormat="1" applyFont="1" applyFill="1" applyBorder="1" applyAlignment="1">
      <alignment vertical="center"/>
    </xf>
    <xf numFmtId="43" fontId="4" fillId="2" borderId="21" xfId="1" applyNumberFormat="1" applyFont="1" applyFill="1" applyBorder="1" applyAlignment="1">
      <alignment vertical="center"/>
    </xf>
    <xf numFmtId="43" fontId="4" fillId="2" borderId="16" xfId="1" applyNumberFormat="1" applyFont="1" applyFill="1" applyBorder="1" applyAlignment="1">
      <alignment vertical="center"/>
    </xf>
    <xf numFmtId="43" fontId="6" fillId="2" borderId="17" xfId="1" applyNumberFormat="1" applyFont="1" applyFill="1" applyBorder="1" applyAlignment="1">
      <alignment vertical="center"/>
    </xf>
    <xf numFmtId="43" fontId="6" fillId="2" borderId="13" xfId="1" applyNumberFormat="1" applyFont="1" applyFill="1" applyBorder="1" applyAlignment="1">
      <alignment vertical="center"/>
    </xf>
    <xf numFmtId="43" fontId="6" fillId="2" borderId="12" xfId="1" applyNumberFormat="1" applyFont="1" applyFill="1" applyBorder="1" applyAlignment="1">
      <alignment vertical="center"/>
    </xf>
    <xf numFmtId="43" fontId="6" fillId="2" borderId="22" xfId="1" applyNumberFormat="1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43" fontId="6" fillId="2" borderId="16" xfId="1" applyNumberFormat="1" applyFont="1" applyFill="1" applyBorder="1" applyAlignment="1">
      <alignment horizontal="center" vertical="center"/>
    </xf>
    <xf numFmtId="15" fontId="9" fillId="2" borderId="9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3" fontId="9" fillId="2" borderId="9" xfId="1" applyNumberFormat="1" applyFont="1" applyFill="1" applyBorder="1" applyAlignment="1">
      <alignment vertical="center"/>
    </xf>
    <xf numFmtId="43" fontId="9" fillId="2" borderId="10" xfId="1" applyNumberFormat="1" applyFont="1" applyFill="1" applyBorder="1" applyAlignment="1">
      <alignment vertical="center"/>
    </xf>
    <xf numFmtId="15" fontId="4" fillId="2" borderId="20" xfId="0" applyNumberFormat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43" fontId="2" fillId="2" borderId="0" xfId="0" applyNumberFormat="1" applyFont="1" applyFill="1" applyAlignment="1">
      <alignment vertical="center"/>
    </xf>
    <xf numFmtId="43" fontId="13" fillId="2" borderId="0" xfId="1" applyNumberFormat="1" applyFont="1" applyFill="1" applyBorder="1" applyAlignment="1">
      <alignment vertical="center"/>
    </xf>
    <xf numFmtId="43" fontId="14" fillId="2" borderId="0" xfId="1" applyNumberFormat="1" applyFont="1" applyFill="1" applyBorder="1" applyAlignment="1">
      <alignment vertical="center"/>
    </xf>
    <xf numFmtId="43" fontId="15" fillId="2" borderId="0" xfId="1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vertical="center"/>
    </xf>
    <xf numFmtId="43" fontId="15" fillId="2" borderId="0" xfId="1" applyNumberFormat="1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6" fillId="2" borderId="0" xfId="1" applyNumberFormat="1" applyFont="1" applyFill="1" applyBorder="1" applyAlignment="1">
      <alignment vertical="center"/>
    </xf>
    <xf numFmtId="43" fontId="16" fillId="2" borderId="0" xfId="1" applyNumberFormat="1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left" vertical="center"/>
    </xf>
    <xf numFmtId="43" fontId="12" fillId="2" borderId="9" xfId="1" applyNumberFormat="1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29" xfId="1" applyNumberFormat="1" applyFont="1" applyFill="1" applyBorder="1" applyAlignment="1">
      <alignment vertical="center"/>
    </xf>
    <xf numFmtId="0" fontId="6" fillId="2" borderId="30" xfId="1" applyNumberFormat="1" applyFont="1" applyFill="1" applyBorder="1" applyAlignment="1">
      <alignment vertical="center"/>
    </xf>
    <xf numFmtId="0" fontId="11" fillId="2" borderId="30" xfId="1" applyNumberFormat="1" applyFont="1" applyFill="1" applyBorder="1" applyAlignment="1">
      <alignment vertical="center"/>
    </xf>
    <xf numFmtId="0" fontId="6" fillId="3" borderId="30" xfId="1" applyNumberFormat="1" applyFont="1" applyFill="1" applyBorder="1" applyAlignment="1">
      <alignment vertical="center"/>
    </xf>
    <xf numFmtId="0" fontId="6" fillId="2" borderId="31" xfId="1" applyNumberFormat="1" applyFont="1" applyFill="1" applyBorder="1" applyAlignment="1">
      <alignment vertical="center"/>
    </xf>
    <xf numFmtId="0" fontId="6" fillId="2" borderId="32" xfId="1" applyNumberFormat="1" applyFont="1" applyFill="1" applyBorder="1" applyAlignment="1">
      <alignment vertical="center"/>
    </xf>
    <xf numFmtId="0" fontId="6" fillId="2" borderId="33" xfId="1" applyNumberFormat="1" applyFont="1" applyFill="1" applyBorder="1" applyAlignment="1">
      <alignment vertical="center"/>
    </xf>
    <xf numFmtId="0" fontId="0" fillId="2" borderId="27" xfId="0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10" fillId="2" borderId="35" xfId="0" applyFont="1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0" fontId="10" fillId="2" borderId="37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15" fontId="4" fillId="2" borderId="8" xfId="0" applyNumberFormat="1" applyFont="1" applyFill="1" applyBorder="1" applyAlignment="1">
      <alignment horizontal="left" vertical="center"/>
    </xf>
    <xf numFmtId="43" fontId="4" fillId="2" borderId="8" xfId="1" applyNumberFormat="1" applyFont="1" applyFill="1" applyBorder="1" applyAlignment="1">
      <alignment horizontal="left" vertical="center"/>
    </xf>
    <xf numFmtId="43" fontId="4" fillId="3" borderId="8" xfId="1" applyNumberFormat="1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 wrapText="1"/>
    </xf>
    <xf numFmtId="43" fontId="4" fillId="2" borderId="19" xfId="1" applyNumberFormat="1" applyFont="1" applyFill="1" applyBorder="1" applyAlignment="1">
      <alignment horizontal="left" vertical="center"/>
    </xf>
    <xf numFmtId="43" fontId="4" fillId="2" borderId="15" xfId="1" applyNumberFormat="1" applyFont="1" applyFill="1" applyBorder="1" applyAlignment="1">
      <alignment horizontal="left" vertical="center"/>
    </xf>
    <xf numFmtId="43" fontId="4" fillId="2" borderId="13" xfId="1" applyNumberFormat="1" applyFont="1" applyFill="1" applyBorder="1" applyAlignment="1">
      <alignment horizontal="left" vertical="center"/>
    </xf>
    <xf numFmtId="0" fontId="0" fillId="3" borderId="35" xfId="0" applyFill="1" applyBorder="1" applyAlignment="1">
      <alignment vertical="center"/>
    </xf>
    <xf numFmtId="0" fontId="0" fillId="3" borderId="37" xfId="0" applyFill="1" applyBorder="1" applyAlignment="1">
      <alignment vertical="center"/>
    </xf>
    <xf numFmtId="0" fontId="10" fillId="2" borderId="28" xfId="0" applyFont="1" applyFill="1" applyBorder="1" applyAlignment="1">
      <alignment vertical="center"/>
    </xf>
    <xf numFmtId="0" fontId="10" fillId="2" borderId="24" xfId="0" applyFont="1" applyFill="1" applyBorder="1" applyAlignment="1">
      <alignment vertical="center"/>
    </xf>
    <xf numFmtId="0" fontId="8" fillId="0" borderId="0" xfId="0" applyFont="1"/>
    <xf numFmtId="15" fontId="4" fillId="2" borderId="37" xfId="0" applyNumberFormat="1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43" fontId="4" fillId="2" borderId="36" xfId="1" applyNumberFormat="1" applyFont="1" applyFill="1" applyBorder="1" applyAlignment="1">
      <alignment vertical="center"/>
    </xf>
    <xf numFmtId="0" fontId="6" fillId="2" borderId="23" xfId="1" applyNumberFormat="1" applyFont="1" applyFill="1" applyBorder="1" applyAlignment="1">
      <alignment vertical="center"/>
    </xf>
    <xf numFmtId="0" fontId="6" fillId="2" borderId="23" xfId="0" applyFont="1" applyFill="1" applyBorder="1" applyAlignment="1">
      <alignment horizontal="center" vertical="center" wrapText="1"/>
    </xf>
    <xf numFmtId="0" fontId="6" fillId="2" borderId="37" xfId="1" applyNumberFormat="1" applyFont="1" applyFill="1" applyBorder="1" applyAlignment="1">
      <alignment vertical="center"/>
    </xf>
    <xf numFmtId="43" fontId="4" fillId="2" borderId="37" xfId="1" applyNumberFormat="1" applyFont="1" applyFill="1" applyBorder="1" applyAlignment="1">
      <alignment vertical="center"/>
    </xf>
    <xf numFmtId="0" fontId="4" fillId="2" borderId="37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/>
    </xf>
    <xf numFmtId="0" fontId="6" fillId="3" borderId="37" xfId="1" applyNumberFormat="1" applyFont="1" applyFill="1" applyBorder="1" applyAlignment="1">
      <alignment vertical="center"/>
    </xf>
    <xf numFmtId="0" fontId="4" fillId="3" borderId="37" xfId="0" applyFont="1" applyFill="1" applyBorder="1" applyAlignment="1">
      <alignment horizontal="center" vertical="center" wrapText="1"/>
    </xf>
    <xf numFmtId="15" fontId="4" fillId="3" borderId="37" xfId="0" applyNumberFormat="1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43" fontId="4" fillId="3" borderId="37" xfId="1" applyNumberFormat="1" applyFont="1" applyFill="1" applyBorder="1" applyAlignment="1">
      <alignment vertical="center"/>
    </xf>
    <xf numFmtId="0" fontId="0" fillId="2" borderId="37" xfId="0" applyFill="1" applyBorder="1" applyAlignment="1">
      <alignment vertical="center" wrapText="1"/>
    </xf>
    <xf numFmtId="0" fontId="6" fillId="2" borderId="24" xfId="1" applyNumberFormat="1" applyFont="1" applyFill="1" applyBorder="1" applyAlignment="1">
      <alignment vertical="center"/>
    </xf>
    <xf numFmtId="43" fontId="4" fillId="2" borderId="24" xfId="1" applyNumberFormat="1" applyFont="1" applyFill="1" applyBorder="1" applyAlignment="1">
      <alignment vertical="center"/>
    </xf>
    <xf numFmtId="43" fontId="6" fillId="2" borderId="24" xfId="1" applyNumberFormat="1" applyFont="1" applyFill="1" applyBorder="1" applyAlignment="1">
      <alignment vertical="center"/>
    </xf>
    <xf numFmtId="0" fontId="6" fillId="2" borderId="38" xfId="1" applyNumberFormat="1" applyFont="1" applyFill="1" applyBorder="1" applyAlignment="1">
      <alignment vertical="center"/>
    </xf>
    <xf numFmtId="43" fontId="4" fillId="2" borderId="38" xfId="1" applyNumberFormat="1" applyFont="1" applyFill="1" applyBorder="1" applyAlignment="1">
      <alignment vertical="center"/>
    </xf>
    <xf numFmtId="0" fontId="0" fillId="0" borderId="38" xfId="0" applyBorder="1" applyAlignment="1">
      <alignment vertical="center"/>
    </xf>
    <xf numFmtId="43" fontId="4" fillId="2" borderId="23" xfId="1" applyNumberFormat="1" applyFont="1" applyFill="1" applyBorder="1" applyAlignment="1">
      <alignment vertical="center"/>
    </xf>
    <xf numFmtId="43" fontId="6" fillId="2" borderId="23" xfId="1" applyNumberFormat="1" applyFont="1" applyFill="1" applyBorder="1" applyAlignment="1">
      <alignment vertical="center"/>
    </xf>
    <xf numFmtId="0" fontId="6" fillId="2" borderId="36" xfId="1" applyNumberFormat="1" applyFont="1" applyFill="1" applyBorder="1" applyAlignment="1">
      <alignment vertical="center"/>
    </xf>
    <xf numFmtId="0" fontId="4" fillId="2" borderId="36" xfId="0" applyFont="1" applyFill="1" applyBorder="1" applyAlignment="1">
      <alignment horizontal="center" vertical="center" wrapText="1"/>
    </xf>
    <xf numFmtId="15" fontId="4" fillId="2" borderId="36" xfId="0" applyNumberFormat="1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vertical="center"/>
    </xf>
    <xf numFmtId="9" fontId="4" fillId="2" borderId="24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2" fillId="0" borderId="0" xfId="0" applyFont="1"/>
    <xf numFmtId="0" fontId="2" fillId="2" borderId="23" xfId="0" applyFont="1" applyFill="1" applyBorder="1" applyAlignment="1">
      <alignment horizontal="center" vertical="center" wrapText="1"/>
    </xf>
    <xf numFmtId="14" fontId="2" fillId="2" borderId="23" xfId="0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164" fontId="18" fillId="2" borderId="23" xfId="1" applyFont="1" applyFill="1" applyBorder="1" applyAlignment="1">
      <alignment horizontal="center" vertical="center"/>
    </xf>
    <xf numFmtId="164" fontId="2" fillId="2" borderId="23" xfId="1" applyFont="1" applyFill="1" applyBorder="1" applyAlignment="1">
      <alignment horizontal="center" vertical="center"/>
    </xf>
    <xf numFmtId="43" fontId="6" fillId="2" borderId="16" xfId="1" applyNumberFormat="1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left" vertical="center"/>
    </xf>
    <xf numFmtId="0" fontId="12" fillId="2" borderId="25" xfId="0" applyFont="1" applyFill="1" applyBorder="1" applyAlignment="1">
      <alignment horizontal="left" vertical="center"/>
    </xf>
    <xf numFmtId="43" fontId="17" fillId="2" borderId="26" xfId="1" applyNumberFormat="1" applyFont="1" applyFill="1" applyBorder="1" applyAlignment="1">
      <alignment horizontal="center" vertical="center"/>
    </xf>
    <xf numFmtId="43" fontId="17" fillId="2" borderId="3" xfId="1" applyNumberFormat="1" applyFont="1" applyFill="1" applyBorder="1" applyAlignment="1">
      <alignment horizontal="center" vertical="center"/>
    </xf>
    <xf numFmtId="43" fontId="17" fillId="2" borderId="25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zoomScale="85" zoomScaleNormal="85" zoomScaleSheetLayoutView="55" workbookViewId="0">
      <selection activeCell="B12" sqref="B12"/>
    </sheetView>
  </sheetViews>
  <sheetFormatPr defaultColWidth="9" defaultRowHeight="24.95" customHeight="1" x14ac:dyDescent="0.25"/>
  <cols>
    <col min="1" max="1" width="23.5703125" style="1" customWidth="1"/>
    <col min="2" max="2" width="36.42578125" style="2" customWidth="1"/>
    <col min="3" max="3" width="13.140625" style="2" bestFit="1" customWidth="1"/>
    <col min="4" max="4" width="11.7109375" style="2" customWidth="1"/>
    <col min="5" max="5" width="12.140625" style="2" bestFit="1" customWidth="1"/>
    <col min="6" max="6" width="11.42578125" style="2" bestFit="1" customWidth="1"/>
    <col min="7" max="7" width="15.5703125" style="2" bestFit="1" customWidth="1"/>
    <col min="8" max="8" width="11.140625" style="8" bestFit="1" customWidth="1"/>
    <col min="9" max="9" width="21.42578125" style="8" bestFit="1" customWidth="1"/>
    <col min="10" max="10" width="9.7109375" style="2" bestFit="1" customWidth="1"/>
    <col min="11" max="11" width="12.5703125" style="2" customWidth="1"/>
    <col min="12" max="12" width="12.42578125" style="2" bestFit="1" customWidth="1"/>
    <col min="13" max="13" width="10" style="2" bestFit="1" customWidth="1"/>
    <col min="14" max="14" width="14.42578125" style="2" bestFit="1" customWidth="1"/>
    <col min="15" max="15" width="15.28515625" style="2" bestFit="1" customWidth="1"/>
    <col min="16" max="16" width="21.7109375" style="2" bestFit="1" customWidth="1"/>
    <col min="17" max="17" width="16.85546875" style="2" bestFit="1" customWidth="1"/>
    <col min="18" max="18" width="117.140625" style="2" bestFit="1" customWidth="1"/>
    <col min="19" max="16384" width="9" style="2"/>
  </cols>
  <sheetData>
    <row r="1" spans="1:18" ht="24.95" customHeight="1" thickBot="1" x14ac:dyDescent="0.3">
      <c r="A1" s="149" t="s">
        <v>142</v>
      </c>
      <c r="B1" s="1" t="s">
        <v>138</v>
      </c>
      <c r="E1" s="3"/>
      <c r="F1" s="3"/>
      <c r="G1" s="3"/>
      <c r="H1" s="4"/>
      <c r="I1" s="4"/>
    </row>
    <row r="2" spans="1:18" ht="24.95" customHeight="1" thickBot="1" x14ac:dyDescent="0.3">
      <c r="A2" s="149" t="s">
        <v>143</v>
      </c>
      <c r="B2" s="5" t="s">
        <v>146</v>
      </c>
      <c r="C2" s="6"/>
      <c r="D2" s="6"/>
      <c r="G2" s="7"/>
      <c r="I2" s="7"/>
      <c r="J2" s="9"/>
      <c r="K2" s="9"/>
      <c r="L2" s="9"/>
      <c r="M2" s="9"/>
      <c r="N2" s="9"/>
      <c r="O2" s="9"/>
      <c r="P2" s="9"/>
      <c r="Q2" s="9"/>
    </row>
    <row r="3" spans="1:18" ht="24.95" customHeight="1" thickBot="1" x14ac:dyDescent="0.3">
      <c r="A3" s="149" t="s">
        <v>144</v>
      </c>
      <c r="B3" s="148" t="s">
        <v>147</v>
      </c>
      <c r="C3" s="6"/>
      <c r="D3" s="6"/>
      <c r="G3" s="7"/>
      <c r="I3" s="7"/>
      <c r="J3" s="9"/>
      <c r="K3" s="9"/>
      <c r="L3" s="9"/>
      <c r="M3" s="9"/>
      <c r="N3" s="9"/>
      <c r="O3" s="9"/>
      <c r="P3" s="9"/>
      <c r="Q3" s="9"/>
    </row>
    <row r="4" spans="1:18" ht="24.95" customHeight="1" thickBot="1" x14ac:dyDescent="0.3">
      <c r="A4" s="149" t="s">
        <v>145</v>
      </c>
      <c r="B4" s="10" t="s">
        <v>147</v>
      </c>
      <c r="C4" s="10"/>
      <c r="D4" s="10"/>
      <c r="E4" s="10"/>
      <c r="F4" s="9"/>
      <c r="G4" s="9"/>
      <c r="H4" s="11"/>
      <c r="I4" s="11"/>
      <c r="J4" s="9"/>
      <c r="K4" s="9"/>
      <c r="L4" s="9"/>
      <c r="M4" s="9"/>
      <c r="P4" s="9"/>
      <c r="Q4" s="12"/>
      <c r="R4" s="12"/>
    </row>
    <row r="5" spans="1:18" ht="24.95" customHeight="1" x14ac:dyDescent="0.25">
      <c r="A5" s="66" t="s">
        <v>148</v>
      </c>
      <c r="B5" s="150" t="s">
        <v>149</v>
      </c>
      <c r="C5" s="151" t="s">
        <v>150</v>
      </c>
      <c r="D5" s="152" t="s">
        <v>151</v>
      </c>
      <c r="E5" s="150" t="s">
        <v>152</v>
      </c>
      <c r="F5" s="150" t="s">
        <v>153</v>
      </c>
      <c r="G5" s="152" t="s">
        <v>154</v>
      </c>
      <c r="H5" s="153" t="s">
        <v>155</v>
      </c>
      <c r="I5" s="154" t="s">
        <v>10</v>
      </c>
      <c r="J5" s="150" t="s">
        <v>156</v>
      </c>
      <c r="K5" s="150" t="s">
        <v>157</v>
      </c>
      <c r="L5" s="150" t="s">
        <v>158</v>
      </c>
      <c r="M5" s="150" t="s">
        <v>159</v>
      </c>
      <c r="N5" s="124" t="s">
        <v>160</v>
      </c>
      <c r="O5" s="124" t="s">
        <v>161</v>
      </c>
      <c r="P5" s="124" t="s">
        <v>17</v>
      </c>
      <c r="Q5" s="124" t="s">
        <v>162</v>
      </c>
      <c r="R5" s="124" t="s">
        <v>19</v>
      </c>
    </row>
    <row r="6" spans="1:18" ht="24.95" customHeight="1" thickBot="1" x14ac:dyDescent="0.3">
      <c r="A6" s="135"/>
      <c r="B6" s="136"/>
      <c r="C6" s="136"/>
      <c r="D6" s="136"/>
      <c r="E6" s="136"/>
      <c r="F6" s="136"/>
      <c r="G6" s="136"/>
      <c r="H6" s="147">
        <v>0.18</v>
      </c>
      <c r="I6" s="136"/>
      <c r="J6" s="147">
        <v>0.01</v>
      </c>
      <c r="K6" s="147">
        <v>0.05</v>
      </c>
      <c r="L6" s="147">
        <v>0</v>
      </c>
      <c r="M6" s="147">
        <v>0.1</v>
      </c>
      <c r="N6" s="147">
        <v>0.18</v>
      </c>
      <c r="O6" s="136"/>
      <c r="P6" s="136"/>
      <c r="Q6" s="136"/>
      <c r="R6" s="136"/>
    </row>
    <row r="7" spans="1:18" ht="24.95" customHeight="1" x14ac:dyDescent="0.25">
      <c r="A7" s="143">
        <v>58820</v>
      </c>
      <c r="B7" s="144" t="s">
        <v>163</v>
      </c>
      <c r="C7" s="145">
        <v>45149</v>
      </c>
      <c r="D7" s="121">
        <v>1</v>
      </c>
      <c r="E7" s="122">
        <v>129937.5</v>
      </c>
      <c r="F7" s="122">
        <v>19075</v>
      </c>
      <c r="G7" s="122">
        <f>ROUND(E7-F7,)</f>
        <v>110863</v>
      </c>
      <c r="H7" s="122">
        <f>ROUND(G7*$H$6,0)</f>
        <v>19955</v>
      </c>
      <c r="I7" s="122">
        <f>G7+H7</f>
        <v>130818</v>
      </c>
      <c r="J7" s="122">
        <f>ROUND(G7*$J$6,)</f>
        <v>1109</v>
      </c>
      <c r="K7" s="122">
        <f>ROUND(G7*$K$6,)</f>
        <v>5543</v>
      </c>
      <c r="L7" s="122">
        <f>ROUND(G7*$L$6,)</f>
        <v>0</v>
      </c>
      <c r="M7" s="122"/>
      <c r="N7" s="122">
        <f>H7</f>
        <v>19955</v>
      </c>
      <c r="O7" s="122">
        <f>ROUND(I7-SUM(J7:N7),0)</f>
        <v>104211</v>
      </c>
      <c r="P7" s="122"/>
      <c r="Q7" s="122">
        <v>78400</v>
      </c>
      <c r="R7" s="146" t="s">
        <v>140</v>
      </c>
    </row>
    <row r="8" spans="1:18" ht="24.95" customHeight="1" x14ac:dyDescent="0.25">
      <c r="A8" s="125">
        <v>58820</v>
      </c>
      <c r="B8" s="127"/>
      <c r="C8" s="120"/>
      <c r="D8" s="128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>
        <f>E8</f>
        <v>0</v>
      </c>
      <c r="P8" s="126"/>
      <c r="Q8" s="126">
        <v>24703</v>
      </c>
      <c r="R8" s="103" t="s">
        <v>141</v>
      </c>
    </row>
    <row r="9" spans="1:18" ht="24.95" customHeight="1" x14ac:dyDescent="0.25">
      <c r="A9" s="125">
        <v>58820</v>
      </c>
      <c r="B9" s="127"/>
      <c r="C9" s="120"/>
      <c r="D9" s="128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</row>
    <row r="10" spans="1:18" ht="24.95" customHeight="1" x14ac:dyDescent="0.25">
      <c r="A10" s="125">
        <v>58820</v>
      </c>
      <c r="B10" s="127"/>
      <c r="C10" s="120"/>
      <c r="D10" s="128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</row>
    <row r="11" spans="1:18" ht="24.95" customHeight="1" x14ac:dyDescent="0.25">
      <c r="A11" s="129"/>
      <c r="B11" s="130"/>
      <c r="C11" s="131"/>
      <c r="D11" s="132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</row>
    <row r="12" spans="1:18" ht="24.95" customHeight="1" x14ac:dyDescent="0.25">
      <c r="A12" s="125">
        <v>58821</v>
      </c>
      <c r="B12" s="127" t="s">
        <v>164</v>
      </c>
      <c r="C12" s="120"/>
      <c r="D12" s="128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>
        <v>98000</v>
      </c>
      <c r="R12" s="134" t="s">
        <v>139</v>
      </c>
    </row>
    <row r="13" spans="1:18" ht="24.95" customHeight="1" x14ac:dyDescent="0.25">
      <c r="A13" s="125">
        <v>58821</v>
      </c>
      <c r="B13" s="127"/>
      <c r="C13" s="120"/>
      <c r="D13" s="128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03"/>
    </row>
    <row r="14" spans="1:18" ht="24.95" customHeight="1" x14ac:dyDescent="0.25">
      <c r="A14" s="125">
        <v>58821</v>
      </c>
      <c r="B14" s="127"/>
      <c r="C14" s="120"/>
      <c r="D14" s="128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03"/>
    </row>
    <row r="15" spans="1:18" ht="24.95" customHeight="1" x14ac:dyDescent="0.25">
      <c r="A15" s="125">
        <v>58821</v>
      </c>
      <c r="B15" s="127"/>
      <c r="C15" s="120"/>
      <c r="D15" s="128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</row>
    <row r="16" spans="1:18" ht="24.95" customHeight="1" thickBot="1" x14ac:dyDescent="0.3">
      <c r="A16" s="138">
        <v>58821</v>
      </c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40"/>
    </row>
    <row r="17" spans="1:18" ht="24.95" customHeight="1" x14ac:dyDescent="0.25">
      <c r="A17" s="123"/>
      <c r="B17" s="141"/>
      <c r="C17" s="141"/>
      <c r="D17" s="141"/>
      <c r="E17" s="141"/>
      <c r="F17" s="141"/>
      <c r="G17" s="141"/>
      <c r="H17" s="141"/>
      <c r="I17" s="141"/>
      <c r="J17" s="142">
        <f t="shared" ref="J17:N17" si="0">SUM(J7:J16)</f>
        <v>1109</v>
      </c>
      <c r="K17" s="142">
        <f t="shared" si="0"/>
        <v>5543</v>
      </c>
      <c r="L17" s="142">
        <f t="shared" si="0"/>
        <v>0</v>
      </c>
      <c r="M17" s="142">
        <f t="shared" si="0"/>
        <v>0</v>
      </c>
      <c r="N17" s="142">
        <f t="shared" si="0"/>
        <v>19955</v>
      </c>
      <c r="O17" s="142">
        <f>SUM(O7:O16)</f>
        <v>104211</v>
      </c>
      <c r="P17" s="142" t="s">
        <v>124</v>
      </c>
      <c r="Q17" s="142">
        <f>SUM(Q7:Q16)</f>
        <v>201103</v>
      </c>
      <c r="R17" s="141"/>
    </row>
    <row r="18" spans="1:18" ht="24.95" customHeight="1" thickBot="1" x14ac:dyDescent="0.3">
      <c r="A18" s="135"/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7" t="s">
        <v>125</v>
      </c>
      <c r="Q18" s="137">
        <f>O17-Q17</f>
        <v>-96892</v>
      </c>
      <c r="R18" s="136"/>
    </row>
    <row r="20" spans="1:18" ht="24.95" customHeight="1" x14ac:dyDescent="0.25">
      <c r="N20" s="11"/>
      <c r="O20" s="11"/>
    </row>
    <row r="22" spans="1:18" ht="24.95" customHeight="1" x14ac:dyDescent="0.25">
      <c r="O22" s="11"/>
    </row>
    <row r="24" spans="1:18" ht="24.95" customHeight="1" x14ac:dyDescent="0.25">
      <c r="O24" s="23"/>
    </row>
  </sheetData>
  <pageMargins left="0.7" right="0.7" top="0.75" bottom="0.75" header="0.3" footer="0.3"/>
  <pageSetup paperSize="9" scale="25" orientation="landscape" r:id="rId1"/>
  <rowBreaks count="1" manualBreakCount="1">
    <brk id="2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3"/>
  <sheetViews>
    <sheetView topLeftCell="G85" zoomScale="70" zoomScaleNormal="70" zoomScaleSheetLayoutView="55" workbookViewId="0">
      <selection activeCell="T98" sqref="T98"/>
    </sheetView>
  </sheetViews>
  <sheetFormatPr defaultColWidth="9" defaultRowHeight="24.95" customHeight="1" x14ac:dyDescent="0.25"/>
  <cols>
    <col min="1" max="1" width="4.42578125" style="2" bestFit="1" customWidth="1"/>
    <col min="2" max="2" width="10" style="2" bestFit="1" customWidth="1"/>
    <col min="3" max="3" width="10" style="1" bestFit="1" customWidth="1"/>
    <col min="4" max="4" width="52.7109375" style="2" customWidth="1"/>
    <col min="5" max="5" width="13.140625" style="2" bestFit="1" customWidth="1"/>
    <col min="6" max="6" width="11.7109375" style="2" customWidth="1"/>
    <col min="7" max="7" width="12.140625" style="2" bestFit="1" customWidth="1"/>
    <col min="8" max="8" width="11.42578125" style="2" bestFit="1" customWidth="1"/>
    <col min="9" max="9" width="15.5703125" style="2" bestFit="1" customWidth="1"/>
    <col min="10" max="10" width="11.5703125" style="8" bestFit="1" customWidth="1"/>
    <col min="11" max="11" width="21.42578125" style="8" bestFit="1" customWidth="1"/>
    <col min="12" max="12" width="9.7109375" style="2" bestFit="1" customWidth="1"/>
    <col min="13" max="13" width="17.140625" style="2" bestFit="1" customWidth="1"/>
    <col min="14" max="14" width="12.42578125" style="2" hidden="1" customWidth="1"/>
    <col min="15" max="15" width="17.140625" style="2" bestFit="1" customWidth="1"/>
    <col min="16" max="16" width="14.42578125" style="2" bestFit="1" customWidth="1"/>
    <col min="17" max="17" width="16.7109375" style="2" bestFit="1" customWidth="1"/>
    <col min="18" max="18" width="7.28515625" style="1" customWidth="1"/>
    <col min="19" max="19" width="21.7109375" style="2" bestFit="1" customWidth="1"/>
    <col min="20" max="20" width="16.85546875" style="2" bestFit="1" customWidth="1"/>
    <col min="21" max="21" width="117.140625" style="2" bestFit="1" customWidth="1"/>
    <col min="22" max="16384" width="9" style="2"/>
  </cols>
  <sheetData>
    <row r="1" spans="1:21" ht="24.95" customHeight="1" x14ac:dyDescent="0.25">
      <c r="B1" s="156" t="s">
        <v>126</v>
      </c>
      <c r="C1" s="157"/>
      <c r="D1" s="85" t="s">
        <v>129</v>
      </c>
      <c r="F1" s="81"/>
      <c r="G1" s="82"/>
      <c r="H1" s="82"/>
      <c r="I1" s="82"/>
      <c r="J1" s="76"/>
      <c r="K1" s="76"/>
      <c r="L1" s="81"/>
    </row>
    <row r="2" spans="1:21" ht="24.95" customHeight="1" x14ac:dyDescent="0.25">
      <c r="B2" s="156" t="s">
        <v>128</v>
      </c>
      <c r="C2" s="157"/>
      <c r="D2" s="86" t="s">
        <v>1</v>
      </c>
      <c r="F2" s="77"/>
      <c r="G2" s="81"/>
      <c r="H2" s="81"/>
      <c r="I2" s="78"/>
      <c r="J2" s="76"/>
      <c r="K2" s="78"/>
      <c r="L2" s="79"/>
      <c r="M2" s="9"/>
      <c r="N2" s="9"/>
      <c r="O2" s="9"/>
      <c r="P2" s="9"/>
      <c r="Q2" s="9"/>
      <c r="R2" s="45"/>
      <c r="S2" s="9"/>
      <c r="T2" s="9"/>
    </row>
    <row r="3" spans="1:21" ht="24.95" customHeight="1" x14ac:dyDescent="0.25">
      <c r="B3" s="156" t="s">
        <v>127</v>
      </c>
      <c r="C3" s="157"/>
      <c r="D3" s="86" t="s">
        <v>2</v>
      </c>
      <c r="F3" s="79"/>
      <c r="G3" s="79"/>
      <c r="H3" s="79"/>
      <c r="I3" s="79"/>
      <c r="J3" s="80"/>
      <c r="K3" s="80"/>
      <c r="L3" s="79"/>
      <c r="M3" s="9"/>
      <c r="N3" s="9"/>
      <c r="O3" s="9"/>
      <c r="S3" s="9"/>
      <c r="T3" s="12"/>
      <c r="U3" s="12"/>
    </row>
    <row r="4" spans="1:21" ht="24.95" customHeight="1" x14ac:dyDescent="0.25">
      <c r="B4" s="158" t="s">
        <v>0</v>
      </c>
      <c r="C4" s="159"/>
      <c r="D4" s="160"/>
      <c r="G4" s="81"/>
      <c r="H4" s="81"/>
      <c r="I4" s="78"/>
      <c r="J4" s="2"/>
      <c r="K4" s="2"/>
      <c r="L4" s="79"/>
      <c r="M4" s="9"/>
      <c r="N4" s="9"/>
      <c r="O4" s="9"/>
      <c r="P4" s="9"/>
      <c r="Q4" s="9"/>
      <c r="R4" s="45"/>
      <c r="S4" s="9"/>
      <c r="T4" s="9"/>
    </row>
    <row r="5" spans="1:21" ht="24.95" customHeight="1" thickBot="1" x14ac:dyDescent="0.3">
      <c r="C5" s="83"/>
      <c r="D5" s="84"/>
      <c r="E5" s="79"/>
      <c r="F5" s="79"/>
      <c r="G5" s="79"/>
      <c r="H5" s="79"/>
      <c r="I5" s="79"/>
      <c r="J5" s="80"/>
      <c r="K5" s="80"/>
      <c r="L5" s="79"/>
      <c r="M5" s="9"/>
      <c r="N5" s="9"/>
      <c r="O5" s="9"/>
      <c r="S5" s="9"/>
      <c r="T5" s="12"/>
      <c r="U5" s="12"/>
    </row>
    <row r="6" spans="1:21" ht="24.95" customHeight="1" x14ac:dyDescent="0.25">
      <c r="A6" s="95"/>
      <c r="B6" s="100"/>
      <c r="C6" s="93"/>
      <c r="D6" s="87" t="s">
        <v>3</v>
      </c>
      <c r="E6" s="31" t="s">
        <v>4</v>
      </c>
      <c r="F6" s="31" t="s">
        <v>5</v>
      </c>
      <c r="G6" s="31" t="s">
        <v>6</v>
      </c>
      <c r="H6" s="31" t="s">
        <v>7</v>
      </c>
      <c r="I6" s="32" t="s">
        <v>8</v>
      </c>
      <c r="J6" s="33" t="s">
        <v>9</v>
      </c>
      <c r="K6" s="68" t="s">
        <v>10</v>
      </c>
      <c r="L6" s="32" t="s">
        <v>11</v>
      </c>
      <c r="M6" s="32" t="s">
        <v>12</v>
      </c>
      <c r="N6" s="32" t="s">
        <v>13</v>
      </c>
      <c r="O6" s="32" t="s">
        <v>14</v>
      </c>
      <c r="P6" s="32" t="s">
        <v>15</v>
      </c>
      <c r="Q6" s="34" t="s">
        <v>16</v>
      </c>
      <c r="R6" s="47"/>
      <c r="S6" s="50" t="s">
        <v>17</v>
      </c>
      <c r="T6" s="32" t="s">
        <v>18</v>
      </c>
      <c r="U6" s="34" t="s">
        <v>19</v>
      </c>
    </row>
    <row r="7" spans="1:21" ht="24.95" customHeight="1" thickBot="1" x14ac:dyDescent="0.3">
      <c r="A7" s="96"/>
      <c r="B7" s="101"/>
      <c r="C7" s="94"/>
      <c r="D7" s="20"/>
      <c r="E7" s="19"/>
      <c r="F7" s="19"/>
      <c r="G7" s="19"/>
      <c r="H7" s="19"/>
      <c r="I7" s="19"/>
      <c r="J7" s="43">
        <v>0.18</v>
      </c>
      <c r="K7" s="19"/>
      <c r="L7" s="43">
        <v>0.01</v>
      </c>
      <c r="M7" s="43">
        <v>0.05</v>
      </c>
      <c r="N7" s="43">
        <v>0</v>
      </c>
      <c r="O7" s="43">
        <v>0.1</v>
      </c>
      <c r="P7" s="43">
        <v>0.18</v>
      </c>
      <c r="Q7" s="21"/>
      <c r="R7" s="53"/>
      <c r="S7" s="20"/>
      <c r="T7" s="19"/>
      <c r="U7" s="21"/>
    </row>
    <row r="8" spans="1:21" ht="24.95" customHeight="1" x14ac:dyDescent="0.25">
      <c r="A8" s="97"/>
      <c r="B8" s="102"/>
      <c r="C8" s="88">
        <v>52629</v>
      </c>
      <c r="D8" s="105" t="s">
        <v>28</v>
      </c>
      <c r="E8" s="40">
        <v>44946</v>
      </c>
      <c r="F8" s="41">
        <v>8</v>
      </c>
      <c r="G8" s="14">
        <v>1164000</v>
      </c>
      <c r="H8" s="14">
        <v>506542</v>
      </c>
      <c r="I8" s="17">
        <f>ROUND(G8-H8,)</f>
        <v>657458</v>
      </c>
      <c r="J8" s="17">
        <f>ROUND(I8*$J$7,0)</f>
        <v>118342</v>
      </c>
      <c r="K8" s="17">
        <f>I8+J8</f>
        <v>775800</v>
      </c>
      <c r="L8" s="17"/>
      <c r="M8" s="17"/>
      <c r="N8" s="17"/>
      <c r="O8" s="17"/>
      <c r="P8" s="17"/>
      <c r="Q8" s="18"/>
      <c r="R8" s="52">
        <v>52629</v>
      </c>
      <c r="S8" s="13" t="s">
        <v>30</v>
      </c>
      <c r="T8" s="14">
        <v>594000</v>
      </c>
      <c r="U8" s="42" t="s">
        <v>31</v>
      </c>
    </row>
    <row r="9" spans="1:21" ht="24.95" customHeight="1" x14ac:dyDescent="0.25">
      <c r="A9" s="98"/>
      <c r="B9" s="103"/>
      <c r="C9" s="89"/>
      <c r="D9" s="106" t="s">
        <v>29</v>
      </c>
      <c r="E9" s="29">
        <v>45000</v>
      </c>
      <c r="F9" s="26">
        <v>8</v>
      </c>
      <c r="G9" s="17">
        <v>118342.46</v>
      </c>
      <c r="H9" s="17"/>
      <c r="I9" s="17"/>
      <c r="J9" s="17"/>
      <c r="K9" s="17"/>
      <c r="L9" s="17"/>
      <c r="M9" s="17"/>
      <c r="N9" s="17"/>
      <c r="O9" s="17"/>
      <c r="P9" s="17"/>
      <c r="Q9" s="18">
        <f>G9</f>
        <v>118342.46</v>
      </c>
      <c r="R9" s="16"/>
      <c r="S9" s="15" t="s">
        <v>32</v>
      </c>
      <c r="T9" s="17">
        <v>495000</v>
      </c>
      <c r="U9" s="36" t="s">
        <v>33</v>
      </c>
    </row>
    <row r="10" spans="1:21" ht="24.95" customHeight="1" x14ac:dyDescent="0.25">
      <c r="A10" s="98"/>
      <c r="B10" s="103"/>
      <c r="C10" s="89"/>
      <c r="D10" s="106" t="s">
        <v>28</v>
      </c>
      <c r="E10" s="29">
        <v>45031</v>
      </c>
      <c r="F10" s="26">
        <v>4</v>
      </c>
      <c r="G10" s="17">
        <f>3381796*40%-G8</f>
        <v>188718.40000000014</v>
      </c>
      <c r="H10" s="17"/>
      <c r="I10" s="17">
        <f>ROUND(G10-H10,)</f>
        <v>188718</v>
      </c>
      <c r="J10" s="17">
        <f>ROUND(I10*$J$7,0)</f>
        <v>33969</v>
      </c>
      <c r="K10" s="17">
        <f>I10+J10</f>
        <v>222687</v>
      </c>
      <c r="L10" s="17"/>
      <c r="M10" s="17"/>
      <c r="N10" s="17"/>
      <c r="O10" s="17"/>
      <c r="P10" s="17"/>
      <c r="Q10" s="18"/>
      <c r="R10" s="16"/>
      <c r="S10" s="15" t="s">
        <v>112</v>
      </c>
      <c r="T10" s="17">
        <v>247500</v>
      </c>
      <c r="U10" s="18" t="s">
        <v>113</v>
      </c>
    </row>
    <row r="11" spans="1:21" ht="24.95" customHeight="1" x14ac:dyDescent="0.25">
      <c r="A11" s="99" t="s">
        <v>122</v>
      </c>
      <c r="B11" s="104">
        <v>3381796</v>
      </c>
      <c r="C11" s="90"/>
      <c r="D11" s="107"/>
      <c r="E11" s="69"/>
      <c r="F11" s="70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2"/>
      <c r="R11" s="16"/>
      <c r="S11" s="15"/>
      <c r="T11" s="17"/>
      <c r="U11" s="18"/>
    </row>
    <row r="12" spans="1:21" ht="24.95" customHeight="1" x14ac:dyDescent="0.25">
      <c r="A12" s="99" t="s">
        <v>123</v>
      </c>
      <c r="B12" s="104">
        <v>3675000</v>
      </c>
      <c r="C12" s="90"/>
      <c r="D12" s="107"/>
      <c r="E12" s="69"/>
      <c r="F12" s="70"/>
      <c r="G12" s="71">
        <f>B12*40%</f>
        <v>1470000</v>
      </c>
      <c r="H12" s="71">
        <f>SUM(H8:H11)</f>
        <v>506542</v>
      </c>
      <c r="I12" s="71">
        <f>G12-H12</f>
        <v>963458</v>
      </c>
      <c r="J12" s="71">
        <f>I12*$J$7</f>
        <v>173422.44</v>
      </c>
      <c r="K12" s="71">
        <f>I12+J12</f>
        <v>1136880.44</v>
      </c>
      <c r="L12" s="71">
        <f>I12*$L$7</f>
        <v>9634.58</v>
      </c>
      <c r="M12" s="71">
        <f>I12*$M$7</f>
        <v>48172.9</v>
      </c>
      <c r="N12" s="71">
        <f>I12*$N$7</f>
        <v>0</v>
      </c>
      <c r="O12" s="71">
        <f>I12*$O$7</f>
        <v>96345.8</v>
      </c>
      <c r="P12" s="71">
        <f>I12*$P$7</f>
        <v>173422.44</v>
      </c>
      <c r="Q12" s="72">
        <f>K12-L12-M12-N12-O12-P12</f>
        <v>809304.72</v>
      </c>
      <c r="R12" s="16"/>
      <c r="S12" s="15"/>
      <c r="T12" s="17"/>
      <c r="U12" s="18"/>
    </row>
    <row r="13" spans="1:21" ht="24.95" customHeight="1" x14ac:dyDescent="0.25">
      <c r="A13" s="115"/>
      <c r="B13" s="116"/>
      <c r="C13" s="91"/>
      <c r="D13" s="110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37"/>
      <c r="R13" s="27"/>
      <c r="S13" s="22"/>
      <c r="T13" s="25"/>
      <c r="U13" s="38"/>
    </row>
    <row r="14" spans="1:21" ht="24.95" customHeight="1" x14ac:dyDescent="0.25">
      <c r="A14" s="98"/>
      <c r="B14" s="103"/>
      <c r="C14" s="89">
        <v>52630</v>
      </c>
      <c r="D14" s="106" t="s">
        <v>34</v>
      </c>
      <c r="E14" s="29">
        <v>45279</v>
      </c>
      <c r="F14" s="26">
        <v>7</v>
      </c>
      <c r="G14" s="17">
        <v>1400000</v>
      </c>
      <c r="H14" s="17">
        <v>540666</v>
      </c>
      <c r="I14" s="17">
        <f>ROUND(G14-H14,)</f>
        <v>859334</v>
      </c>
      <c r="J14" s="17">
        <f>ROUND(I14*$J$7,0)</f>
        <v>154680</v>
      </c>
      <c r="K14" s="17">
        <f>I14+J14</f>
        <v>1014014</v>
      </c>
      <c r="L14" s="17"/>
      <c r="M14" s="17"/>
      <c r="N14" s="17"/>
      <c r="O14" s="17"/>
      <c r="P14" s="17"/>
      <c r="Q14" s="18"/>
      <c r="R14" s="16">
        <v>52630</v>
      </c>
      <c r="S14" s="15" t="s">
        <v>35</v>
      </c>
      <c r="T14" s="17">
        <v>594000</v>
      </c>
      <c r="U14" s="35" t="s">
        <v>36</v>
      </c>
    </row>
    <row r="15" spans="1:21" ht="24.95" customHeight="1" x14ac:dyDescent="0.25">
      <c r="A15" s="98"/>
      <c r="B15" s="103"/>
      <c r="C15" s="89"/>
      <c r="D15" s="108" t="s">
        <v>29</v>
      </c>
      <c r="E15" s="29"/>
      <c r="F15" s="26">
        <v>7</v>
      </c>
      <c r="G15" s="17">
        <v>154680</v>
      </c>
      <c r="H15" s="17"/>
      <c r="I15" s="17"/>
      <c r="J15" s="17"/>
      <c r="K15" s="17"/>
      <c r="L15" s="17"/>
      <c r="M15" s="17"/>
      <c r="N15" s="17"/>
      <c r="O15" s="17"/>
      <c r="P15" s="17"/>
      <c r="Q15" s="18">
        <v>154680</v>
      </c>
      <c r="R15" s="16"/>
      <c r="S15" s="15" t="s">
        <v>37</v>
      </c>
      <c r="T15" s="17">
        <v>495000</v>
      </c>
      <c r="U15" s="36" t="s">
        <v>38</v>
      </c>
    </row>
    <row r="16" spans="1:21" ht="24.95" customHeight="1" x14ac:dyDescent="0.25">
      <c r="A16" s="98"/>
      <c r="B16" s="103"/>
      <c r="C16" s="89"/>
      <c r="D16" s="106" t="s">
        <v>34</v>
      </c>
      <c r="E16" s="29">
        <v>45031</v>
      </c>
      <c r="F16" s="26">
        <v>5</v>
      </c>
      <c r="G16" s="17">
        <f>(4307222*40%)-G14</f>
        <v>322888.80000000005</v>
      </c>
      <c r="H16" s="17">
        <v>0</v>
      </c>
      <c r="I16" s="17">
        <f>ROUND(G16-H16,)</f>
        <v>322889</v>
      </c>
      <c r="J16" s="17">
        <f>ROUND(I16*$J$7,0)</f>
        <v>58120</v>
      </c>
      <c r="K16" s="17">
        <f>I16+J16</f>
        <v>381009</v>
      </c>
      <c r="L16" s="17"/>
      <c r="M16" s="17"/>
      <c r="N16" s="17"/>
      <c r="O16" s="17"/>
      <c r="P16" s="17"/>
      <c r="Q16" s="18"/>
      <c r="R16" s="16"/>
      <c r="S16" s="15"/>
      <c r="T16" s="17">
        <v>50000</v>
      </c>
      <c r="U16" s="36" t="s">
        <v>39</v>
      </c>
    </row>
    <row r="17" spans="1:21" ht="24.95" customHeight="1" x14ac:dyDescent="0.25">
      <c r="A17" s="99"/>
      <c r="B17" s="104"/>
      <c r="C17" s="89"/>
      <c r="D17" s="106"/>
      <c r="E17" s="29"/>
      <c r="F17" s="26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8"/>
      <c r="R17" s="16"/>
      <c r="S17" s="15" t="s">
        <v>115</v>
      </c>
      <c r="T17" s="17">
        <v>198000</v>
      </c>
      <c r="U17" s="36" t="s">
        <v>116</v>
      </c>
    </row>
    <row r="18" spans="1:21" ht="24.95" customHeight="1" x14ac:dyDescent="0.25">
      <c r="A18" s="99" t="s">
        <v>122</v>
      </c>
      <c r="B18" s="104">
        <v>4307222.5</v>
      </c>
      <c r="C18" s="89"/>
      <c r="D18" s="106"/>
      <c r="E18" s="29"/>
      <c r="F18" s="2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8"/>
      <c r="R18" s="16"/>
      <c r="S18" s="15"/>
      <c r="T18" s="17"/>
      <c r="U18" s="36"/>
    </row>
    <row r="19" spans="1:21" ht="24.95" customHeight="1" x14ac:dyDescent="0.25">
      <c r="A19" s="99" t="s">
        <v>123</v>
      </c>
      <c r="B19" s="104">
        <v>4425000</v>
      </c>
      <c r="C19" s="89"/>
      <c r="D19" s="106"/>
      <c r="E19" s="29"/>
      <c r="F19" s="26"/>
      <c r="G19" s="71">
        <f>B19*40%</f>
        <v>1770000</v>
      </c>
      <c r="H19" s="71">
        <f>SUM(H14:H18)</f>
        <v>540666</v>
      </c>
      <c r="I19" s="71">
        <f>G19-H19</f>
        <v>1229334</v>
      </c>
      <c r="J19" s="71">
        <f>I19*$J$7</f>
        <v>221280.12</v>
      </c>
      <c r="K19" s="71">
        <f>I19+J19</f>
        <v>1450614.12</v>
      </c>
      <c r="L19" s="71">
        <f>I19*$L$7</f>
        <v>12293.34</v>
      </c>
      <c r="M19" s="71">
        <f>I19*$M$7</f>
        <v>61466.700000000004</v>
      </c>
      <c r="N19" s="71">
        <f>I19*$N$7</f>
        <v>0</v>
      </c>
      <c r="O19" s="71">
        <f>I19*$O$7</f>
        <v>122933.40000000001</v>
      </c>
      <c r="P19" s="71">
        <f>I19*$P$7</f>
        <v>221280.12</v>
      </c>
      <c r="Q19" s="72">
        <f>K19-L19-M19-N19-O19-P19</f>
        <v>1032640.5600000002</v>
      </c>
      <c r="R19" s="16"/>
      <c r="S19" s="15"/>
      <c r="T19" s="17"/>
      <c r="U19" s="36"/>
    </row>
    <row r="20" spans="1:21" ht="24.95" customHeight="1" x14ac:dyDescent="0.25">
      <c r="A20" s="115"/>
      <c r="B20" s="116"/>
      <c r="C20" s="91"/>
      <c r="D20" s="110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37"/>
      <c r="R20" s="27"/>
      <c r="S20" s="22"/>
      <c r="T20" s="25"/>
      <c r="U20" s="38"/>
    </row>
    <row r="21" spans="1:21" ht="24.95" customHeight="1" x14ac:dyDescent="0.25">
      <c r="A21" s="98"/>
      <c r="B21" s="103"/>
      <c r="C21" s="89">
        <v>52631</v>
      </c>
      <c r="D21" s="106" t="s">
        <v>40</v>
      </c>
      <c r="E21" s="29">
        <v>44904</v>
      </c>
      <c r="F21" s="26">
        <v>2</v>
      </c>
      <c r="G21" s="17">
        <f>3640000*20%</f>
        <v>728000</v>
      </c>
      <c r="H21" s="17">
        <v>255338.02</v>
      </c>
      <c r="I21" s="17">
        <f>ROUND(G21-H21,)</f>
        <v>472662</v>
      </c>
      <c r="J21" s="17">
        <f>ROUND(I21*$J$7,0)</f>
        <v>85079</v>
      </c>
      <c r="K21" s="17">
        <f>I21+J21</f>
        <v>557741</v>
      </c>
      <c r="L21" s="17"/>
      <c r="M21" s="17"/>
      <c r="N21" s="17"/>
      <c r="O21" s="17"/>
      <c r="P21" s="17"/>
      <c r="Q21" s="18"/>
      <c r="R21" s="16">
        <v>52631</v>
      </c>
      <c r="S21" s="15" t="s">
        <v>41</v>
      </c>
      <c r="T21" s="17">
        <v>297000</v>
      </c>
      <c r="U21" s="36" t="s">
        <v>42</v>
      </c>
    </row>
    <row r="22" spans="1:21" ht="24.95" customHeight="1" x14ac:dyDescent="0.25">
      <c r="A22" s="98"/>
      <c r="B22" s="103"/>
      <c r="C22" s="89"/>
      <c r="D22" s="106" t="s">
        <v>40</v>
      </c>
      <c r="E22" s="29">
        <v>44955</v>
      </c>
      <c r="F22" s="26">
        <v>9</v>
      </c>
      <c r="G22" s="17">
        <f>3640000*20%</f>
        <v>728000</v>
      </c>
      <c r="H22" s="17">
        <v>221963.5</v>
      </c>
      <c r="I22" s="17">
        <f t="shared" ref="I22:I25" si="0">ROUND(G22-H22,)</f>
        <v>506037</v>
      </c>
      <c r="J22" s="17">
        <f>ROUND(I22*$J$7,0)</f>
        <v>91087</v>
      </c>
      <c r="K22" s="17">
        <f t="shared" ref="K22" si="1">I22+J22</f>
        <v>597124</v>
      </c>
      <c r="L22" s="17"/>
      <c r="M22" s="17"/>
      <c r="N22" s="17"/>
      <c r="O22" s="17"/>
      <c r="P22" s="17"/>
      <c r="Q22" s="18"/>
      <c r="R22" s="16"/>
      <c r="S22" s="15" t="s">
        <v>43</v>
      </c>
      <c r="T22" s="17">
        <v>297000</v>
      </c>
      <c r="U22" s="36" t="s">
        <v>44</v>
      </c>
    </row>
    <row r="23" spans="1:21" ht="24.95" customHeight="1" x14ac:dyDescent="0.25">
      <c r="A23" s="98"/>
      <c r="B23" s="103"/>
      <c r="C23" s="89"/>
      <c r="D23" s="106" t="s">
        <v>29</v>
      </c>
      <c r="E23" s="29">
        <v>44958</v>
      </c>
      <c r="F23" s="26">
        <v>2</v>
      </c>
      <c r="G23" s="17">
        <v>85079</v>
      </c>
      <c r="H23" s="17"/>
      <c r="I23" s="17"/>
      <c r="J23" s="17">
        <v>0</v>
      </c>
      <c r="K23" s="17">
        <v>0</v>
      </c>
      <c r="L23" s="17"/>
      <c r="M23" s="17"/>
      <c r="N23" s="17"/>
      <c r="O23" s="17"/>
      <c r="P23" s="17"/>
      <c r="Q23" s="18">
        <f>G23</f>
        <v>85079</v>
      </c>
      <c r="R23" s="16"/>
      <c r="S23" s="15" t="s">
        <v>45</v>
      </c>
      <c r="T23" s="17">
        <v>198000</v>
      </c>
      <c r="U23" s="36" t="s">
        <v>46</v>
      </c>
    </row>
    <row r="24" spans="1:21" ht="24.95" customHeight="1" x14ac:dyDescent="0.25">
      <c r="A24" s="98"/>
      <c r="B24" s="103"/>
      <c r="C24" s="89"/>
      <c r="D24" s="106" t="s">
        <v>29</v>
      </c>
      <c r="E24" s="29"/>
      <c r="F24" s="26">
        <v>9</v>
      </c>
      <c r="G24" s="17">
        <v>91086</v>
      </c>
      <c r="H24" s="17"/>
      <c r="I24" s="17"/>
      <c r="J24" s="17"/>
      <c r="K24" s="17"/>
      <c r="L24" s="17"/>
      <c r="M24" s="17"/>
      <c r="N24" s="17"/>
      <c r="O24" s="17"/>
      <c r="P24" s="17"/>
      <c r="Q24" s="18">
        <f>G24</f>
        <v>91086</v>
      </c>
      <c r="R24" s="16"/>
      <c r="S24" s="15" t="s">
        <v>47</v>
      </c>
      <c r="T24" s="17">
        <v>30106</v>
      </c>
      <c r="U24" s="36" t="s">
        <v>48</v>
      </c>
    </row>
    <row r="25" spans="1:21" ht="24.95" customHeight="1" x14ac:dyDescent="0.25">
      <c r="A25" s="98"/>
      <c r="B25" s="103"/>
      <c r="C25" s="89"/>
      <c r="D25" s="106" t="s">
        <v>40</v>
      </c>
      <c r="E25" s="29">
        <v>45031</v>
      </c>
      <c r="F25" s="26">
        <v>9</v>
      </c>
      <c r="G25" s="17">
        <f>(4251823*40%)-G21-G22</f>
        <v>244729.20000000019</v>
      </c>
      <c r="H25" s="17"/>
      <c r="I25" s="17">
        <f t="shared" si="0"/>
        <v>244729</v>
      </c>
      <c r="J25" s="17">
        <f>ROUND(I25*$J$7,0)</f>
        <v>44051</v>
      </c>
      <c r="K25" s="17">
        <f t="shared" ref="K25" si="2">I25+J25</f>
        <v>288780</v>
      </c>
      <c r="L25" s="17"/>
      <c r="M25" s="17"/>
      <c r="N25" s="17"/>
      <c r="O25" s="17"/>
      <c r="P25" s="17"/>
      <c r="Q25" s="18"/>
      <c r="R25" s="16"/>
      <c r="S25" s="15" t="s">
        <v>49</v>
      </c>
      <c r="T25" s="17">
        <v>85079</v>
      </c>
      <c r="U25" s="36" t="s">
        <v>50</v>
      </c>
    </row>
    <row r="26" spans="1:21" ht="24.95" customHeight="1" x14ac:dyDescent="0.25">
      <c r="A26" s="98"/>
      <c r="B26" s="103"/>
      <c r="C26" s="89"/>
      <c r="D26" s="106"/>
      <c r="E26" s="29"/>
      <c r="F26" s="2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8"/>
      <c r="R26" s="16"/>
      <c r="S26" s="15"/>
      <c r="T26" s="17">
        <v>198000</v>
      </c>
      <c r="U26" s="36" t="s">
        <v>51</v>
      </c>
    </row>
    <row r="27" spans="1:21" ht="24.95" customHeight="1" x14ac:dyDescent="0.25">
      <c r="A27" s="98"/>
      <c r="B27" s="103"/>
      <c r="C27" s="89"/>
      <c r="D27" s="106"/>
      <c r="E27" s="29"/>
      <c r="F27" s="2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8"/>
      <c r="R27" s="16"/>
      <c r="S27" s="15" t="s">
        <v>52</v>
      </c>
      <c r="T27" s="17">
        <v>7573</v>
      </c>
      <c r="U27" s="36" t="s">
        <v>53</v>
      </c>
    </row>
    <row r="28" spans="1:21" ht="24.95" customHeight="1" x14ac:dyDescent="0.25">
      <c r="A28" s="98"/>
      <c r="B28" s="103"/>
      <c r="C28" s="89"/>
      <c r="D28" s="106"/>
      <c r="E28" s="29"/>
      <c r="F28" s="2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8"/>
      <c r="R28" s="16"/>
      <c r="S28" s="15" t="s">
        <v>54</v>
      </c>
      <c r="T28" s="17">
        <v>148500</v>
      </c>
      <c r="U28" s="36" t="s">
        <v>55</v>
      </c>
    </row>
    <row r="29" spans="1:21" ht="24.95" customHeight="1" x14ac:dyDescent="0.25">
      <c r="A29" s="99" t="s">
        <v>122</v>
      </c>
      <c r="B29" s="104">
        <v>4251823</v>
      </c>
      <c r="C29" s="89"/>
      <c r="D29" s="106"/>
      <c r="E29" s="29"/>
      <c r="F29" s="2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8"/>
      <c r="R29" s="16"/>
      <c r="S29" s="15"/>
      <c r="T29" s="17"/>
      <c r="U29" s="36"/>
    </row>
    <row r="30" spans="1:21" ht="24.95" customHeight="1" x14ac:dyDescent="0.25">
      <c r="A30" s="99" t="s">
        <v>123</v>
      </c>
      <c r="B30" s="104">
        <v>4235000</v>
      </c>
      <c r="C30" s="89"/>
      <c r="D30" s="106"/>
      <c r="E30" s="29"/>
      <c r="F30" s="26"/>
      <c r="G30" s="71">
        <f>B30*40%</f>
        <v>1694000</v>
      </c>
      <c r="H30" s="71">
        <f>SUM(H21:H29)</f>
        <v>477301.52</v>
      </c>
      <c r="I30" s="71">
        <f>G30-H30</f>
        <v>1216698.48</v>
      </c>
      <c r="J30" s="71">
        <f>I30*$J$7</f>
        <v>219005.72639999999</v>
      </c>
      <c r="K30" s="71">
        <f>I30+J30</f>
        <v>1435704.2064</v>
      </c>
      <c r="L30" s="71">
        <f>I30*$L$7</f>
        <v>12166.9848</v>
      </c>
      <c r="M30" s="71">
        <f>I30*$M$7</f>
        <v>60834.923999999999</v>
      </c>
      <c r="N30" s="71">
        <f>I30*$N$7</f>
        <v>0</v>
      </c>
      <c r="O30" s="71">
        <f>I30*$O$7</f>
        <v>121669.848</v>
      </c>
      <c r="P30" s="71">
        <f>I30*$P$7</f>
        <v>219005.72639999999</v>
      </c>
      <c r="Q30" s="72">
        <f>K30-L30-M30-N30-O30-P30</f>
        <v>1022026.7232000001</v>
      </c>
      <c r="R30" s="16"/>
      <c r="S30" s="51"/>
      <c r="T30" s="24"/>
      <c r="U30" s="36"/>
    </row>
    <row r="31" spans="1:21" ht="24.95" customHeight="1" x14ac:dyDescent="0.25">
      <c r="A31" s="115"/>
      <c r="B31" s="116"/>
      <c r="C31" s="91"/>
      <c r="D31" s="110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37"/>
      <c r="R31" s="27"/>
      <c r="S31" s="22"/>
      <c r="T31" s="25"/>
      <c r="U31" s="38"/>
    </row>
    <row r="32" spans="1:21" ht="24.95" customHeight="1" x14ac:dyDescent="0.25">
      <c r="A32" s="98"/>
      <c r="B32" s="103"/>
      <c r="C32" s="89">
        <v>52793</v>
      </c>
      <c r="D32" s="106" t="s">
        <v>56</v>
      </c>
      <c r="E32" s="29">
        <v>44914</v>
      </c>
      <c r="F32" s="26">
        <v>5</v>
      </c>
      <c r="G32" s="17">
        <f>3300000*20%</f>
        <v>660000</v>
      </c>
      <c r="H32" s="17">
        <v>197847</v>
      </c>
      <c r="I32" s="17">
        <f>ROUND(G32-H32,)</f>
        <v>462153</v>
      </c>
      <c r="J32" s="17">
        <f>ROUND(I32*$J$7,0)</f>
        <v>83188</v>
      </c>
      <c r="K32" s="17">
        <f>I32+J32</f>
        <v>545341</v>
      </c>
      <c r="L32" s="17"/>
      <c r="M32" s="17"/>
      <c r="N32" s="17"/>
      <c r="O32" s="17"/>
      <c r="P32" s="17"/>
      <c r="Q32" s="18"/>
      <c r="R32" s="16">
        <v>52793</v>
      </c>
      <c r="S32" s="15" t="s">
        <v>58</v>
      </c>
      <c r="T32" s="17">
        <v>495000</v>
      </c>
      <c r="U32" s="36" t="s">
        <v>59</v>
      </c>
    </row>
    <row r="33" spans="1:21" ht="24.95" customHeight="1" x14ac:dyDescent="0.25">
      <c r="A33" s="98"/>
      <c r="B33" s="103"/>
      <c r="C33" s="89"/>
      <c r="D33" s="106" t="s">
        <v>57</v>
      </c>
      <c r="E33" s="29">
        <v>44958</v>
      </c>
      <c r="F33" s="26">
        <v>5</v>
      </c>
      <c r="G33" s="17">
        <f>J32</f>
        <v>83188</v>
      </c>
      <c r="H33" s="17"/>
      <c r="I33" s="17">
        <f t="shared" ref="I33" si="3">ROUND(G33-H33,)</f>
        <v>83188</v>
      </c>
      <c r="J33" s="17"/>
      <c r="K33" s="17">
        <f t="shared" ref="K33" si="4">I33+J33</f>
        <v>83188</v>
      </c>
      <c r="L33" s="17"/>
      <c r="M33" s="17"/>
      <c r="N33" s="17"/>
      <c r="O33" s="17"/>
      <c r="P33" s="17"/>
      <c r="Q33" s="18">
        <f t="shared" ref="Q33" si="5">ROUND(K33-SUM(L33:P33),0)</f>
        <v>83188</v>
      </c>
      <c r="R33" s="16"/>
      <c r="S33" s="15" t="s">
        <v>60</v>
      </c>
      <c r="T33" s="17">
        <v>148500</v>
      </c>
      <c r="U33" s="36" t="s">
        <v>61</v>
      </c>
    </row>
    <row r="34" spans="1:21" ht="24.95" customHeight="1" x14ac:dyDescent="0.25">
      <c r="A34" s="98"/>
      <c r="B34" s="103"/>
      <c r="C34" s="89"/>
      <c r="D34" s="106" t="s">
        <v>56</v>
      </c>
      <c r="E34" s="29">
        <v>45031</v>
      </c>
      <c r="F34" s="26">
        <v>6</v>
      </c>
      <c r="G34" s="17">
        <f>3765301*20%-G32</f>
        <v>93060.20000000007</v>
      </c>
      <c r="H34" s="17"/>
      <c r="I34" s="17">
        <f>ROUND(G34-H34,)</f>
        <v>93060</v>
      </c>
      <c r="J34" s="17">
        <f>ROUND(I34*$J$7,0)</f>
        <v>16751</v>
      </c>
      <c r="K34" s="17">
        <f>I34+J34</f>
        <v>109811</v>
      </c>
      <c r="L34" s="17"/>
      <c r="M34" s="17"/>
      <c r="N34" s="17"/>
      <c r="O34" s="17"/>
      <c r="P34" s="17"/>
      <c r="Q34" s="18"/>
      <c r="R34" s="16"/>
      <c r="S34" s="15"/>
      <c r="T34" s="17">
        <v>247500</v>
      </c>
      <c r="U34" s="18" t="s">
        <v>114</v>
      </c>
    </row>
    <row r="35" spans="1:21" ht="24.95" customHeight="1" x14ac:dyDescent="0.25">
      <c r="A35" s="99"/>
      <c r="B35" s="104"/>
      <c r="C35" s="89"/>
      <c r="D35" s="109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6"/>
      <c r="S35" s="15"/>
      <c r="T35" s="17">
        <v>198000</v>
      </c>
      <c r="U35" s="18" t="s">
        <v>120</v>
      </c>
    </row>
    <row r="36" spans="1:21" ht="24.95" customHeight="1" x14ac:dyDescent="0.25">
      <c r="A36" s="99" t="s">
        <v>122</v>
      </c>
      <c r="B36" s="104">
        <v>3765301</v>
      </c>
      <c r="C36" s="89"/>
      <c r="D36" s="109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6"/>
      <c r="S36" s="51"/>
      <c r="T36" s="24"/>
      <c r="U36" s="36"/>
    </row>
    <row r="37" spans="1:21" ht="24.95" customHeight="1" x14ac:dyDescent="0.25">
      <c r="A37" s="99" t="s">
        <v>123</v>
      </c>
      <c r="B37" s="104">
        <v>3960000</v>
      </c>
      <c r="C37" s="89"/>
      <c r="D37" s="109"/>
      <c r="E37" s="17"/>
      <c r="F37" s="17"/>
      <c r="G37" s="71">
        <f>B37*20%</f>
        <v>792000</v>
      </c>
      <c r="H37" s="71">
        <f>SUM(H32:H36)</f>
        <v>197847</v>
      </c>
      <c r="I37" s="71">
        <f>G37-H37</f>
        <v>594153</v>
      </c>
      <c r="J37" s="71">
        <f>I37*$J$7</f>
        <v>106947.54</v>
      </c>
      <c r="K37" s="71">
        <f>I37+J37</f>
        <v>701100.54</v>
      </c>
      <c r="L37" s="71">
        <f>I37*$L$7</f>
        <v>5941.53</v>
      </c>
      <c r="M37" s="71">
        <f>I37*$M$7</f>
        <v>29707.65</v>
      </c>
      <c r="N37" s="71">
        <f>I37*$N$7</f>
        <v>0</v>
      </c>
      <c r="O37" s="71">
        <f>I37*$O$7</f>
        <v>59415.3</v>
      </c>
      <c r="P37" s="71">
        <f>I37*$P$7</f>
        <v>106947.54</v>
      </c>
      <c r="Q37" s="72">
        <f>K37-L37-M37-N37-O37-P37</f>
        <v>499088.51999999996</v>
      </c>
      <c r="R37" s="16"/>
      <c r="S37" s="51"/>
      <c r="T37" s="24"/>
      <c r="U37" s="36"/>
    </row>
    <row r="38" spans="1:21" ht="24.95" customHeight="1" x14ac:dyDescent="0.25">
      <c r="A38" s="115"/>
      <c r="B38" s="116"/>
      <c r="C38" s="91"/>
      <c r="D38" s="110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37"/>
      <c r="R38" s="27"/>
      <c r="S38" s="22"/>
      <c r="T38" s="25"/>
      <c r="U38" s="38"/>
    </row>
    <row r="39" spans="1:21" ht="24.95" customHeight="1" x14ac:dyDescent="0.15">
      <c r="A39" s="98"/>
      <c r="B39" s="103"/>
      <c r="C39" s="89">
        <v>52796</v>
      </c>
      <c r="D39" s="109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8"/>
      <c r="R39" s="16">
        <v>52796</v>
      </c>
      <c r="S39" s="15" t="s">
        <v>21</v>
      </c>
      <c r="T39" s="17">
        <v>495000</v>
      </c>
      <c r="U39" s="119" t="s">
        <v>22</v>
      </c>
    </row>
    <row r="40" spans="1:21" ht="24.95" customHeight="1" x14ac:dyDescent="0.25">
      <c r="A40" s="98"/>
      <c r="B40" s="103"/>
      <c r="C40" s="89"/>
      <c r="D40" s="109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8"/>
      <c r="R40" s="16"/>
      <c r="S40" s="15"/>
      <c r="T40" s="17"/>
      <c r="U40" s="36"/>
    </row>
    <row r="41" spans="1:21" ht="24.95" customHeight="1" x14ac:dyDescent="0.25">
      <c r="A41" s="98"/>
      <c r="B41" s="103"/>
      <c r="C41" s="89"/>
      <c r="D41" s="109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8"/>
      <c r="R41" s="16"/>
      <c r="S41" s="15"/>
      <c r="T41" s="17"/>
      <c r="U41" s="36"/>
    </row>
    <row r="42" spans="1:21" ht="24.95" customHeight="1" x14ac:dyDescent="0.25">
      <c r="A42" s="115"/>
      <c r="B42" s="116"/>
      <c r="C42" s="91"/>
      <c r="D42" s="110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37"/>
      <c r="R42" s="27"/>
      <c r="S42" s="22"/>
      <c r="T42" s="25"/>
      <c r="U42" s="38"/>
    </row>
    <row r="43" spans="1:21" ht="24.95" customHeight="1" x14ac:dyDescent="0.25">
      <c r="A43" s="98"/>
      <c r="B43" s="103"/>
      <c r="C43" s="89">
        <v>56009</v>
      </c>
      <c r="D43" s="106" t="s">
        <v>20</v>
      </c>
      <c r="E43" s="29">
        <v>45012</v>
      </c>
      <c r="F43" s="26">
        <v>27</v>
      </c>
      <c r="G43" s="17">
        <f>3097314*10%</f>
        <v>309731.40000000002</v>
      </c>
      <c r="H43" s="17">
        <v>231489.49</v>
      </c>
      <c r="I43" s="17">
        <f>ROUND(G43-H43,)</f>
        <v>78242</v>
      </c>
      <c r="J43" s="17">
        <f>ROUND(I43*$J$7,0)</f>
        <v>14084</v>
      </c>
      <c r="K43" s="17">
        <f>I43+J43</f>
        <v>92326</v>
      </c>
      <c r="L43" s="17"/>
      <c r="M43" s="17"/>
      <c r="N43" s="17"/>
      <c r="O43" s="17"/>
      <c r="P43" s="17"/>
      <c r="Q43" s="18"/>
      <c r="R43" s="16">
        <v>56009</v>
      </c>
      <c r="S43" s="15" t="s">
        <v>21</v>
      </c>
      <c r="T43" s="17">
        <v>495000</v>
      </c>
      <c r="U43" s="36" t="s">
        <v>22</v>
      </c>
    </row>
    <row r="44" spans="1:21" ht="24.95" customHeight="1" x14ac:dyDescent="0.25">
      <c r="A44" s="98"/>
      <c r="B44" s="103"/>
      <c r="C44" s="89"/>
      <c r="D44" s="106" t="s">
        <v>20</v>
      </c>
      <c r="E44" s="29">
        <v>45016</v>
      </c>
      <c r="F44" s="26">
        <v>35</v>
      </c>
      <c r="G44" s="17">
        <f>(3097314*20%)-G43</f>
        <v>309731.40000000002</v>
      </c>
      <c r="H44" s="17">
        <v>0</v>
      </c>
      <c r="I44" s="17">
        <f>ROUND(G44-H44,)</f>
        <v>309731</v>
      </c>
      <c r="J44" s="17">
        <f>ROUND(I44*$J$7,0)</f>
        <v>55752</v>
      </c>
      <c r="K44" s="17">
        <f>I44+J44</f>
        <v>365483</v>
      </c>
      <c r="L44" s="17"/>
      <c r="M44" s="17"/>
      <c r="N44" s="17"/>
      <c r="O44" s="17"/>
      <c r="P44" s="17"/>
      <c r="Q44" s="18"/>
      <c r="R44" s="48"/>
      <c r="S44" s="15" t="s">
        <v>23</v>
      </c>
      <c r="T44" s="17">
        <v>99000</v>
      </c>
      <c r="U44" s="36" t="s">
        <v>24</v>
      </c>
    </row>
    <row r="45" spans="1:21" ht="24.95" customHeight="1" x14ac:dyDescent="0.25">
      <c r="A45" s="98"/>
      <c r="B45" s="103"/>
      <c r="C45" s="89"/>
      <c r="D45" s="106" t="s">
        <v>20</v>
      </c>
      <c r="E45" s="30">
        <v>45126</v>
      </c>
      <c r="F45" s="28">
        <v>31</v>
      </c>
      <c r="G45" s="28">
        <v>682500</v>
      </c>
      <c r="H45" s="28">
        <f>433586.02+10120-63037</f>
        <v>380669.02</v>
      </c>
      <c r="I45" s="28">
        <f>ROUND(G45-H45,)</f>
        <v>301831</v>
      </c>
      <c r="J45" s="28">
        <f>ROUND(I45*$J$7,0)</f>
        <v>54330</v>
      </c>
      <c r="K45" s="28">
        <f>I45+J45</f>
        <v>356161</v>
      </c>
      <c r="L45" s="28">
        <f>ROUND(I45*$L$7,)</f>
        <v>3018</v>
      </c>
      <c r="M45" s="28">
        <f>ROUND(I45*$M$7,)</f>
        <v>15092</v>
      </c>
      <c r="N45" s="28">
        <f>ROUND(I45*$N$7,)</f>
        <v>0</v>
      </c>
      <c r="O45" s="28">
        <f>ROUND(I45*$O$7,)</f>
        <v>30183</v>
      </c>
      <c r="P45" s="28">
        <f>J45</f>
        <v>54330</v>
      </c>
      <c r="Q45" s="46">
        <f>ROUND(K45-SUM(L45:P45),0)</f>
        <v>253538</v>
      </c>
      <c r="R45" s="16"/>
      <c r="S45" s="15" t="s">
        <v>25</v>
      </c>
      <c r="T45" s="17">
        <v>99000</v>
      </c>
      <c r="U45" s="36" t="s">
        <v>26</v>
      </c>
    </row>
    <row r="46" spans="1:21" ht="24.95" customHeight="1" x14ac:dyDescent="0.25">
      <c r="A46" s="98"/>
      <c r="B46" s="103"/>
      <c r="C46" s="89"/>
      <c r="D46" s="106" t="s">
        <v>29</v>
      </c>
      <c r="E46" s="30"/>
      <c r="F46" s="28">
        <v>27</v>
      </c>
      <c r="G46" s="28">
        <v>14084</v>
      </c>
      <c r="H46" s="28"/>
      <c r="I46" s="28"/>
      <c r="J46" s="28"/>
      <c r="K46" s="28"/>
      <c r="L46" s="28"/>
      <c r="M46" s="28"/>
      <c r="N46" s="28"/>
      <c r="O46" s="28"/>
      <c r="P46" s="28"/>
      <c r="Q46" s="46">
        <v>14084</v>
      </c>
      <c r="R46" s="16"/>
      <c r="S46" s="15" t="s">
        <v>117</v>
      </c>
      <c r="T46" s="17">
        <v>198000</v>
      </c>
      <c r="U46" s="18" t="s">
        <v>118</v>
      </c>
    </row>
    <row r="47" spans="1:21" ht="24.95" customHeight="1" x14ac:dyDescent="0.25">
      <c r="A47" s="99" t="s">
        <v>122</v>
      </c>
      <c r="B47" s="104">
        <v>3097314</v>
      </c>
      <c r="C47" s="89"/>
      <c r="D47" s="106" t="s">
        <v>29</v>
      </c>
      <c r="E47" s="30"/>
      <c r="F47" s="28">
        <v>35</v>
      </c>
      <c r="G47" s="28">
        <v>55752</v>
      </c>
      <c r="H47" s="28"/>
      <c r="I47" s="28"/>
      <c r="J47" s="28"/>
      <c r="K47" s="28"/>
      <c r="L47" s="28"/>
      <c r="M47" s="28"/>
      <c r="N47" s="28"/>
      <c r="O47" s="28"/>
      <c r="P47" s="28"/>
      <c r="Q47" s="46">
        <v>55752</v>
      </c>
      <c r="R47" s="16"/>
      <c r="S47" s="15"/>
      <c r="T47" s="17"/>
      <c r="U47" s="18"/>
    </row>
    <row r="48" spans="1:21" ht="24.95" customHeight="1" x14ac:dyDescent="0.25">
      <c r="A48" s="99" t="s">
        <v>123</v>
      </c>
      <c r="B48" s="104">
        <v>3412500</v>
      </c>
      <c r="C48" s="89"/>
      <c r="D48" s="106"/>
      <c r="E48" s="30"/>
      <c r="F48" s="28"/>
      <c r="G48" s="71">
        <f>B48*20%</f>
        <v>682500</v>
      </c>
      <c r="H48" s="71">
        <f>SUM(H43:H44)+10120</f>
        <v>241609.49</v>
      </c>
      <c r="I48" s="71">
        <f>G48-H48</f>
        <v>440890.51</v>
      </c>
      <c r="J48" s="71">
        <f>I48*$J$7</f>
        <v>79360.291799999992</v>
      </c>
      <c r="K48" s="71">
        <f>I48+J48</f>
        <v>520250.80180000002</v>
      </c>
      <c r="L48" s="71">
        <f>I48*$L$7</f>
        <v>4408.9050999999999</v>
      </c>
      <c r="M48" s="71">
        <f>I48*$M$7</f>
        <v>22044.525500000003</v>
      </c>
      <c r="N48" s="71">
        <f>I48*$N$7</f>
        <v>0</v>
      </c>
      <c r="O48" s="71">
        <f>I48*$O$7</f>
        <v>44089.051000000007</v>
      </c>
      <c r="P48" s="71">
        <f>I48*$P$7</f>
        <v>79360.291799999992</v>
      </c>
      <c r="Q48" s="72">
        <f>K48-L48-M48-N48-O48-P48</f>
        <v>370348.02840000007</v>
      </c>
      <c r="R48" s="16"/>
      <c r="S48" s="15"/>
      <c r="T48" s="17"/>
      <c r="U48" s="18"/>
    </row>
    <row r="49" spans="1:21" ht="24.95" customHeight="1" x14ac:dyDescent="0.25">
      <c r="A49" s="115"/>
      <c r="B49" s="116"/>
      <c r="C49" s="91"/>
      <c r="D49" s="110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7"/>
      <c r="R49" s="27"/>
      <c r="S49" s="22"/>
      <c r="T49" s="25"/>
      <c r="U49" s="38"/>
    </row>
    <row r="50" spans="1:21" ht="24.95" customHeight="1" x14ac:dyDescent="0.25">
      <c r="A50" s="98"/>
      <c r="B50" s="103"/>
      <c r="C50" s="89">
        <v>52794</v>
      </c>
      <c r="D50" s="106" t="s">
        <v>62</v>
      </c>
      <c r="E50" s="29">
        <v>45268</v>
      </c>
      <c r="F50" s="26">
        <v>1</v>
      </c>
      <c r="G50" s="17">
        <f>4080000*20%</f>
        <v>816000</v>
      </c>
      <c r="H50" s="17">
        <f>213984+87745</f>
        <v>301729</v>
      </c>
      <c r="I50" s="17">
        <f>ROUND(G50-H50,)</f>
        <v>514271</v>
      </c>
      <c r="J50" s="17">
        <f>ROUND(I50*$J$7,0)</f>
        <v>92569</v>
      </c>
      <c r="K50" s="17">
        <f>I50+J50</f>
        <v>606840</v>
      </c>
      <c r="L50" s="17"/>
      <c r="M50" s="17"/>
      <c r="N50" s="17"/>
      <c r="O50" s="17"/>
      <c r="P50" s="17"/>
      <c r="Q50" s="18"/>
      <c r="R50" s="16">
        <v>52794</v>
      </c>
      <c r="S50" s="15" t="s">
        <v>64</v>
      </c>
      <c r="T50" s="17">
        <v>495000</v>
      </c>
      <c r="U50" s="44" t="s">
        <v>65</v>
      </c>
    </row>
    <row r="51" spans="1:21" ht="24.95" customHeight="1" x14ac:dyDescent="0.25">
      <c r="A51" s="98"/>
      <c r="B51" s="103"/>
      <c r="C51" s="89"/>
      <c r="D51" s="106" t="s">
        <v>63</v>
      </c>
      <c r="E51" s="29">
        <v>44958</v>
      </c>
      <c r="F51" s="26">
        <v>1</v>
      </c>
      <c r="G51" s="17">
        <v>92568.78</v>
      </c>
      <c r="H51" s="17"/>
      <c r="I51" s="17"/>
      <c r="J51" s="17"/>
      <c r="K51" s="17"/>
      <c r="L51" s="17"/>
      <c r="M51" s="17"/>
      <c r="N51" s="17"/>
      <c r="O51" s="17"/>
      <c r="P51" s="17"/>
      <c r="Q51" s="18">
        <f>G51</f>
        <v>92568.78</v>
      </c>
      <c r="R51" s="16"/>
      <c r="S51" s="15" t="s">
        <v>66</v>
      </c>
      <c r="T51" s="17">
        <v>29556</v>
      </c>
      <c r="U51" s="36" t="s">
        <v>67</v>
      </c>
    </row>
    <row r="52" spans="1:21" ht="24.95" customHeight="1" x14ac:dyDescent="0.25">
      <c r="A52" s="98"/>
      <c r="B52" s="103"/>
      <c r="C52" s="89"/>
      <c r="D52" s="106" t="s">
        <v>62</v>
      </c>
      <c r="E52" s="29">
        <v>45031</v>
      </c>
      <c r="F52" s="26">
        <v>10</v>
      </c>
      <c r="G52" s="17">
        <f>(4643324*20%)-G50</f>
        <v>112664.80000000005</v>
      </c>
      <c r="H52" s="17"/>
      <c r="I52" s="17">
        <f>ROUND(G52-H52,)</f>
        <v>112665</v>
      </c>
      <c r="J52" s="17">
        <f>ROUND(I52*$J$7,0)</f>
        <v>20280</v>
      </c>
      <c r="K52" s="17">
        <f>I52+J52</f>
        <v>132945</v>
      </c>
      <c r="L52" s="17"/>
      <c r="M52" s="17"/>
      <c r="N52" s="17"/>
      <c r="O52" s="17"/>
      <c r="P52" s="17"/>
      <c r="Q52" s="18"/>
      <c r="R52" s="16"/>
      <c r="S52" s="15"/>
      <c r="T52" s="17">
        <v>100000</v>
      </c>
      <c r="U52" s="36" t="s">
        <v>68</v>
      </c>
    </row>
    <row r="53" spans="1:21" ht="24.95" customHeight="1" x14ac:dyDescent="0.25">
      <c r="A53" s="98"/>
      <c r="B53" s="103"/>
      <c r="C53" s="89"/>
      <c r="D53" s="106"/>
      <c r="E53" s="29"/>
      <c r="F53" s="26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8"/>
      <c r="R53" s="16"/>
      <c r="S53" s="15" t="s">
        <v>111</v>
      </c>
      <c r="T53" s="17">
        <v>198000</v>
      </c>
      <c r="U53" s="18" t="s">
        <v>110</v>
      </c>
    </row>
    <row r="54" spans="1:21" ht="24.95" customHeight="1" x14ac:dyDescent="0.25">
      <c r="A54" s="98"/>
      <c r="B54" s="103"/>
      <c r="C54" s="89"/>
      <c r="D54" s="106"/>
      <c r="E54" s="29"/>
      <c r="F54" s="26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8"/>
      <c r="R54" s="16"/>
      <c r="S54" s="15"/>
      <c r="T54" s="17">
        <v>198000</v>
      </c>
      <c r="U54" s="18" t="s">
        <v>121</v>
      </c>
    </row>
    <row r="55" spans="1:21" ht="24.95" customHeight="1" x14ac:dyDescent="0.25">
      <c r="A55" s="99" t="s">
        <v>122</v>
      </c>
      <c r="B55" s="104">
        <v>4643324</v>
      </c>
      <c r="C55" s="89"/>
      <c r="D55" s="106"/>
      <c r="E55" s="29"/>
      <c r="F55" s="26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8"/>
      <c r="R55" s="16"/>
      <c r="S55" s="15"/>
      <c r="T55" s="17"/>
      <c r="U55" s="18"/>
    </row>
    <row r="56" spans="1:21" ht="24.95" customHeight="1" x14ac:dyDescent="0.25">
      <c r="A56" s="99" t="s">
        <v>123</v>
      </c>
      <c r="B56" s="104">
        <v>4840000</v>
      </c>
      <c r="C56" s="89"/>
      <c r="D56" s="106"/>
      <c r="E56" s="29"/>
      <c r="F56" s="26"/>
      <c r="G56" s="71">
        <f>B56*20%</f>
        <v>968000</v>
      </c>
      <c r="H56" s="71">
        <f>SUM(H50:H55)</f>
        <v>301729</v>
      </c>
      <c r="I56" s="71">
        <f>G56-H56</f>
        <v>666271</v>
      </c>
      <c r="J56" s="71">
        <f>I56*$J$7</f>
        <v>119928.78</v>
      </c>
      <c r="K56" s="71">
        <f>I56+J56</f>
        <v>786199.78</v>
      </c>
      <c r="L56" s="71">
        <f>I56*$L$7</f>
        <v>6662.71</v>
      </c>
      <c r="M56" s="71">
        <f>I56*$M$7</f>
        <v>33313.550000000003</v>
      </c>
      <c r="N56" s="71">
        <f>I56*$N$7</f>
        <v>0</v>
      </c>
      <c r="O56" s="71">
        <f>I56*$O$7</f>
        <v>66627.100000000006</v>
      </c>
      <c r="P56" s="71">
        <f>I56*$P$7</f>
        <v>119928.78</v>
      </c>
      <c r="Q56" s="72">
        <f>K56-L56-M56-N56-O56-P56</f>
        <v>559667.64</v>
      </c>
      <c r="R56" s="16"/>
      <c r="S56" s="15"/>
      <c r="T56" s="17"/>
      <c r="U56" s="18"/>
    </row>
    <row r="57" spans="1:21" ht="24.95" customHeight="1" x14ac:dyDescent="0.25">
      <c r="A57" s="115"/>
      <c r="B57" s="116"/>
      <c r="C57" s="91"/>
      <c r="D57" s="110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37"/>
      <c r="R57" s="27"/>
      <c r="S57" s="22"/>
      <c r="T57" s="25"/>
      <c r="U57" s="38"/>
    </row>
    <row r="58" spans="1:21" ht="24.95" customHeight="1" x14ac:dyDescent="0.25">
      <c r="A58" s="98"/>
      <c r="B58" s="103"/>
      <c r="C58" s="89">
        <v>53217</v>
      </c>
      <c r="D58" s="109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8"/>
      <c r="R58" s="16">
        <v>53217</v>
      </c>
      <c r="S58" s="15" t="s">
        <v>69</v>
      </c>
      <c r="T58" s="17">
        <v>495000</v>
      </c>
      <c r="U58" s="39" t="s">
        <v>70</v>
      </c>
    </row>
    <row r="59" spans="1:21" ht="24.95" customHeight="1" x14ac:dyDescent="0.25">
      <c r="A59" s="115"/>
      <c r="B59" s="116"/>
      <c r="C59" s="91"/>
      <c r="D59" s="110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37"/>
      <c r="R59" s="27"/>
      <c r="S59" s="22"/>
      <c r="T59" s="25"/>
      <c r="U59" s="38"/>
    </row>
    <row r="60" spans="1:21" ht="24.95" customHeight="1" x14ac:dyDescent="0.25">
      <c r="A60" s="98"/>
      <c r="B60" s="103"/>
      <c r="C60" s="89">
        <v>56007</v>
      </c>
      <c r="D60" s="106" t="s">
        <v>71</v>
      </c>
      <c r="E60" s="29">
        <v>45012</v>
      </c>
      <c r="F60" s="26">
        <v>28</v>
      </c>
      <c r="G60" s="17">
        <f>4251823*10%</f>
        <v>425182.30000000005</v>
      </c>
      <c r="H60" s="17">
        <v>168709.9</v>
      </c>
      <c r="I60" s="17">
        <f>ROUND(G60-H60,)</f>
        <v>256472</v>
      </c>
      <c r="J60" s="17">
        <f>ROUND(I60*$J$7,0)</f>
        <v>46165</v>
      </c>
      <c r="K60" s="17">
        <f>I60+J60</f>
        <v>302637</v>
      </c>
      <c r="L60" s="17"/>
      <c r="M60" s="17"/>
      <c r="N60" s="17"/>
      <c r="O60" s="17"/>
      <c r="P60" s="17"/>
      <c r="Q60" s="18"/>
      <c r="R60" s="16">
        <v>56007</v>
      </c>
      <c r="S60" s="15" t="s">
        <v>72</v>
      </c>
      <c r="T60" s="17">
        <v>215436</v>
      </c>
      <c r="U60" s="36" t="s">
        <v>73</v>
      </c>
    </row>
    <row r="61" spans="1:21" ht="24.95" customHeight="1" x14ac:dyDescent="0.25">
      <c r="A61" s="98"/>
      <c r="B61" s="103"/>
      <c r="C61" s="89"/>
      <c r="D61" s="106" t="s">
        <v>71</v>
      </c>
      <c r="E61" s="29">
        <v>45031</v>
      </c>
      <c r="F61" s="26">
        <v>11</v>
      </c>
      <c r="G61" s="17">
        <v>425182.3</v>
      </c>
      <c r="H61" s="17"/>
      <c r="I61" s="17">
        <f>ROUND(G61-H61,)</f>
        <v>425182</v>
      </c>
      <c r="J61" s="17">
        <f>ROUND(I61*$J$7,0)</f>
        <v>76533</v>
      </c>
      <c r="K61" s="17">
        <f>I61+J61</f>
        <v>501715</v>
      </c>
      <c r="L61" s="17"/>
      <c r="M61" s="17"/>
      <c r="N61" s="17"/>
      <c r="O61" s="17"/>
      <c r="P61" s="17"/>
      <c r="Q61" s="18"/>
      <c r="R61" s="16"/>
      <c r="S61" s="15" t="s">
        <v>74</v>
      </c>
      <c r="T61" s="17">
        <v>357153</v>
      </c>
      <c r="U61" s="36" t="s">
        <v>75</v>
      </c>
    </row>
    <row r="62" spans="1:21" ht="24.95" customHeight="1" x14ac:dyDescent="0.25">
      <c r="A62" s="98"/>
      <c r="B62" s="103"/>
      <c r="C62" s="89"/>
      <c r="D62" s="106" t="s">
        <v>29</v>
      </c>
      <c r="E62" s="29"/>
      <c r="F62" s="26">
        <v>28</v>
      </c>
      <c r="G62" s="17"/>
      <c r="H62" s="17">
        <v>46165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8">
        <v>46165</v>
      </c>
      <c r="R62" s="16"/>
      <c r="S62" s="15" t="s">
        <v>108</v>
      </c>
      <c r="T62" s="17">
        <v>198000</v>
      </c>
      <c r="U62" s="18" t="s">
        <v>109</v>
      </c>
    </row>
    <row r="63" spans="1:21" ht="24.95" customHeight="1" x14ac:dyDescent="0.15">
      <c r="A63" s="98"/>
      <c r="B63" s="103"/>
      <c r="C63" s="89"/>
      <c r="D63" s="106"/>
      <c r="E63" s="29"/>
      <c r="F63" s="26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8"/>
      <c r="R63" s="16"/>
      <c r="S63" s="15" t="s">
        <v>132</v>
      </c>
      <c r="T63" s="17">
        <v>198000</v>
      </c>
      <c r="U63" s="119" t="s">
        <v>131</v>
      </c>
    </row>
    <row r="64" spans="1:21" ht="24.95" customHeight="1" x14ac:dyDescent="0.25">
      <c r="A64" s="99" t="s">
        <v>122</v>
      </c>
      <c r="B64" s="104">
        <v>4251823</v>
      </c>
      <c r="C64" s="89"/>
      <c r="D64" s="106"/>
      <c r="E64" s="29"/>
      <c r="F64" s="26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8"/>
      <c r="R64" s="16"/>
      <c r="S64" s="15"/>
      <c r="T64" s="17">
        <v>99001</v>
      </c>
      <c r="U64" s="36" t="s">
        <v>130</v>
      </c>
    </row>
    <row r="65" spans="1:21" ht="24.95" customHeight="1" x14ac:dyDescent="0.25">
      <c r="A65" s="99" t="s">
        <v>123</v>
      </c>
      <c r="B65" s="104">
        <v>4235000</v>
      </c>
      <c r="C65" s="89"/>
      <c r="D65" s="106"/>
      <c r="E65" s="29"/>
      <c r="F65" s="26"/>
      <c r="G65" s="71">
        <f>B65*20%</f>
        <v>847000</v>
      </c>
      <c r="H65" s="71">
        <f>SUM(H60:H64)</f>
        <v>214874.9</v>
      </c>
      <c r="I65" s="71">
        <f>G65-H65</f>
        <v>632125.1</v>
      </c>
      <c r="J65" s="71">
        <f>I65*$J$7</f>
        <v>113782.518</v>
      </c>
      <c r="K65" s="71">
        <f>I65+J65</f>
        <v>745907.61800000002</v>
      </c>
      <c r="L65" s="71">
        <f>I65*$L$7</f>
        <v>6321.2510000000002</v>
      </c>
      <c r="M65" s="71">
        <f>I65*$M$7</f>
        <v>31606.255000000001</v>
      </c>
      <c r="N65" s="71">
        <f>I65*$N$7</f>
        <v>0</v>
      </c>
      <c r="O65" s="71">
        <f>I65*$O$7</f>
        <v>63212.51</v>
      </c>
      <c r="P65" s="71">
        <f>I65*$P$7</f>
        <v>113782.518</v>
      </c>
      <c r="Q65" s="72">
        <f>K65-L65-M65-N65-O65-P65</f>
        <v>530985.08399999992</v>
      </c>
      <c r="R65" s="16"/>
      <c r="S65" s="15"/>
      <c r="T65" s="17"/>
      <c r="U65" s="36"/>
    </row>
    <row r="66" spans="1:21" ht="24.95" customHeight="1" x14ac:dyDescent="0.25">
      <c r="A66" s="115"/>
      <c r="B66" s="116"/>
      <c r="C66" s="91"/>
      <c r="D66" s="110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37"/>
      <c r="R66" s="27"/>
      <c r="S66" s="22"/>
      <c r="T66" s="25"/>
      <c r="U66" s="38"/>
    </row>
    <row r="67" spans="1:21" ht="24.95" customHeight="1" x14ac:dyDescent="0.25">
      <c r="A67" s="98"/>
      <c r="B67" s="103"/>
      <c r="C67" s="89">
        <v>52523</v>
      </c>
      <c r="D67" s="106" t="s">
        <v>76</v>
      </c>
      <c r="E67" s="29">
        <v>44904</v>
      </c>
      <c r="F67" s="26">
        <v>3</v>
      </c>
      <c r="G67" s="17">
        <f>3372500*20%</f>
        <v>674500</v>
      </c>
      <c r="H67" s="17">
        <v>223474</v>
      </c>
      <c r="I67" s="17">
        <f>ROUND(G67-H67,)</f>
        <v>451026</v>
      </c>
      <c r="J67" s="17">
        <f>ROUND(I67*$J$7,0)</f>
        <v>81185</v>
      </c>
      <c r="K67" s="17">
        <f>I67+J67</f>
        <v>532211</v>
      </c>
      <c r="L67" s="17"/>
      <c r="M67" s="17"/>
      <c r="N67" s="17"/>
      <c r="O67" s="17"/>
      <c r="P67" s="17"/>
      <c r="Q67" s="18"/>
      <c r="R67" s="16">
        <v>52523</v>
      </c>
      <c r="S67" s="15" t="s">
        <v>78</v>
      </c>
      <c r="T67" s="17">
        <v>297000</v>
      </c>
      <c r="U67" s="36" t="s">
        <v>79</v>
      </c>
    </row>
    <row r="68" spans="1:21" ht="24.95" customHeight="1" x14ac:dyDescent="0.25">
      <c r="A68" s="98"/>
      <c r="B68" s="103"/>
      <c r="C68" s="89"/>
      <c r="D68" s="106" t="s">
        <v>76</v>
      </c>
      <c r="E68" s="29">
        <v>45031</v>
      </c>
      <c r="F68" s="26">
        <v>8</v>
      </c>
      <c r="G68" s="17">
        <f>(3748120*20%)-G67</f>
        <v>75124</v>
      </c>
      <c r="H68" s="17">
        <v>0</v>
      </c>
      <c r="I68" s="17">
        <f>ROUND(G68-H68,)</f>
        <v>75124</v>
      </c>
      <c r="J68" s="17">
        <f>ROUND(I68*$J$7,0)</f>
        <v>13522</v>
      </c>
      <c r="K68" s="17">
        <f>I68+J68</f>
        <v>88646</v>
      </c>
      <c r="L68" s="17"/>
      <c r="M68" s="17"/>
      <c r="N68" s="17"/>
      <c r="O68" s="17"/>
      <c r="P68" s="17"/>
      <c r="Q68" s="18"/>
      <c r="R68" s="16"/>
      <c r="S68" s="15" t="s">
        <v>80</v>
      </c>
      <c r="T68" s="17">
        <v>198000</v>
      </c>
      <c r="U68" s="36" t="s">
        <v>81</v>
      </c>
    </row>
    <row r="69" spans="1:21" ht="24.95" customHeight="1" x14ac:dyDescent="0.25">
      <c r="A69" s="98"/>
      <c r="B69" s="103"/>
      <c r="C69" s="89"/>
      <c r="D69" s="106" t="s">
        <v>77</v>
      </c>
      <c r="E69" s="29">
        <v>44958</v>
      </c>
      <c r="F69" s="26">
        <v>3</v>
      </c>
      <c r="G69" s="17">
        <v>81185</v>
      </c>
      <c r="H69" s="17"/>
      <c r="I69" s="17"/>
      <c r="J69" s="17"/>
      <c r="K69" s="17"/>
      <c r="L69" s="17"/>
      <c r="M69" s="17"/>
      <c r="N69" s="17"/>
      <c r="O69" s="17"/>
      <c r="P69" s="17"/>
      <c r="Q69" s="18">
        <f>G69</f>
        <v>81185</v>
      </c>
      <c r="R69" s="16"/>
      <c r="S69" s="15"/>
      <c r="T69" s="17">
        <v>198000</v>
      </c>
      <c r="U69" s="18" t="s">
        <v>107</v>
      </c>
    </row>
    <row r="70" spans="1:21" ht="24.95" customHeight="1" x14ac:dyDescent="0.25">
      <c r="A70" s="98"/>
      <c r="B70" s="103"/>
      <c r="C70" s="89"/>
      <c r="D70" s="106"/>
      <c r="E70" s="29"/>
      <c r="F70" s="26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8"/>
      <c r="R70" s="16"/>
      <c r="S70" s="15" t="s">
        <v>106</v>
      </c>
      <c r="T70" s="17">
        <v>99000</v>
      </c>
      <c r="U70" s="18" t="s">
        <v>119</v>
      </c>
    </row>
    <row r="71" spans="1:21" ht="24.95" customHeight="1" x14ac:dyDescent="0.15">
      <c r="A71" s="98"/>
      <c r="B71" s="103"/>
      <c r="C71" s="89"/>
      <c r="D71" s="106"/>
      <c r="E71" s="29"/>
      <c r="F71" s="26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8"/>
      <c r="R71" s="16"/>
      <c r="S71" s="15" t="s">
        <v>135</v>
      </c>
      <c r="T71" s="17">
        <v>99000</v>
      </c>
      <c r="U71" s="119" t="s">
        <v>134</v>
      </c>
    </row>
    <row r="72" spans="1:21" ht="24.95" customHeight="1" x14ac:dyDescent="0.25">
      <c r="A72" s="98"/>
      <c r="B72" s="103"/>
      <c r="C72" s="89"/>
      <c r="D72" s="106"/>
      <c r="E72" s="29"/>
      <c r="F72" s="26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8"/>
      <c r="R72" s="16"/>
      <c r="S72" s="15"/>
      <c r="T72" s="17">
        <v>198001</v>
      </c>
      <c r="U72" s="36" t="s">
        <v>133</v>
      </c>
    </row>
    <row r="73" spans="1:21" ht="24.95" customHeight="1" x14ac:dyDescent="0.25">
      <c r="A73" s="99" t="s">
        <v>122</v>
      </c>
      <c r="B73" s="104">
        <v>3748120</v>
      </c>
      <c r="C73" s="89"/>
      <c r="D73" s="106"/>
      <c r="E73" s="29"/>
      <c r="F73" s="26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8"/>
      <c r="R73" s="16"/>
      <c r="S73" s="15"/>
      <c r="T73" s="17"/>
      <c r="U73" s="36"/>
    </row>
    <row r="74" spans="1:21" ht="24.95" customHeight="1" x14ac:dyDescent="0.25">
      <c r="A74" s="99" t="s">
        <v>123</v>
      </c>
      <c r="B74" s="104">
        <v>3981250</v>
      </c>
      <c r="C74" s="89"/>
      <c r="D74" s="106"/>
      <c r="E74" s="29"/>
      <c r="F74" s="26"/>
      <c r="G74" s="71">
        <f>B74*20%</f>
        <v>796250</v>
      </c>
      <c r="H74" s="71">
        <f>SUM(H67:H73)</f>
        <v>223474</v>
      </c>
      <c r="I74" s="71">
        <f>G74-H74</f>
        <v>572776</v>
      </c>
      <c r="J74" s="71">
        <f>I74*$J$7</f>
        <v>103099.68</v>
      </c>
      <c r="K74" s="71">
        <f>I74+J74</f>
        <v>675875.67999999993</v>
      </c>
      <c r="L74" s="71">
        <f>I74*$L$7</f>
        <v>5727.76</v>
      </c>
      <c r="M74" s="71">
        <f>I74*$M$7</f>
        <v>28638.800000000003</v>
      </c>
      <c r="N74" s="71">
        <f>I74*$N$7</f>
        <v>0</v>
      </c>
      <c r="O74" s="71">
        <f>I74*$O$7</f>
        <v>57277.600000000006</v>
      </c>
      <c r="P74" s="71">
        <f>I74*$P$7</f>
        <v>103099.68</v>
      </c>
      <c r="Q74" s="72">
        <f>K74-L74-M74-N74-O74-P74</f>
        <v>481131.83999999991</v>
      </c>
      <c r="R74" s="16"/>
      <c r="S74" s="15"/>
      <c r="T74" s="17"/>
      <c r="U74" s="36"/>
    </row>
    <row r="75" spans="1:21" ht="24.95" customHeight="1" x14ac:dyDescent="0.25">
      <c r="A75" s="115"/>
      <c r="B75" s="116"/>
      <c r="C75" s="91"/>
      <c r="D75" s="110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37"/>
      <c r="R75" s="27"/>
      <c r="S75" s="22"/>
      <c r="T75" s="25"/>
      <c r="U75" s="38"/>
    </row>
    <row r="76" spans="1:21" ht="24.95" customHeight="1" x14ac:dyDescent="0.25">
      <c r="A76" s="98"/>
      <c r="B76" s="103"/>
      <c r="C76" s="89">
        <v>52403</v>
      </c>
      <c r="D76" s="106" t="s">
        <v>82</v>
      </c>
      <c r="E76" s="29">
        <v>44955</v>
      </c>
      <c r="F76" s="26">
        <v>10</v>
      </c>
      <c r="G76" s="17">
        <f>2722000*40%</f>
        <v>1088800</v>
      </c>
      <c r="H76" s="17">
        <v>424799</v>
      </c>
      <c r="I76" s="17">
        <f>ROUND(G76-H76,)</f>
        <v>664001</v>
      </c>
      <c r="J76" s="17">
        <f>ROUND(I76*$J$7,0)</f>
        <v>119520</v>
      </c>
      <c r="K76" s="17">
        <f>I76+J76</f>
        <v>783521</v>
      </c>
      <c r="L76" s="17"/>
      <c r="M76" s="17"/>
      <c r="N76" s="17"/>
      <c r="O76" s="17"/>
      <c r="P76" s="17"/>
      <c r="Q76" s="18"/>
      <c r="R76" s="16">
        <v>52403</v>
      </c>
      <c r="S76" s="15" t="s">
        <v>83</v>
      </c>
      <c r="T76" s="17">
        <v>297000</v>
      </c>
      <c r="U76" s="36" t="s">
        <v>84</v>
      </c>
    </row>
    <row r="77" spans="1:21" ht="24.95" customHeight="1" x14ac:dyDescent="0.25">
      <c r="A77" s="98"/>
      <c r="B77" s="103"/>
      <c r="C77" s="89"/>
      <c r="D77" s="106" t="s">
        <v>77</v>
      </c>
      <c r="E77" s="29"/>
      <c r="F77" s="26"/>
      <c r="G77" s="17">
        <v>119520</v>
      </c>
      <c r="H77" s="17"/>
      <c r="I77" s="17"/>
      <c r="J77" s="17"/>
      <c r="K77" s="17"/>
      <c r="L77" s="17"/>
      <c r="M77" s="17"/>
      <c r="N77" s="17"/>
      <c r="O77" s="17"/>
      <c r="P77" s="17"/>
      <c r="Q77" s="18">
        <v>119520</v>
      </c>
      <c r="R77" s="16"/>
      <c r="S77" s="15" t="s">
        <v>85</v>
      </c>
      <c r="T77" s="17">
        <v>297000</v>
      </c>
      <c r="U77" s="36" t="s">
        <v>86</v>
      </c>
    </row>
    <row r="78" spans="1:21" ht="24.95" customHeight="1" x14ac:dyDescent="0.25">
      <c r="A78" s="98"/>
      <c r="B78" s="103"/>
      <c r="C78" s="89"/>
      <c r="D78" s="106" t="s">
        <v>82</v>
      </c>
      <c r="E78" s="29">
        <v>45031</v>
      </c>
      <c r="F78" s="26">
        <v>3</v>
      </c>
      <c r="G78" s="17">
        <f>(3097314*40%)-G76</f>
        <v>150125.60000000009</v>
      </c>
      <c r="H78" s="17">
        <v>0</v>
      </c>
      <c r="I78" s="17">
        <f>ROUND(G78-H78,)</f>
        <v>150126</v>
      </c>
      <c r="J78" s="17">
        <f>ROUND(I78*$J$7,0)</f>
        <v>27023</v>
      </c>
      <c r="K78" s="17">
        <f>I78+J78</f>
        <v>177149</v>
      </c>
      <c r="L78" s="17"/>
      <c r="M78" s="17"/>
      <c r="N78" s="17"/>
      <c r="O78" s="17"/>
      <c r="P78" s="17"/>
      <c r="Q78" s="18"/>
      <c r="R78" s="16"/>
      <c r="S78" s="15" t="s">
        <v>87</v>
      </c>
      <c r="T78" s="17">
        <v>148500</v>
      </c>
      <c r="U78" s="36" t="s">
        <v>88</v>
      </c>
    </row>
    <row r="79" spans="1:21" ht="24.95" customHeight="1" x14ac:dyDescent="0.25">
      <c r="A79" s="98"/>
      <c r="B79" s="103"/>
      <c r="C79" s="89"/>
      <c r="D79" s="106"/>
      <c r="E79" s="29"/>
      <c r="F79" s="26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8"/>
      <c r="R79" s="16"/>
      <c r="S79" s="15"/>
      <c r="T79" s="17">
        <v>50000</v>
      </c>
      <c r="U79" s="36" t="s">
        <v>89</v>
      </c>
    </row>
    <row r="80" spans="1:21" ht="24.95" customHeight="1" x14ac:dyDescent="0.15">
      <c r="A80" s="99" t="s">
        <v>122</v>
      </c>
      <c r="B80" s="104">
        <v>3097314</v>
      </c>
      <c r="C80" s="89"/>
      <c r="D80" s="106"/>
      <c r="E80" s="29"/>
      <c r="F80" s="26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8"/>
      <c r="R80" s="16"/>
      <c r="S80" s="15" t="s">
        <v>137</v>
      </c>
      <c r="T80" s="17">
        <v>198000</v>
      </c>
      <c r="U80" s="119" t="s">
        <v>136</v>
      </c>
    </row>
    <row r="81" spans="1:21" ht="24.95" customHeight="1" x14ac:dyDescent="0.25">
      <c r="A81" s="99" t="s">
        <v>123</v>
      </c>
      <c r="B81" s="104">
        <v>3412500</v>
      </c>
      <c r="C81" s="89"/>
      <c r="D81" s="106"/>
      <c r="E81" s="29"/>
      <c r="F81" s="26"/>
      <c r="G81" s="71">
        <f>B81*40%</f>
        <v>1365000</v>
      </c>
      <c r="H81" s="71">
        <f>SUM(H76:H80)</f>
        <v>424799</v>
      </c>
      <c r="I81" s="71">
        <f>G81-H81</f>
        <v>940201</v>
      </c>
      <c r="J81" s="71">
        <f>I81*$J$7</f>
        <v>169236.18</v>
      </c>
      <c r="K81" s="71">
        <f>I81+J81</f>
        <v>1109437.18</v>
      </c>
      <c r="L81" s="71">
        <f>I81*$L$7</f>
        <v>9402.01</v>
      </c>
      <c r="M81" s="71">
        <f>I81*$M$7</f>
        <v>47010.05</v>
      </c>
      <c r="N81" s="71">
        <f>I81*$N$7</f>
        <v>0</v>
      </c>
      <c r="O81" s="71">
        <f>I81*$O$7</f>
        <v>94020.1</v>
      </c>
      <c r="P81" s="71">
        <f>I81*$P$7</f>
        <v>169236.18</v>
      </c>
      <c r="Q81" s="72">
        <f>K81-L81-M81-N81-O81-P81</f>
        <v>789768.83999999985</v>
      </c>
      <c r="R81" s="16"/>
      <c r="S81" s="15"/>
      <c r="T81" s="17"/>
      <c r="U81" s="36"/>
    </row>
    <row r="82" spans="1:21" ht="24.95" customHeight="1" x14ac:dyDescent="0.25">
      <c r="A82" s="115"/>
      <c r="B82" s="116"/>
      <c r="C82" s="91"/>
      <c r="D82" s="110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37"/>
      <c r="R82" s="27"/>
      <c r="S82" s="22"/>
      <c r="T82" s="25"/>
      <c r="U82" s="38"/>
    </row>
    <row r="83" spans="1:21" ht="24.95" customHeight="1" x14ac:dyDescent="0.25">
      <c r="A83" s="98"/>
      <c r="B83" s="103"/>
      <c r="C83" s="89">
        <v>52402</v>
      </c>
      <c r="D83" s="106" t="s">
        <v>90</v>
      </c>
      <c r="E83" s="29">
        <v>45279</v>
      </c>
      <c r="F83" s="26">
        <v>4</v>
      </c>
      <c r="G83" s="17">
        <f>2300000*40%</f>
        <v>920000</v>
      </c>
      <c r="H83" s="17">
        <f>122843+214154</f>
        <v>336997</v>
      </c>
      <c r="I83" s="17">
        <f>ROUND(G83-H83,)</f>
        <v>583003</v>
      </c>
      <c r="J83" s="17">
        <f>ROUND(I83*$J$7,0)</f>
        <v>104941</v>
      </c>
      <c r="K83" s="17">
        <f>I83+J83</f>
        <v>687944</v>
      </c>
      <c r="L83" s="17"/>
      <c r="M83" s="17"/>
      <c r="N83" s="17"/>
      <c r="O83" s="17"/>
      <c r="P83" s="17"/>
      <c r="Q83" s="18"/>
      <c r="R83" s="16">
        <v>52402</v>
      </c>
      <c r="S83" s="15" t="s">
        <v>91</v>
      </c>
      <c r="T83" s="17">
        <v>297000</v>
      </c>
      <c r="U83" s="44" t="s">
        <v>92</v>
      </c>
    </row>
    <row r="84" spans="1:21" ht="24.95" customHeight="1" x14ac:dyDescent="0.25">
      <c r="A84" s="98"/>
      <c r="B84" s="103"/>
      <c r="C84" s="89"/>
      <c r="D84" s="106" t="s">
        <v>29</v>
      </c>
      <c r="E84" s="29">
        <v>44958</v>
      </c>
      <c r="F84" s="26">
        <v>4</v>
      </c>
      <c r="G84" s="17">
        <f>J83</f>
        <v>104941</v>
      </c>
      <c r="H84" s="17"/>
      <c r="I84" s="17">
        <f t="shared" ref="I84" si="6">ROUND(G84-H84,)</f>
        <v>104941</v>
      </c>
      <c r="J84" s="17"/>
      <c r="K84" s="17">
        <f t="shared" ref="K84" si="7">I84+J84</f>
        <v>104941</v>
      </c>
      <c r="L84" s="17"/>
      <c r="M84" s="17"/>
      <c r="N84" s="17"/>
      <c r="O84" s="17"/>
      <c r="P84" s="17"/>
      <c r="Q84" s="18">
        <f t="shared" ref="Q84" si="8">ROUND(K84-SUM(L84:P84),0)</f>
        <v>104941</v>
      </c>
      <c r="R84" s="16"/>
      <c r="S84" s="15" t="s">
        <v>93</v>
      </c>
      <c r="T84" s="17">
        <v>297000</v>
      </c>
      <c r="U84" s="36" t="s">
        <v>94</v>
      </c>
    </row>
    <row r="85" spans="1:21" ht="24.95" customHeight="1" x14ac:dyDescent="0.25">
      <c r="A85" s="98"/>
      <c r="B85" s="103"/>
      <c r="C85" s="89"/>
      <c r="D85" s="106" t="s">
        <v>90</v>
      </c>
      <c r="E85" s="29">
        <v>45031</v>
      </c>
      <c r="F85" s="26">
        <v>7</v>
      </c>
      <c r="G85" s="17">
        <f>(2579480*40%)-G83</f>
        <v>111792</v>
      </c>
      <c r="H85" s="17">
        <v>0</v>
      </c>
      <c r="I85" s="17">
        <f>ROUND(G85-H85,)</f>
        <v>111792</v>
      </c>
      <c r="J85" s="17">
        <f>ROUND(I85*$J$7,0)</f>
        <v>20123</v>
      </c>
      <c r="K85" s="17">
        <f>I85+J85</f>
        <v>131915</v>
      </c>
      <c r="L85" s="17"/>
      <c r="M85" s="17"/>
      <c r="N85" s="17"/>
      <c r="O85" s="17"/>
      <c r="P85" s="17"/>
      <c r="Q85" s="18"/>
      <c r="R85" s="16"/>
      <c r="S85" s="15"/>
      <c r="T85" s="17">
        <v>99000</v>
      </c>
      <c r="U85" s="36" t="s">
        <v>95</v>
      </c>
    </row>
    <row r="86" spans="1:21" ht="24.95" customHeight="1" x14ac:dyDescent="0.25">
      <c r="A86" s="98"/>
      <c r="B86" s="103"/>
      <c r="C86" s="89"/>
      <c r="D86" s="106"/>
      <c r="E86" s="29"/>
      <c r="F86" s="26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8"/>
      <c r="R86" s="16"/>
      <c r="S86" s="15" t="s">
        <v>104</v>
      </c>
      <c r="T86" s="17">
        <v>198000</v>
      </c>
      <c r="U86" s="18" t="s">
        <v>105</v>
      </c>
    </row>
    <row r="87" spans="1:21" ht="24.95" customHeight="1" x14ac:dyDescent="0.25">
      <c r="A87" s="99" t="s">
        <v>122</v>
      </c>
      <c r="B87" s="104">
        <v>2579480</v>
      </c>
      <c r="C87" s="89"/>
      <c r="D87" s="106"/>
      <c r="E87" s="29"/>
      <c r="F87" s="26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8"/>
      <c r="R87" s="16"/>
      <c r="S87" s="15"/>
      <c r="T87" s="17"/>
      <c r="U87" s="18"/>
    </row>
    <row r="88" spans="1:21" ht="24.95" customHeight="1" x14ac:dyDescent="0.25">
      <c r="A88" s="99" t="s">
        <v>123</v>
      </c>
      <c r="B88" s="104">
        <v>2850000</v>
      </c>
      <c r="C88" s="89"/>
      <c r="D88" s="106"/>
      <c r="E88" s="29"/>
      <c r="F88" s="26"/>
      <c r="G88" s="71">
        <f>B88*40%</f>
        <v>1140000</v>
      </c>
      <c r="H88" s="71">
        <f>SUM(H83:H87)</f>
        <v>336997</v>
      </c>
      <c r="I88" s="71">
        <f>G88-H88</f>
        <v>803003</v>
      </c>
      <c r="J88" s="71">
        <f>I88*$J$7</f>
        <v>144540.54</v>
      </c>
      <c r="K88" s="71">
        <f>I88+J88</f>
        <v>947543.54</v>
      </c>
      <c r="L88" s="71">
        <f>I88*$L$7</f>
        <v>8030.03</v>
      </c>
      <c r="M88" s="71">
        <f>I88*$M$7</f>
        <v>40150.15</v>
      </c>
      <c r="N88" s="71">
        <f>I88*$N$7</f>
        <v>0</v>
      </c>
      <c r="O88" s="71">
        <f>I88*$O$7</f>
        <v>80300.3</v>
      </c>
      <c r="P88" s="71">
        <f>I88*$P$7</f>
        <v>144540.54</v>
      </c>
      <c r="Q88" s="72">
        <f>K88-L88-M88-N88-O88-P88</f>
        <v>674522.5199999999</v>
      </c>
      <c r="R88" s="16"/>
      <c r="S88" s="15"/>
      <c r="T88" s="17"/>
      <c r="U88" s="18"/>
    </row>
    <row r="89" spans="1:21" ht="24.95" customHeight="1" x14ac:dyDescent="0.25">
      <c r="A89" s="115"/>
      <c r="B89" s="116"/>
      <c r="C89" s="91"/>
      <c r="D89" s="110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37"/>
      <c r="R89" s="27"/>
      <c r="S89" s="22"/>
      <c r="T89" s="25"/>
      <c r="U89" s="38"/>
    </row>
    <row r="90" spans="1:21" ht="24.95" customHeight="1" x14ac:dyDescent="0.25">
      <c r="A90" s="98"/>
      <c r="B90" s="103"/>
      <c r="C90" s="89">
        <v>51990</v>
      </c>
      <c r="D90" s="106" t="s">
        <v>96</v>
      </c>
      <c r="E90" s="29">
        <v>44970</v>
      </c>
      <c r="F90" s="26">
        <v>11</v>
      </c>
      <c r="G90" s="17">
        <v>1336500</v>
      </c>
      <c r="H90" s="17">
        <v>881692.7</v>
      </c>
      <c r="I90" s="17">
        <f>ROUND(G90-H90,)</f>
        <v>454807</v>
      </c>
      <c r="J90" s="17">
        <f>ROUND(I90*$J$7,0)</f>
        <v>81865</v>
      </c>
      <c r="K90" s="17">
        <f>I90+J90</f>
        <v>536672</v>
      </c>
      <c r="L90" s="17"/>
      <c r="M90" s="17"/>
      <c r="N90" s="17"/>
      <c r="O90" s="17"/>
      <c r="P90" s="17"/>
      <c r="Q90" s="18"/>
      <c r="R90" s="16">
        <v>51990</v>
      </c>
      <c r="S90" s="15" t="s">
        <v>98</v>
      </c>
      <c r="T90" s="17">
        <v>396000</v>
      </c>
      <c r="U90" s="36" t="s">
        <v>99</v>
      </c>
    </row>
    <row r="91" spans="1:21" ht="24.95" customHeight="1" x14ac:dyDescent="0.25">
      <c r="A91" s="98"/>
      <c r="B91" s="103"/>
      <c r="C91" s="89"/>
      <c r="D91" s="106" t="s">
        <v>96</v>
      </c>
      <c r="E91" s="29">
        <v>45031</v>
      </c>
      <c r="F91" s="26">
        <v>2</v>
      </c>
      <c r="G91" s="17">
        <f>(2655000*55%)-G90</f>
        <v>123750.00000000023</v>
      </c>
      <c r="H91" s="17">
        <v>0</v>
      </c>
      <c r="I91" s="17">
        <f>ROUND(G91-H91,)</f>
        <v>123750</v>
      </c>
      <c r="J91" s="17">
        <f>ROUND(I91*$J$7,0)</f>
        <v>22275</v>
      </c>
      <c r="K91" s="17">
        <f>I91+J91</f>
        <v>146025</v>
      </c>
      <c r="L91" s="17"/>
      <c r="M91" s="17"/>
      <c r="N91" s="17"/>
      <c r="O91" s="17"/>
      <c r="P91" s="17"/>
      <c r="Q91" s="18"/>
      <c r="R91" s="49"/>
      <c r="S91" s="15" t="s">
        <v>100</v>
      </c>
      <c r="T91" s="17">
        <v>594000</v>
      </c>
      <c r="U91" s="36" t="s">
        <v>101</v>
      </c>
    </row>
    <row r="92" spans="1:21" ht="24.95" customHeight="1" x14ac:dyDescent="0.25">
      <c r="A92" s="98"/>
      <c r="B92" s="103"/>
      <c r="C92" s="89"/>
      <c r="D92" s="106" t="s">
        <v>97</v>
      </c>
      <c r="E92" s="29">
        <v>45002</v>
      </c>
      <c r="F92" s="26">
        <v>11</v>
      </c>
      <c r="G92" s="17">
        <v>81865</v>
      </c>
      <c r="H92" s="17"/>
      <c r="I92" s="17"/>
      <c r="J92" s="17"/>
      <c r="K92" s="17"/>
      <c r="L92" s="17"/>
      <c r="M92" s="17"/>
      <c r="N92" s="17"/>
      <c r="O92" s="17"/>
      <c r="P92" s="17"/>
      <c r="Q92" s="18">
        <f>G92</f>
        <v>81865</v>
      </c>
      <c r="R92" s="49"/>
      <c r="S92" s="15" t="s">
        <v>102</v>
      </c>
      <c r="T92" s="17">
        <v>198000</v>
      </c>
      <c r="U92" s="18" t="s">
        <v>103</v>
      </c>
    </row>
    <row r="93" spans="1:21" ht="24.95" customHeight="1" x14ac:dyDescent="0.25">
      <c r="A93" s="98"/>
      <c r="B93" s="103"/>
      <c r="C93" s="92"/>
      <c r="D93" s="111"/>
      <c r="E93" s="73"/>
      <c r="F93" s="74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60"/>
      <c r="R93" s="65"/>
      <c r="S93" s="54"/>
      <c r="T93" s="55"/>
      <c r="U93" s="60"/>
    </row>
    <row r="94" spans="1:21" ht="24.95" customHeight="1" x14ac:dyDescent="0.25">
      <c r="A94" s="99" t="s">
        <v>122</v>
      </c>
      <c r="B94" s="104">
        <v>2655000</v>
      </c>
      <c r="C94" s="92"/>
      <c r="D94" s="111"/>
      <c r="E94" s="73"/>
      <c r="F94" s="74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60"/>
      <c r="R94" s="65"/>
      <c r="S94" s="54"/>
      <c r="T94" s="55"/>
      <c r="U94" s="60"/>
    </row>
    <row r="95" spans="1:21" ht="24.95" customHeight="1" thickBot="1" x14ac:dyDescent="0.3">
      <c r="A95" s="117" t="s">
        <v>123</v>
      </c>
      <c r="B95" s="118">
        <v>2950000</v>
      </c>
      <c r="C95" s="92"/>
      <c r="D95" s="112"/>
      <c r="E95" s="55"/>
      <c r="F95" s="55"/>
      <c r="G95" s="71">
        <f>B95*55%</f>
        <v>1622500.0000000002</v>
      </c>
      <c r="H95" s="71">
        <f>SUM(H90:H94)</f>
        <v>881692.7</v>
      </c>
      <c r="I95" s="71">
        <f>G95-H95</f>
        <v>740807.30000000028</v>
      </c>
      <c r="J95" s="71">
        <f>I95*$J$7</f>
        <v>133345.31400000004</v>
      </c>
      <c r="K95" s="71">
        <f>I95+J95</f>
        <v>874152.61400000029</v>
      </c>
      <c r="L95" s="71">
        <f>I95*$L$7</f>
        <v>7408.073000000003</v>
      </c>
      <c r="M95" s="71">
        <f>I95*$M$7</f>
        <v>37040.365000000013</v>
      </c>
      <c r="N95" s="71">
        <f>I95*$N$7</f>
        <v>0</v>
      </c>
      <c r="O95" s="71">
        <f>I95*$O$7</f>
        <v>74080.730000000025</v>
      </c>
      <c r="P95" s="71">
        <f>I95*$P$7</f>
        <v>133345.31400000004</v>
      </c>
      <c r="Q95" s="72">
        <f>K95-L95-M95-N95-O95-P95</f>
        <v>622278.13200000033</v>
      </c>
      <c r="R95" s="65"/>
      <c r="S95" s="54"/>
      <c r="T95" s="55"/>
      <c r="U95" s="56"/>
    </row>
    <row r="96" spans="1:21" ht="24.95" customHeight="1" x14ac:dyDescent="0.25">
      <c r="A96" s="97"/>
      <c r="B96" s="102"/>
      <c r="C96" s="93"/>
      <c r="D96" s="113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155" t="s">
        <v>27</v>
      </c>
      <c r="P96" s="155"/>
      <c r="Q96" s="62">
        <f>SUM(Q8:Q95)</f>
        <v>8773756.8476</v>
      </c>
      <c r="R96" s="66"/>
      <c r="S96" s="57" t="s">
        <v>124</v>
      </c>
      <c r="T96" s="58">
        <v>12161403</v>
      </c>
      <c r="U96" s="59"/>
    </row>
    <row r="97" spans="1:21" ht="24.95" customHeight="1" thickBot="1" x14ac:dyDescent="0.3">
      <c r="A97" s="96"/>
      <c r="B97" s="101"/>
      <c r="C97" s="94"/>
      <c r="D97" s="114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1"/>
      <c r="R97" s="67"/>
      <c r="S97" s="63" t="s">
        <v>125</v>
      </c>
      <c r="T97" s="64">
        <f>Q96-T96</f>
        <v>-3387646.1524</v>
      </c>
      <c r="U97" s="21"/>
    </row>
    <row r="98" spans="1:21" ht="24.95" customHeight="1" x14ac:dyDescent="0.25">
      <c r="M98" s="75">
        <f>SUM(M8:M95)</f>
        <v>455077.86949999997</v>
      </c>
      <c r="N98" s="75">
        <f t="shared" ref="N98:O98" si="9">SUM(N8:N95)</f>
        <v>0</v>
      </c>
      <c r="O98" s="75">
        <f t="shared" si="9"/>
        <v>910154.73899999994</v>
      </c>
    </row>
    <row r="99" spans="1:21" ht="24.95" customHeight="1" x14ac:dyDescent="0.25">
      <c r="P99" s="11"/>
      <c r="Q99" s="11"/>
    </row>
    <row r="101" spans="1:21" ht="24.95" customHeight="1" x14ac:dyDescent="0.25">
      <c r="Q101" s="11"/>
    </row>
    <row r="103" spans="1:21" ht="24.95" customHeight="1" x14ac:dyDescent="0.25">
      <c r="Q103" s="23"/>
    </row>
  </sheetData>
  <mergeCells count="5">
    <mergeCell ref="O96:P96"/>
    <mergeCell ref="B1:C1"/>
    <mergeCell ref="B2:C2"/>
    <mergeCell ref="B3:C3"/>
    <mergeCell ref="B4:D4"/>
  </mergeCells>
  <pageMargins left="0.7" right="0.7" top="0.75" bottom="0.75" header="0.3" footer="0.3"/>
  <pageSetup paperSize="9" scale="25" orientation="landscape" r:id="rId1"/>
  <rowBreaks count="1" manualBreakCount="1">
    <brk id="10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New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2025-05-29T11:13:49Z</dcterms:modified>
</cp:coreProperties>
</file>