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6C27E427-663B-4EF4-AD84-B2B3D4CCB0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J67" i="1" l="1"/>
  <c r="K67" i="1"/>
  <c r="H67" i="1"/>
  <c r="O67" i="1" s="1"/>
  <c r="G244" i="1"/>
  <c r="K244" i="1" s="1"/>
  <c r="R254" i="1"/>
  <c r="G253" i="1"/>
  <c r="K253" i="1" s="1"/>
  <c r="R248" i="1"/>
  <c r="G247" i="1"/>
  <c r="K247" i="1" s="1"/>
  <c r="G197" i="1"/>
  <c r="J197" i="1" s="1"/>
  <c r="G250" i="1"/>
  <c r="H250" i="1" s="1"/>
  <c r="G241" i="1"/>
  <c r="J241" i="1" s="1"/>
  <c r="I67" i="1" l="1"/>
  <c r="R67" i="1" s="1"/>
  <c r="H253" i="1"/>
  <c r="O253" i="1" s="1"/>
  <c r="P244" i="1"/>
  <c r="H244" i="1"/>
  <c r="O244" i="1" s="1"/>
  <c r="E245" i="1" s="1"/>
  <c r="R245" i="1" s="1"/>
  <c r="J244" i="1"/>
  <c r="J253" i="1"/>
  <c r="H247" i="1"/>
  <c r="J247" i="1"/>
  <c r="K197" i="1"/>
  <c r="H197" i="1"/>
  <c r="O197" i="1" s="1"/>
  <c r="E198" i="1" s="1"/>
  <c r="R198" i="1" s="1"/>
  <c r="M197" i="1"/>
  <c r="N197" i="1"/>
  <c r="J250" i="1"/>
  <c r="K250" i="1"/>
  <c r="O250" i="1"/>
  <c r="E251" i="1" s="1"/>
  <c r="R251" i="1" s="1"/>
  <c r="I250" i="1"/>
  <c r="K241" i="1"/>
  <c r="H241" i="1"/>
  <c r="O241" i="1" s="1"/>
  <c r="G237" i="1"/>
  <c r="H237" i="1" s="1"/>
  <c r="Q28" i="1"/>
  <c r="G28" i="1"/>
  <c r="J28" i="1" s="1"/>
  <c r="I253" i="1" l="1"/>
  <c r="R253" i="1" s="1"/>
  <c r="U253" i="1" s="1"/>
  <c r="E242" i="1"/>
  <c r="R242" i="1" s="1"/>
  <c r="I244" i="1"/>
  <c r="R244" i="1" s="1"/>
  <c r="U244" i="1" s="1"/>
  <c r="I247" i="1"/>
  <c r="O247" i="1"/>
  <c r="Q265" i="1" s="1"/>
  <c r="R250" i="1"/>
  <c r="U250" i="1" s="1"/>
  <c r="I197" i="1"/>
  <c r="R197" i="1" s="1"/>
  <c r="I241" i="1"/>
  <c r="R241" i="1" s="1"/>
  <c r="M237" i="1"/>
  <c r="N237" i="1"/>
  <c r="J237" i="1"/>
  <c r="O237" i="1"/>
  <c r="I237" i="1"/>
  <c r="H28" i="1"/>
  <c r="O28" i="1" s="1"/>
  <c r="E29" i="1" s="1"/>
  <c r="R29" i="1" s="1"/>
  <c r="K237" i="1"/>
  <c r="K28" i="1"/>
  <c r="G232" i="1"/>
  <c r="K232" i="1" s="1"/>
  <c r="G231" i="1"/>
  <c r="H231" i="1" s="1"/>
  <c r="R247" i="1" l="1"/>
  <c r="U247" i="1" s="1"/>
  <c r="U241" i="1"/>
  <c r="E238" i="1"/>
  <c r="R238" i="1" s="1"/>
  <c r="N232" i="1"/>
  <c r="R237" i="1"/>
  <c r="M232" i="1"/>
  <c r="I28" i="1"/>
  <c r="R28" i="1" s="1"/>
  <c r="J231" i="1"/>
  <c r="O231" i="1"/>
  <c r="I231" i="1"/>
  <c r="J232" i="1"/>
  <c r="K231" i="1"/>
  <c r="H232" i="1"/>
  <c r="O232" i="1" s="1"/>
  <c r="U237" i="1" l="1"/>
  <c r="E233" i="1"/>
  <c r="R233" i="1" s="1"/>
  <c r="R231" i="1"/>
  <c r="I232" i="1"/>
  <c r="R232" i="1" s="1"/>
  <c r="G148" i="1" l="1"/>
  <c r="K148" i="1" s="1"/>
  <c r="G96" i="1"/>
  <c r="K96" i="1" s="1"/>
  <c r="G209" i="1"/>
  <c r="K209" i="1" s="1"/>
  <c r="G229" i="1"/>
  <c r="K229" i="1" s="1"/>
  <c r="G201" i="1"/>
  <c r="J201" i="1" s="1"/>
  <c r="G200" i="1"/>
  <c r="J200" i="1" s="1"/>
  <c r="G218" i="1"/>
  <c r="K218" i="1" s="1"/>
  <c r="G217" i="1"/>
  <c r="M217" i="1" s="1"/>
  <c r="G195" i="1"/>
  <c r="J195" i="1" s="1"/>
  <c r="G95" i="1"/>
  <c r="K95" i="1" s="1"/>
  <c r="G226" i="1"/>
  <c r="J226" i="1" s="1"/>
  <c r="G128" i="1"/>
  <c r="N128" i="1" s="1"/>
  <c r="G213" i="1"/>
  <c r="J213" i="1" s="1"/>
  <c r="H148" i="1" l="1"/>
  <c r="O148" i="1" s="1"/>
  <c r="E149" i="1" s="1"/>
  <c r="R149" i="1" s="1"/>
  <c r="J148" i="1"/>
  <c r="N217" i="1"/>
  <c r="M96" i="1"/>
  <c r="N96" i="1"/>
  <c r="H96" i="1"/>
  <c r="O96" i="1" s="1"/>
  <c r="J96" i="1"/>
  <c r="H209" i="1"/>
  <c r="O209" i="1" s="1"/>
  <c r="E210" i="1" s="1"/>
  <c r="R210" i="1" s="1"/>
  <c r="J209" i="1"/>
  <c r="H229" i="1"/>
  <c r="O229" i="1" s="1"/>
  <c r="E230" i="1" s="1"/>
  <c r="R230" i="1" s="1"/>
  <c r="J229" i="1"/>
  <c r="K200" i="1"/>
  <c r="H200" i="1"/>
  <c r="O200" i="1" s="1"/>
  <c r="M200" i="1"/>
  <c r="K201" i="1"/>
  <c r="N200" i="1"/>
  <c r="H201" i="1"/>
  <c r="O201" i="1" s="1"/>
  <c r="H218" i="1"/>
  <c r="O218" i="1" s="1"/>
  <c r="J218" i="1"/>
  <c r="K217" i="1"/>
  <c r="J217" i="1"/>
  <c r="H217" i="1"/>
  <c r="O217" i="1" s="1"/>
  <c r="M195" i="1"/>
  <c r="N195" i="1"/>
  <c r="K195" i="1"/>
  <c r="H195" i="1"/>
  <c r="O195" i="1" s="1"/>
  <c r="E196" i="1" s="1"/>
  <c r="R196" i="1" s="1"/>
  <c r="H95" i="1"/>
  <c r="O95" i="1" s="1"/>
  <c r="M95" i="1"/>
  <c r="N95" i="1"/>
  <c r="J95" i="1"/>
  <c r="K226" i="1"/>
  <c r="H226" i="1"/>
  <c r="O226" i="1" s="1"/>
  <c r="E227" i="1" s="1"/>
  <c r="R227" i="1" s="1"/>
  <c r="J128" i="1"/>
  <c r="K128" i="1"/>
  <c r="H128" i="1"/>
  <c r="O128" i="1" s="1"/>
  <c r="E129" i="1" s="1"/>
  <c r="R129" i="1" s="1"/>
  <c r="M128" i="1"/>
  <c r="K213" i="1"/>
  <c r="H213" i="1"/>
  <c r="O213" i="1" s="1"/>
  <c r="E214" i="1" s="1"/>
  <c r="R214" i="1" s="1"/>
  <c r="I148" i="1" l="1"/>
  <c r="R148" i="1" s="1"/>
  <c r="E202" i="1"/>
  <c r="R202" i="1" s="1"/>
  <c r="I209" i="1"/>
  <c r="R209" i="1" s="1"/>
  <c r="U209" i="1" s="1"/>
  <c r="E97" i="1"/>
  <c r="R97" i="1" s="1"/>
  <c r="E219" i="1"/>
  <c r="R219" i="1" s="1"/>
  <c r="I96" i="1"/>
  <c r="R96" i="1" s="1"/>
  <c r="I218" i="1"/>
  <c r="R218" i="1" s="1"/>
  <c r="I229" i="1"/>
  <c r="R229" i="1" s="1"/>
  <c r="U229" i="1" s="1"/>
  <c r="I200" i="1"/>
  <c r="R200" i="1" s="1"/>
  <c r="I201" i="1"/>
  <c r="R201" i="1" s="1"/>
  <c r="I217" i="1"/>
  <c r="R217" i="1" s="1"/>
  <c r="I195" i="1"/>
  <c r="R195" i="1" s="1"/>
  <c r="I95" i="1"/>
  <c r="R95" i="1" s="1"/>
  <c r="I213" i="1"/>
  <c r="R213" i="1" s="1"/>
  <c r="U213" i="1" s="1"/>
  <c r="I226" i="1"/>
  <c r="R226" i="1" s="1"/>
  <c r="U226" i="1" s="1"/>
  <c r="I128" i="1"/>
  <c r="R128" i="1" s="1"/>
  <c r="S257" i="1"/>
  <c r="U200" i="1" l="1"/>
  <c r="U217" i="1"/>
  <c r="U25" i="1"/>
  <c r="U195" i="1" l="1"/>
  <c r="G177" i="1" l="1"/>
  <c r="K177" i="1" s="1"/>
  <c r="N177" i="1" l="1"/>
  <c r="M177" i="1"/>
  <c r="H177" i="1"/>
  <c r="O177" i="1" s="1"/>
  <c r="E178" i="1" s="1"/>
  <c r="R178" i="1" s="1"/>
  <c r="J177" i="1"/>
  <c r="G105" i="1"/>
  <c r="K105" i="1" s="1"/>
  <c r="I177" i="1" l="1"/>
  <c r="R177" i="1" s="1"/>
  <c r="U177" i="1" s="1"/>
  <c r="H105" i="1"/>
  <c r="O105" i="1" s="1"/>
  <c r="E106" i="1" s="1"/>
  <c r="R106" i="1" s="1"/>
  <c r="M105" i="1"/>
  <c r="N105" i="1"/>
  <c r="J105" i="1"/>
  <c r="Q257" i="1"/>
  <c r="Q264" i="1" s="1"/>
  <c r="G190" i="1"/>
  <c r="G186" i="1"/>
  <c r="G182" i="1"/>
  <c r="G172" i="1"/>
  <c r="G169" i="1"/>
  <c r="K169" i="1" s="1"/>
  <c r="G166" i="1"/>
  <c r="H166" i="1" s="1"/>
  <c r="O166" i="1" s="1"/>
  <c r="E167" i="1" s="1"/>
  <c r="R167" i="1" s="1"/>
  <c r="G162" i="1"/>
  <c r="K162" i="1" s="1"/>
  <c r="G161" i="1"/>
  <c r="J161" i="1" s="1"/>
  <c r="G160" i="1"/>
  <c r="R157" i="1"/>
  <c r="G156" i="1"/>
  <c r="H156" i="1" s="1"/>
  <c r="O156" i="1" s="1"/>
  <c r="R152" i="1"/>
  <c r="G151" i="1"/>
  <c r="K151" i="1" s="1"/>
  <c r="R147" i="1"/>
  <c r="R146" i="1"/>
  <c r="G145" i="1"/>
  <c r="J145" i="1" s="1"/>
  <c r="G144" i="1"/>
  <c r="J144" i="1" s="1"/>
  <c r="R140" i="1"/>
  <c r="G139" i="1"/>
  <c r="K139" i="1" s="1"/>
  <c r="G138" i="1"/>
  <c r="J138" i="1" s="1"/>
  <c r="R134" i="1"/>
  <c r="R133" i="1"/>
  <c r="G132" i="1"/>
  <c r="H132" i="1" s="1"/>
  <c r="O132" i="1" s="1"/>
  <c r="G131" i="1"/>
  <c r="H131" i="1" s="1"/>
  <c r="O131" i="1" s="1"/>
  <c r="R127" i="1"/>
  <c r="G126" i="1"/>
  <c r="G123" i="1"/>
  <c r="K123" i="1" s="1"/>
  <c r="R122" i="1"/>
  <c r="G121" i="1"/>
  <c r="K121" i="1" s="1"/>
  <c r="G117" i="1"/>
  <c r="J117" i="1" s="1"/>
  <c r="G115" i="1"/>
  <c r="K115" i="1" s="1"/>
  <c r="L112" i="1"/>
  <c r="I112" i="1"/>
  <c r="G111" i="1"/>
  <c r="K111" i="1" s="1"/>
  <c r="G108" i="1"/>
  <c r="H108" i="1" s="1"/>
  <c r="O108" i="1" s="1"/>
  <c r="E109" i="1" s="1"/>
  <c r="R109" i="1" s="1"/>
  <c r="R104" i="1"/>
  <c r="G103" i="1"/>
  <c r="J103" i="1" s="1"/>
  <c r="R102" i="1"/>
  <c r="G101" i="1"/>
  <c r="J101" i="1" s="1"/>
  <c r="R93" i="1"/>
  <c r="G92" i="1"/>
  <c r="K92" i="1" s="1"/>
  <c r="G91" i="1"/>
  <c r="K91" i="1" s="1"/>
  <c r="R85" i="1"/>
  <c r="G84" i="1"/>
  <c r="J84" i="1" s="1"/>
  <c r="R83" i="1"/>
  <c r="G82" i="1"/>
  <c r="K82" i="1" s="1"/>
  <c r="R79" i="1"/>
  <c r="G78" i="1"/>
  <c r="J78" i="1" s="1"/>
  <c r="G77" i="1"/>
  <c r="H77" i="1" s="1"/>
  <c r="O77" i="1" s="1"/>
  <c r="R76" i="1"/>
  <c r="G75" i="1"/>
  <c r="H75" i="1" s="1"/>
  <c r="O75" i="1" s="1"/>
  <c r="G70" i="1"/>
  <c r="K70" i="1" s="1"/>
  <c r="G65" i="1"/>
  <c r="K65" i="1" s="1"/>
  <c r="E62" i="1"/>
  <c r="R62" i="1" s="1"/>
  <c r="U61" i="1" s="1"/>
  <c r="E56" i="1"/>
  <c r="R56" i="1" s="1"/>
  <c r="U55" i="1" s="1"/>
  <c r="G49" i="1"/>
  <c r="J49" i="1" s="1"/>
  <c r="G48" i="1"/>
  <c r="K48" i="1" s="1"/>
  <c r="R47" i="1"/>
  <c r="G46" i="1"/>
  <c r="M46" i="1" s="1"/>
  <c r="G41" i="1"/>
  <c r="J41" i="1" s="1"/>
  <c r="E37" i="1"/>
  <c r="R37" i="1" s="1"/>
  <c r="U36" i="1" s="1"/>
  <c r="E32" i="1"/>
  <c r="R32" i="1" s="1"/>
  <c r="U31" i="1" s="1"/>
  <c r="U28" i="1"/>
  <c r="G22" i="1"/>
  <c r="H22" i="1" s="1"/>
  <c r="O22" i="1" s="1"/>
  <c r="E23" i="1" s="1"/>
  <c r="R23" i="1" s="1"/>
  <c r="G17" i="1"/>
  <c r="K17" i="1" s="1"/>
  <c r="G15" i="1"/>
  <c r="H15" i="1" s="1"/>
  <c r="O15" i="1" s="1"/>
  <c r="E16" i="1" s="1"/>
  <c r="R16" i="1" s="1"/>
  <c r="R13" i="1"/>
  <c r="G12" i="1"/>
  <c r="M12" i="1" s="1"/>
  <c r="G10" i="1"/>
  <c r="J10" i="1" s="1"/>
  <c r="R9" i="1"/>
  <c r="I105" i="1" l="1"/>
  <c r="R105" i="1" s="1"/>
  <c r="J75" i="1"/>
  <c r="I22" i="1"/>
  <c r="K22" i="1"/>
  <c r="J70" i="1"/>
  <c r="K144" i="1"/>
  <c r="L48" i="1"/>
  <c r="J132" i="1"/>
  <c r="J48" i="1"/>
  <c r="K156" i="1"/>
  <c r="K132" i="1"/>
  <c r="H82" i="1"/>
  <c r="O82" i="1" s="1"/>
  <c r="J82" i="1"/>
  <c r="K84" i="1"/>
  <c r="H91" i="1"/>
  <c r="O91" i="1" s="1"/>
  <c r="K138" i="1"/>
  <c r="K145" i="1"/>
  <c r="I156" i="1"/>
  <c r="J65" i="1"/>
  <c r="K78" i="1"/>
  <c r="K77" i="1"/>
  <c r="L82" i="1"/>
  <c r="J91" i="1"/>
  <c r="J156" i="1"/>
  <c r="N46" i="1"/>
  <c r="P151" i="1"/>
  <c r="I15" i="1"/>
  <c r="H17" i="1"/>
  <c r="O17" i="1" s="1"/>
  <c r="E18" i="1" s="1"/>
  <c r="R18" i="1" s="1"/>
  <c r="H41" i="1"/>
  <c r="O41" i="1" s="1"/>
  <c r="E42" i="1" s="1"/>
  <c r="R42" i="1" s="1"/>
  <c r="H46" i="1"/>
  <c r="I46" i="1" s="1"/>
  <c r="H103" i="1"/>
  <c r="O103" i="1" s="1"/>
  <c r="H115" i="1"/>
  <c r="H117" i="1"/>
  <c r="O117" i="1" s="1"/>
  <c r="E118" i="1" s="1"/>
  <c r="R118" i="1" s="1"/>
  <c r="H121" i="1"/>
  <c r="J131" i="1"/>
  <c r="H151" i="1"/>
  <c r="H162" i="1"/>
  <c r="O162" i="1" s="1"/>
  <c r="K15" i="1"/>
  <c r="K41" i="1"/>
  <c r="N48" i="1"/>
  <c r="H65" i="1"/>
  <c r="O65" i="1" s="1"/>
  <c r="R66" i="1" s="1"/>
  <c r="H78" i="1"/>
  <c r="O78" i="1" s="1"/>
  <c r="H84" i="1"/>
  <c r="O84" i="1" s="1"/>
  <c r="K103" i="1"/>
  <c r="J115" i="1"/>
  <c r="K117" i="1"/>
  <c r="J121" i="1"/>
  <c r="H123" i="1"/>
  <c r="O123" i="1" s="1"/>
  <c r="E124" i="1" s="1"/>
  <c r="R124" i="1" s="1"/>
  <c r="K131" i="1"/>
  <c r="H139" i="1"/>
  <c r="J151" i="1"/>
  <c r="J162" i="1"/>
  <c r="J17" i="1"/>
  <c r="K46" i="1"/>
  <c r="H48" i="1"/>
  <c r="E51" i="1" s="1"/>
  <c r="R51" i="1" s="1"/>
  <c r="J77" i="1"/>
  <c r="N82" i="1"/>
  <c r="J123" i="1"/>
  <c r="H138" i="1"/>
  <c r="O138" i="1" s="1"/>
  <c r="J139" i="1"/>
  <c r="H145" i="1"/>
  <c r="O145" i="1" s="1"/>
  <c r="K161" i="1"/>
  <c r="J169" i="1"/>
  <c r="K10" i="1"/>
  <c r="M126" i="1"/>
  <c r="H126" i="1"/>
  <c r="O126" i="1" s="1"/>
  <c r="N126" i="1"/>
  <c r="P166" i="1"/>
  <c r="K12" i="1"/>
  <c r="M49" i="1"/>
  <c r="H10" i="1"/>
  <c r="L10" i="1"/>
  <c r="J12" i="1"/>
  <c r="K49" i="1"/>
  <c r="I75" i="1"/>
  <c r="M92" i="1"/>
  <c r="H92" i="1"/>
  <c r="N92" i="1"/>
  <c r="H101" i="1"/>
  <c r="O101" i="1" s="1"/>
  <c r="I108" i="1"/>
  <c r="H160" i="1"/>
  <c r="O160" i="1" s="1"/>
  <c r="I166" i="1"/>
  <c r="H172" i="1"/>
  <c r="O172" i="1" s="1"/>
  <c r="E173" i="1" s="1"/>
  <c r="R173" i="1" s="1"/>
  <c r="J172" i="1"/>
  <c r="P172" i="1"/>
  <c r="H182" i="1"/>
  <c r="O182" i="1" s="1"/>
  <c r="E183" i="1" s="1"/>
  <c r="R183" i="1" s="1"/>
  <c r="J182" i="1"/>
  <c r="P182" i="1"/>
  <c r="H186" i="1"/>
  <c r="O186" i="1" s="1"/>
  <c r="E187" i="1" s="1"/>
  <c r="R187" i="1" s="1"/>
  <c r="J186" i="1"/>
  <c r="P186" i="1"/>
  <c r="H190" i="1"/>
  <c r="O190" i="1" s="1"/>
  <c r="E191" i="1" s="1"/>
  <c r="R191" i="1" s="1"/>
  <c r="J190" i="1"/>
  <c r="P190" i="1"/>
  <c r="J160" i="1"/>
  <c r="H161" i="1"/>
  <c r="O161" i="1" s="1"/>
  <c r="J166" i="1"/>
  <c r="K172" i="1"/>
  <c r="K182" i="1"/>
  <c r="K186" i="1"/>
  <c r="K190" i="1"/>
  <c r="J108" i="1"/>
  <c r="H111" i="1"/>
  <c r="I111" i="1" s="1"/>
  <c r="J126" i="1"/>
  <c r="H12" i="1"/>
  <c r="O12" i="1" s="1"/>
  <c r="J15" i="1"/>
  <c r="J22" i="1"/>
  <c r="H49" i="1"/>
  <c r="N49" i="1"/>
  <c r="L70" i="1"/>
  <c r="H70" i="1"/>
  <c r="K75" i="1"/>
  <c r="I77" i="1"/>
  <c r="J92" i="1"/>
  <c r="K101" i="1"/>
  <c r="K108" i="1"/>
  <c r="J111" i="1"/>
  <c r="O112" i="1"/>
  <c r="K126" i="1"/>
  <c r="I131" i="1"/>
  <c r="I132" i="1"/>
  <c r="H144" i="1"/>
  <c r="O144" i="1" s="1"/>
  <c r="P156" i="1"/>
  <c r="K160" i="1"/>
  <c r="K166" i="1"/>
  <c r="H169" i="1"/>
  <c r="O169" i="1" s="1"/>
  <c r="E170" i="1" s="1"/>
  <c r="R170" i="1" s="1"/>
  <c r="R22" i="1" l="1"/>
  <c r="U22" i="1" s="1"/>
  <c r="I101" i="1"/>
  <c r="R101" i="1" s="1"/>
  <c r="I138" i="1"/>
  <c r="R138" i="1" s="1"/>
  <c r="I126" i="1"/>
  <c r="R126" i="1" s="1"/>
  <c r="U126" i="1" s="1"/>
  <c r="I103" i="1"/>
  <c r="R103" i="1" s="1"/>
  <c r="R132" i="1"/>
  <c r="I84" i="1"/>
  <c r="R84" i="1" s="1"/>
  <c r="I117" i="1"/>
  <c r="R117" i="1" s="1"/>
  <c r="O48" i="1"/>
  <c r="R77" i="1"/>
  <c r="P257" i="1"/>
  <c r="I162" i="1"/>
  <c r="R162" i="1" s="1"/>
  <c r="I123" i="1"/>
  <c r="R123" i="1" s="1"/>
  <c r="I82" i="1"/>
  <c r="R82" i="1" s="1"/>
  <c r="I48" i="1"/>
  <c r="I91" i="1"/>
  <c r="R91" i="1" s="1"/>
  <c r="R131" i="1"/>
  <c r="I78" i="1"/>
  <c r="R78" i="1" s="1"/>
  <c r="R15" i="1"/>
  <c r="I41" i="1"/>
  <c r="R41" i="1" s="1"/>
  <c r="U41" i="1" s="1"/>
  <c r="E66" i="1"/>
  <c r="M257" i="1"/>
  <c r="I151" i="1"/>
  <c r="O151" i="1"/>
  <c r="E116" i="1"/>
  <c r="R116" i="1" s="1"/>
  <c r="O115" i="1"/>
  <c r="N257" i="1"/>
  <c r="I145" i="1"/>
  <c r="R145" i="1" s="1"/>
  <c r="R156" i="1"/>
  <c r="U156" i="1" s="1"/>
  <c r="I17" i="1"/>
  <c r="R17" i="1" s="1"/>
  <c r="I190" i="1"/>
  <c r="R190" i="1" s="1"/>
  <c r="U190" i="1" s="1"/>
  <c r="I186" i="1"/>
  <c r="R186" i="1" s="1"/>
  <c r="U186" i="1" s="1"/>
  <c r="I182" i="1"/>
  <c r="R182" i="1" s="1"/>
  <c r="U182" i="1" s="1"/>
  <c r="I172" i="1"/>
  <c r="R172" i="1" s="1"/>
  <c r="U172" i="1" s="1"/>
  <c r="I65" i="1"/>
  <c r="R65" i="1" s="1"/>
  <c r="U65" i="1" s="1"/>
  <c r="I121" i="1"/>
  <c r="O121" i="1"/>
  <c r="J257" i="1"/>
  <c r="I139" i="1"/>
  <c r="O139" i="1"/>
  <c r="I115" i="1"/>
  <c r="I160" i="1"/>
  <c r="R160" i="1" s="1"/>
  <c r="R46" i="1"/>
  <c r="O49" i="1"/>
  <c r="E50" i="1"/>
  <c r="R50" i="1" s="1"/>
  <c r="R166" i="1"/>
  <c r="U166" i="1" s="1"/>
  <c r="K257" i="1"/>
  <c r="O70" i="1"/>
  <c r="E71" i="1" s="1"/>
  <c r="R71" i="1" s="1"/>
  <c r="I70" i="1"/>
  <c r="R108" i="1"/>
  <c r="U108" i="1" s="1"/>
  <c r="O92" i="1"/>
  <c r="E94" i="1"/>
  <c r="R94" i="1" s="1"/>
  <c r="R75" i="1"/>
  <c r="I169" i="1"/>
  <c r="R169" i="1" s="1"/>
  <c r="U169" i="1" s="1"/>
  <c r="I92" i="1"/>
  <c r="E163" i="1"/>
  <c r="R163" i="1" s="1"/>
  <c r="E11" i="1"/>
  <c r="R11" i="1" s="1"/>
  <c r="O10" i="1"/>
  <c r="I10" i="1"/>
  <c r="I161" i="1"/>
  <c r="R161" i="1" s="1"/>
  <c r="I49" i="1"/>
  <c r="E112" i="1"/>
  <c r="R112" i="1" s="1"/>
  <c r="O111" i="1"/>
  <c r="R111" i="1" s="1"/>
  <c r="I144" i="1"/>
  <c r="R144" i="1" s="1"/>
  <c r="U144" i="1" s="1"/>
  <c r="L257" i="1"/>
  <c r="I12" i="1"/>
  <c r="R12" i="1" s="1"/>
  <c r="Q262" i="1" l="1"/>
  <c r="R48" i="1"/>
  <c r="U131" i="1"/>
  <c r="U101" i="1"/>
  <c r="R92" i="1"/>
  <c r="U91" i="1" s="1"/>
  <c r="U82" i="1"/>
  <c r="R49" i="1"/>
  <c r="U75" i="1"/>
  <c r="R115" i="1"/>
  <c r="U115" i="1" s="1"/>
  <c r="U15" i="1"/>
  <c r="R139" i="1"/>
  <c r="U138" i="1" s="1"/>
  <c r="R121" i="1"/>
  <c r="U121" i="1" s="1"/>
  <c r="O257" i="1"/>
  <c r="U111" i="1"/>
  <c r="R151" i="1"/>
  <c r="U151" i="1" s="1"/>
  <c r="R10" i="1"/>
  <c r="R70" i="1"/>
  <c r="U70" i="1" s="1"/>
  <c r="U160" i="1"/>
  <c r="U8" i="1" l="1"/>
  <c r="R257" i="1"/>
  <c r="U46" i="1"/>
  <c r="U257" i="1" l="1"/>
  <c r="S258" i="1"/>
  <c r="Q263" i="1" s="1"/>
</calcChain>
</file>

<file path=xl/sharedStrings.xml><?xml version="1.0" encoding="utf-8"?>
<sst xmlns="http://schemas.openxmlformats.org/spreadsheetml/2006/main" count="331" uniqueCount="252">
  <si>
    <t>Chauhan Contractor</t>
  </si>
  <si>
    <t>Amount</t>
  </si>
  <si>
    <t>Painting</t>
  </si>
  <si>
    <t>Painting and Finishing</t>
  </si>
  <si>
    <t>Hold Amount/ Advance</t>
  </si>
  <si>
    <t>UTR</t>
  </si>
  <si>
    <t>Village Wise Advance</t>
  </si>
  <si>
    <t>02-08-2023 NEFT/AXISP00411959003/RIUP23/1321/CHAUHAN CONTRAC ₹ 1,47,674.00</t>
  </si>
  <si>
    <t>GST RELEASE NOTE</t>
  </si>
  <si>
    <t>18-08-2023 NEFT/AXISP00416613512/RIUP23/1567/CHAUHAN CONTRAC 29867.00</t>
  </si>
  <si>
    <t>25-08-2023 NEFT/AXISP00418410650/RIUP23/1710/CHAUHAN CONTRACTOR/HDFC0007662 123575.00</t>
  </si>
  <si>
    <t>20-09-2023 NEFT/AXISP00426340670/RIUP23/2138/CHAUHAN CONTRACTOR/HDFC0007662 24993.00</t>
  </si>
  <si>
    <t>17-10-2023 NEFT/AXISP00435127241/RIUP23/2652/CHAUHAN CONTRACTOR/HDFC0007662 50862.00</t>
  </si>
  <si>
    <t>17-10-2023 NEFT/AXISP00435127455/RIUP23/2693/CHAUHAN CONTRACTOR/HDFC0007662 10287.00</t>
  </si>
  <si>
    <t>03-07-2023 NEFT/AXISP00403392631/RIUP23/998/CHAUHAN CONTRACT ₹ 99,000.00</t>
  </si>
  <si>
    <t>04-08-2023 NEFT/AXISP00404568562/RIUP23/1370/CHAUHAN CONTRACT ₹ 2,17,110.00</t>
  </si>
  <si>
    <t>14-08-2023 NEFT/AXISP00415726130/RIUP23/1514/CHAUHAN CONTRAC 60532.00</t>
  </si>
  <si>
    <t>31-08-2023 NEFT/AXISP00419835730/RIUP23/1810/CHAUHAN CONTRACTOR/HDFC0007662 ₹ 1,14,915.00</t>
  </si>
  <si>
    <t>20-09-2023 NEFT/AXISP00426340668/RIUP23/2136/CHAUHAN CONTRACTOR/HDFC0007662 22005.00</t>
  </si>
  <si>
    <t>20-09-2023 NEFT/AXISP00426340672/RIUP23/1867/CHAUHAN CONTRACTOR/HDFC0007662 20680.00</t>
  </si>
  <si>
    <t>GST</t>
  </si>
  <si>
    <t>20-09-2023 NEFT/AXISP00426340673/RIUP23/2140/CHAUHAN CONTRACTOR/HDFC0007662 3960.00</t>
  </si>
  <si>
    <t>NW</t>
  </si>
  <si>
    <t>16-05-2023 NEFT/AXISP00390411247/RIUP23/227/CHAUHAN CONTRACT 291595.00</t>
  </si>
  <si>
    <t>GST Release Note</t>
  </si>
  <si>
    <t>28-06-2023 NEFT/AXISP00401332296/RIUP23/908/CHAUHAN CONTRACT 58974.00</t>
  </si>
  <si>
    <t>20-06-2023 NEFT/AXISP00399675462/RIUP23/690/CHAUHAN CONTRACT 9240.00</t>
  </si>
  <si>
    <t>19-07-2023 NEFT/AXISP00408122467/RIUP23/1148/CHAUHAN CONTRAC ₹ 1,980.00</t>
  </si>
  <si>
    <t>13.32.24</t>
  </si>
  <si>
    <t>22-03-2024 NEFT/AXISP00483290483/RIUP23/5235/CHAUHAN CONTRACTOR/HDFC0007662 200000.00</t>
  </si>
  <si>
    <t xml:space="preserve">ULHANI &amp; BIN MAZRA Village Pipe laying work </t>
  </si>
  <si>
    <t>10-05-2023 NEFT/AXISP00389275323/RIUP23/198/CHAUHAN CONTRACT ₹ 49,500.00</t>
  </si>
  <si>
    <t>GST Release note</t>
  </si>
  <si>
    <t>20-06-2023 NEFT/AXISP00399675460/RIUP23/735/CHAUHAN CONTRACT 241156.00</t>
  </si>
  <si>
    <t>19-07-2023 NEFT/AXISP00408122465/RIUP23/1149/CHAUHAN CONTRAC ₹ 74,264.00</t>
  </si>
  <si>
    <t>04-09-2023 NEFT/AXISP00421476870/RIUP23/1822/CHAUHAN CONTRACTOR/HDFC0007662 74841.00</t>
  </si>
  <si>
    <t>20-09-2023 NEFT/AXISP00426340671/RIUP23/2139/CHAUHAN CONTRACTOR/HDFC0007662 35440.00</t>
  </si>
  <si>
    <t>23-10-2023 NEFT/AXISP00436552877/RIUP23/2831/CHAUHAN CONTRACTOR/HDFC0007662 99000.00</t>
  </si>
  <si>
    <t>02-01-2024 NEFT/AXISP00458529773/RIUP23/3909/CHAUHAN CONTRACTOR/HDFC0007662 15389.00</t>
  </si>
  <si>
    <t>Subhri Village Pipeline laying work</t>
  </si>
  <si>
    <t>10-05-2023 NEFT/AXISP00389275322/RIUP23/197/CHAUHAN CONTRACT ₹ 49,500.00</t>
  </si>
  <si>
    <t>31-05-2023 NEFT/AXISP00393627871/RIUP23/455/CHAUHAN CONTRACT 91186.00</t>
  </si>
  <si>
    <t>10-07-2023 NEFT/AXISP00405573515/RIUP23/899/CHAUHAN CONTRACT 35005.00</t>
  </si>
  <si>
    <t>19-06-2023 NEFT/AXISP00399545679/RIUP23/724/CHAUHAN CONTRACT 313874.00</t>
  </si>
  <si>
    <t>19-07-2023 NEFT/AXISP00408122466/RIUP23/1147/CHAUHAN CONTRAC ₹ 67,889.00</t>
  </si>
  <si>
    <t>19-8-23</t>
  </si>
  <si>
    <t>28-08-2023 NEFT/AXISP00418849247/RIUP23/1719/CHAUHAN CONTRACTOR/HDFC0007662 262403.00</t>
  </si>
  <si>
    <t>GSt</t>
  </si>
  <si>
    <t>20-09-2023 NEFT/AXISP00426340669/RIUP23/2137/CHAUHAN CONTRACTOR/HDFC0007662 50248.00</t>
  </si>
  <si>
    <t>05-08-2023 NEFT/AXISP00412924941/RIUP23/1374/CHAUHAN CONTRAC 9790.00</t>
  </si>
  <si>
    <t>18-08-2023 NEFT/AXISP00416613511/RIUP23/1568/CHAUHAN CONTRAC 1980.00</t>
  </si>
  <si>
    <t>30-08-2023 NEFT/AXISP00419297250/RIUP23/1791/CHAUHAN CONTRACTOR  99,000.00</t>
  </si>
  <si>
    <t>30-09-2023 NEFT/AXISP00429163521/RIUP23/2393/CHAUHAN CONTRACTOR/HDFC0007662 102507.00</t>
  </si>
  <si>
    <t>PH work</t>
  </si>
  <si>
    <t>17-10-2023 NEFT/AXISP00435127453/RIUP23/2691/CHAUHAN CONTRACTOR/HDFC0007662 38587.00</t>
  </si>
  <si>
    <t>10-11-2023 NEFT/AXISP00443569622/RIUP23/3231/CHAUHAN CONTRACTOR/HDFC0007662 97290.00</t>
  </si>
  <si>
    <t>GST release</t>
  </si>
  <si>
    <t>38, 39</t>
  </si>
  <si>
    <t>18-11-2023 NEFT/AXISP00445057547/RIUP23/3322/CHAUHAN CONTRACTOR/HDFC0007662 18630.00</t>
  </si>
  <si>
    <t>Bindra Village Pipeline laying work</t>
  </si>
  <si>
    <t>14-08-2023 NEFT/AXISP00415763059/RIUP23/1522/CHAUHAN CONTRAC ₹ 1,48,500.00</t>
  </si>
  <si>
    <t>13-09-2023 NEFT/AXISP00424413818/RIUP23/1979/CHAUHAN CONTRACTOR/HDFC0007662 74818.00</t>
  </si>
  <si>
    <t>20-09-2023 NEFT/AXISP00426340667/RIUP23/2135/CHAUHAN CONTRACTOR/HDFC0007662 94266.00</t>
  </si>
  <si>
    <t>17-10-2023 NEFT/AXISP00435127452/RIUP23/2690/CHAUHAN CONTRACTOR/HDFC0007662 15313.00</t>
  </si>
  <si>
    <t>08-11-2023 NEFT/AXISP00442118543/RIUP23/3129/CHAUHAN CONTRACTOR/HDFC0007662 99000.00</t>
  </si>
  <si>
    <t>14-08-2023 NEFT/AXISP00415726135/RIUP23/1513/CHAUHAN CONTRAC 99000.0</t>
  </si>
  <si>
    <t>13-09-2023 NEFT/AXISP00424413817/RIUP23/1978/CHAUHAN CONTRACTOR/HDFC0007662 216249.00</t>
  </si>
  <si>
    <t>…….</t>
  </si>
  <si>
    <t>18-09-2023 NEFT/AXISP00425658721/RIUP23/2090/CHAUHAN CONTRACTOR/HDFC0007662 99000.00</t>
  </si>
  <si>
    <t>13-10-2023 NEFT/AXISP00434019643/RIUP23/2493/CHAUHAN CONTRACTOR/HDFC0007662 105171.00</t>
  </si>
  <si>
    <t>26-10-2023 NEFT/AXISP00437006009/RIUP23/2745/CHAUHAN CONTRACTOR/HDFC0007662 60367.00</t>
  </si>
  <si>
    <t>26-12-2023 NEFT/AXISP00455281521/RIUP23/3908/CHAUHAN CONTRACTOR/HDFC0007662 83029.00</t>
  </si>
  <si>
    <t>22-08-2023 NEFT/AXISP00417520225/RIUP23/1664/CHAUHAN CONTRACTOR 363896.00</t>
  </si>
  <si>
    <t>20-09-2023 NEFT/AXISP00426340666/RIUP23/2134/CHAUHAN CONTRACTOR/HDFC0007662 69682.00</t>
  </si>
  <si>
    <t>27-09-2023 NEFT/AXISP00427962768/RIUP23/2310/CHAUHAN CONTRACTOR/HDFC0007662 344836.00</t>
  </si>
  <si>
    <t>17-10-2023 NEFT/AXISP00435127451/RIUP23/2689/CHAUHAN CONTRACTOR/HDFC0007662 66032.00</t>
  </si>
  <si>
    <t>Badhupura  Village Excavation work</t>
  </si>
  <si>
    <t>03-10-2023 NEFT/AXISP00430096849/RIUP23/2408/CHAUHAN CONTRACTOR/HDFC0007662 16920.00</t>
  </si>
  <si>
    <t>Aldi  Village Excavation work</t>
  </si>
  <si>
    <t>03-10-2023 NEFT/AXISP00430096850/RIUP23/2409/CHAUHAN CONTRACTOR/HDFC0007662 70685.00</t>
  </si>
  <si>
    <t>17-10-2023 NEFT/AXISP00435127454/RIUP23/2692/CHAUHAN CONTRACTOR/HDFC0007662 13535.00</t>
  </si>
  <si>
    <t>Nanu Puri Village Pump House Work</t>
  </si>
  <si>
    <t>12-09-2023 NEFT/AXISP00423960527/RIUP23/1961/CHAUHAN CONTRACTOR/HDFC0007662 99000.00</t>
  </si>
  <si>
    <t>02-12-2023 NEFT/AXISP00449103435/RIUP23/3507/CHAUHAN CONTRACTOR/HDFC0007662 49550.00</t>
  </si>
  <si>
    <t>02-12-2023 NEFT/AXISP00449103436/RIUP23/3508/CHAUHAN CONTRACTOR/HDFC0007662 34290.00</t>
  </si>
  <si>
    <t>26-03-2024 NEFT/AXISP00484218136/RIUP23/4191/CHAUHAN CONTRACTOR/HDFC0007662 125348.00</t>
  </si>
  <si>
    <t>26-04-2024 NEFT/AXISP00494052853/RIUP24/0232/CHAUHAN CONTRACTOR/HDFC0007662 24003.00</t>
  </si>
  <si>
    <t>19-10-2023 NEFT/AXISP00435739503/RIUP23/2789/CHAUHAN CONTRACTOR/HDFC0007662 179070.00</t>
  </si>
  <si>
    <t>18-11-2023 NEFT/AXISP00445057543/RIUP23/3318/CHAUHAN CONTRACTOR/HDFC0007662 34290.00</t>
  </si>
  <si>
    <t>05-02-2024 NEFT/AXISP00468222679/RIUP23/4192/CHAUHAN CONTRACTOR/HDFC0007662 125348.00</t>
  </si>
  <si>
    <t>06-04-2024 NEFT/AXISP00489186663/RIUP23/4865/CHAUHAN CONTRACTOR/HDFC0007662 24003.00</t>
  </si>
  <si>
    <t xml:space="preserve"> </t>
  </si>
  <si>
    <t>05-10-2023 NEFT/AXISP00430957660/RIUP23/2497/CHAUHAN CONTRACTOR 180541.00</t>
  </si>
  <si>
    <t>18-11-2023 NEFT/AXISP00445057544/RIUP23/3319/CHAUHAN CONTRACTOR/HDFC0007662 43916.00</t>
  </si>
  <si>
    <t>16-09-2023 NEFT/AXISP00425555997/RIUP23/2063/CHAUHAN CONTRACTOR/HDFC0007662 ₹ 99,000.00</t>
  </si>
  <si>
    <t>10-10-2023 NEFT/AXISP00432944785/RIUP23/2607/CHAUHAN CONTRACTOR/HDFC0007662 80070.00</t>
  </si>
  <si>
    <t>10-11-2023 NEFT/AXISP00443569621/RIUP23/3233/CHAUHAN CONTRACTOR/HDFC0007662 125348.00</t>
  </si>
  <si>
    <t>18-11-2023 NEFT/AXISP00445057548/RIUP23/3323/CHAUHAN CONTRACTOR/HDFC0007662 58293.00</t>
  </si>
  <si>
    <t>Khandarwala village PH work</t>
  </si>
  <si>
    <t>11-09-2023 NEFT/AXISP00423685741/RIUP23/1960/CHAUHAN CONTRACTOR/HDFC0007662 99000.00</t>
  </si>
  <si>
    <t>08-11-2023 NEFT/AXISP00441999433/RIUP23/2961/CHAUHAN CONTRACTOR/HDFC0007662 189580.00</t>
  </si>
  <si>
    <t>32, 33</t>
  </si>
  <si>
    <t>18-11-2023 NEFT/AXISP00445057546/RIUP23/3321/CHAUHAN CONTRACTOR/HDFC0007662 55260.00</t>
  </si>
  <si>
    <t>08-11-2023 NEFT/AXISP00441999418/RIUP23/2960/CHAUHAN CONTRACTOR/HDFC0007662 179070.00</t>
  </si>
  <si>
    <t>10-11-2023 NEFT/AXISP00443569620/RIUP23/3234/CHAUHAN CONTRACTOR/HDFC0007662 125348.00</t>
  </si>
  <si>
    <t>18-11-2023 NEFT/AXISP00445057545/RIUP23/3320/CHAUHAN CONTRACTOR/HDFC0007662 58293.00</t>
  </si>
  <si>
    <t>23-10-2023 NEFT/AXISP00436552878/RIUP23/2832/CHAUHAN CONTRACTOR/HDFC0007662 99000.00</t>
  </si>
  <si>
    <t>23-10-2023 NEFT/AXISP00436552879/RIUP23/2833/CHAUHAN CONTRACTOR/HDFC0007662 69300.00</t>
  </si>
  <si>
    <t>10-11-2023 NEFT/AXISP00443569623/RIUP23/3232/CHAUHAN CONTRACTOR/HDFC0007662 200376.00</t>
  </si>
  <si>
    <t>18-11-2023 NEFT/AXISP00445057542/RIUP23/3317/CHAUHAN CONTRACTOR/HDFC0007662 79002.00</t>
  </si>
  <si>
    <t>Benra Village B.wall work</t>
  </si>
  <si>
    <t>30-11-2023 NEFT/AXISP00447586133/RIUP23/3506/CHAUHAN CONTRACTOR/HDFC0007662 309147.00</t>
  </si>
  <si>
    <t>20-12-2023 NEFT/AXISP00454416137/RIUP23/3845/CHAUHAN CONTRACTOR/HDFC0007662 66246.00</t>
  </si>
  <si>
    <t>01-02-2024 NEFT/AXISP00467376684/RIUP23/4212/CHAUHAN CONTRACTOR/HDFC0007662 132070.00</t>
  </si>
  <si>
    <t>14-03-2024 NEFT/AXISP00480996455/RIUP23/4605/CHAUHAN CONTRACTOR/HDFC0007662 145211.00</t>
  </si>
  <si>
    <t>14-03-2024 NEFT/AXISP00480996456/RIUP23/4606/CHAUHAN CONTRACTOR/HDFC0007662 53096.00</t>
  </si>
  <si>
    <t xml:space="preserve">GST </t>
  </si>
  <si>
    <t>44, 48 &amp; 49</t>
  </si>
  <si>
    <t>Panjeeth Village - Kairana block - B Wall work</t>
  </si>
  <si>
    <t>27-12-2023 NEFT/AXISP00455698721/RIUP23/3969/CHAUHAN CONTRACTOR/HDFC0007662 297116.00</t>
  </si>
  <si>
    <t>14-03-2024 NEFT/AXISP00480996453/RIUP23/4321/CHAUHAN CONTRACTOR/HDFC0007662 63668.00</t>
  </si>
  <si>
    <t>02-01-2024 NEFT/AXISP00458529771/RIUP23/4010/CHAUHAN CONTRACTOR/HDFC0007662 304418.00</t>
  </si>
  <si>
    <t>22-05-2024 NEFT/AXISP00501932374/RIUP24/0589/CHAUHAN CONTRACTOR/HDFC0007662 58293.00</t>
  </si>
  <si>
    <t>22-12-2023 NEFT/AXISP00455032169/RIUP23/3930/CHAUHAN CONTRACTOR/HDFC0007662 198000.00</t>
  </si>
  <si>
    <t>10-01-2024 NEFT/AXISP00461403099/RIUP23/4124/CHAUHAN CONTRACTOR/HDFC0007662 67555.00</t>
  </si>
  <si>
    <t>14-03-2024 NEFT/AXISP00480996454/RIUP23/4322/CHAUHAN CONTRACTOR/HDFC0007662 82656.00</t>
  </si>
  <si>
    <t>16-01-2024 NEFT/AXISP00462907337/RIUP23/4270/CHAUHAN CONTRACTOR/HDFC0007662 153914.00</t>
  </si>
  <si>
    <t>05-02-2024 NEFT/AXISP00468222690/RIUP23/4425/CHAUHAN CONTRACTOR/HDFC0007662 35069.00</t>
  </si>
  <si>
    <t>16-01-2024 NEFT/AXISP00462739067/RIUP23/4271/CHAUHAN CONTRACTOR/HDFC0007662 320049.00</t>
  </si>
  <si>
    <t>26-04-2024 NEFT/AXISP00494052852/RIUP23/4766/CHAUHAN CONTRACTOR/HDFC0007662 72923.00</t>
  </si>
  <si>
    <t>01-06-2024 NEFT/AXISP00505106986/RIUP24/0347/CHAUHAN CONTRACTOR/HDFC0007662 150000.00</t>
  </si>
  <si>
    <t>Total Paid</t>
  </si>
  <si>
    <t>Balance Payable</t>
  </si>
  <si>
    <t xml:space="preserve">Total Hold </t>
  </si>
  <si>
    <t>GST Remaining</t>
  </si>
  <si>
    <t>`</t>
  </si>
  <si>
    <t>16-07-2024 NEFT O/W-YESIG41980136407-HDFC0007662-CHAUHAN CONTRACTOR-RIUP24/1143 125,538.00</t>
  </si>
  <si>
    <t>16-07-2024 NEFT O/W-YESIG41980136408-HDFC0007662-CHAUHAN CONTRACTOR-RIUP24/1144 49,500.00</t>
  </si>
  <si>
    <t>16-07-2024 NEFT O/W-YESIG41980136412-HDFC0007662-CHAUHAN CONTRACTOR-RIUP24/0618 65,486.00</t>
  </si>
  <si>
    <t>16-07-2024 NEFT O/W-YESIG41980136418-HDFC0007662-CHAUHAN CONTRACTOR-RIUP24/0192 3,240.00</t>
  </si>
  <si>
    <t>17-05-2024 NEFT/AXISP00552658965/RIUP24/0187/CHAUHAN CONTRACTOR/HDFC0007662 58293.00</t>
  </si>
  <si>
    <t>14-08-2024 NEFT/AXISP00528230425/RIUP24/0872/CHAUHAN CONTRACTOR/HDFC0007662 3445.00</t>
  </si>
  <si>
    <t>14-08-2024 NEFT/AXISP00528230424/RIUP24/0873/CHAUHAN CONTRACTOR/HDFC0007662 62003.00</t>
  </si>
  <si>
    <t>01-08-2024 NEFT/AXISP00523999673/RIUP24/1312/CHAUHAN CONTRACTOR/HDFC0007662 99000.00</t>
  </si>
  <si>
    <t>04-09-2024 NEFT/AXISP00536438009/RIUP24/1644/CHAUHAN CONTRACTOR/HDFC0007662 99000.00</t>
  </si>
  <si>
    <t>17-09-2024 NEFT/AXISP00541269872/RIUP24/1810/CHAUHAN CONTRACTOR/HDFC0007662 64350.00</t>
  </si>
  <si>
    <t>17-09-2024 NEFT/AXISP00541269873/RIUP24/1809/CHAUHAN CONTRACTOR/HDFC0007662 59400.00</t>
  </si>
  <si>
    <t>04-09-2024 NEFT/AXISP00536438008/RIUP24/1645/CHAUHAN CONTRACTOR/HDFC0007662 99000.00</t>
  </si>
  <si>
    <t>15-01-2024 NEFT/AXISP00462583084/RIUP23/4215/CHAUHAN CONSTRUCTI/PUNB0207110 60698.00</t>
  </si>
  <si>
    <t>16-07-2024 NEFT O/W-YESIG41980136417-PUNB0207110-CHAUHAN CONSTRUCTION -RIUP24/0185 14,765.00</t>
  </si>
  <si>
    <t>21-09-2024 NEFT/AXISP00542940975/RIUP24/1888/CHAUHAN CONTRACTOR/HDFC0007662 74250.00</t>
  </si>
  <si>
    <t>Extra Hold</t>
  </si>
  <si>
    <t>26-09-2024 NEFT/AXISP00544686593/RIUP24/1934/CHAUHAN CONTRACTOR/HDFC0007662 99000.00</t>
  </si>
  <si>
    <t>10-09-2024 NEFT/AXISP00538525514/RIUP24/1728/CHAUHAN CONTRACTOR/HDFC0007662 148500.00</t>
  </si>
  <si>
    <t>CHAUHAN CONTRACTOR</t>
  </si>
  <si>
    <t>03-10-2024 NEFT/AXISP00548259336/RIUP24/2095/CHAUHAN CONTRACTOR/HDFC0007662 74250.00</t>
  </si>
  <si>
    <t>27-09-2024 NEFT/AXISP00545242908/RIUP24/1971/CHAUHAN CONTRACTOR/HDFC0007662 148500.00</t>
  </si>
  <si>
    <t>11-10-2024 NEFT/AXISP00552710822/RIUP24/2183/CHAUHAN CONTRACTOR/HDFC0007662 ₹ 79,200.00</t>
  </si>
  <si>
    <t>21-10-2024 NEFT/AXISP00556268918/RIUP24/2258/CHAUHAN CONTRACTOR/HDFC0007662 79200.00</t>
  </si>
  <si>
    <t>30-10-2024 NEFT/AXISP00561389910/RIUP24/2370/CHAUHAN CONTRACTOR/HDFC0007662 99000.00</t>
  </si>
  <si>
    <t>14-11-2024 NEFT/AXISP00569818236/RIUP24/2478/CHAUHAN CONTRACTOR/HDFC0007662 148500.00</t>
  </si>
  <si>
    <t>28-11-2024 NEFT/AXISP00575911966/RIUP24/2573/CHAUHAN CONTRACTOR/HDFC0007662 198000.00</t>
  </si>
  <si>
    <t>Advance / Balance Payable</t>
  </si>
  <si>
    <t>13-12-2024 NEFT/AXISP00583928109/RIUP24/2694/CHAUHAN CONTRACTOR/HDFC0007662 49500.00</t>
  </si>
  <si>
    <t>13-12-2024 NEFT/AXISP00583928108/RIUP24/2693/CHAUHAN CONTRACTOR/HDFC0007662 99000.00</t>
  </si>
  <si>
    <t>20-12-2024 NEFT/AXISP00587058616/RIUP24/2760/CHAUHAN CONTRACTOR/HDFC0007662 99000.00</t>
  </si>
  <si>
    <t>26-12-2024 Debit N/RIUP24/2761/CHAUHAN CONTRA/INDBN26123786872 99000.0</t>
  </si>
  <si>
    <t>07-01-2025 NEFT/AXISP00595145649/RIUP24/2863/CHAUHAN CONTRACTOR/HDFC0007662 148500.00</t>
  </si>
  <si>
    <t>10-01-2025 NEFT/AXISP00597065264/RIUP24/2895/CHAUHAN CONTRACTOR/HDFC0007662 50000.00</t>
  </si>
  <si>
    <t>8 &amp; 11</t>
  </si>
  <si>
    <t>7 &amp; 12</t>
  </si>
  <si>
    <t>5 &amp; 6</t>
  </si>
  <si>
    <t>20-01-2025 NEFT/AXISP00600730127/RIUP24/2977/CHAUHAN CONTRACTOR/HDFC0007662 50000.00</t>
  </si>
  <si>
    <t>20-01-2025 NEFT/AXISP00600730126/RIUP24/2975/CHAUHAN CONTRACTOR/HDFC0007662 200000.00</t>
  </si>
  <si>
    <t>23-01-2025 NEFT/AXISP00601980200/RIUP24/2976/CHAUHAN CONTRACTOR/HDFC0007662 200000.00</t>
  </si>
  <si>
    <t>27-01-2025 NEFT/AXISP00603731164/RIUP24/3026/CHAUHAN CONTRACTOR/HDFC0007662 49500.00</t>
  </si>
  <si>
    <t>27-01-2025 NEFT/AXISP00603731163/RIUP24/3025/CHAUHAN CONTRACTOR/HDFC0007662 250538.00</t>
  </si>
  <si>
    <t>07-02-2025 NEFT/AXISP00612564982/RIUP24/3121/CHAUHAN CONTRACTOR/HDFC0007662 49500.00</t>
  </si>
  <si>
    <t>10-02-2025 NEFT/AXISP00613794854/RIUP24/3122/CHAUHAN CONTRACTOR/HDFC0007662 99000.00</t>
  </si>
  <si>
    <t>18-02-2025 NEFT/AXISP00618390881/RIUP24/3210/CHAUHAN CONTRACTOR/HDFC0007662 100000.00</t>
  </si>
  <si>
    <t>25-02-2025 NEFT/AXISP00621808055/RIUP24/3239/CHAUHAN CONTRACTOR/HDFC0007662 100000.00</t>
  </si>
  <si>
    <t>03-03-2025 NEFT/AXISP00626657825/RIUP24/3304/CHAUHAN CONTRACTOR/HDFC0007662 100000.00</t>
  </si>
  <si>
    <t>06-03-2025 NEFT/AXISP00629048193/RIUP24/3358/CHAUHAN CONTRACTOR/HDFC0007662 106912.00</t>
  </si>
  <si>
    <t>06-03-2025 NEFT/AXISP00629048194/RIUP24/3359/CHAUHAN CONTRACTOR/HDFC0007662 69300.00</t>
  </si>
  <si>
    <t>06-03-2025 NEFT/AXISP00629048195/RIUP24/3360/CHAUHAN CONTRACTOR/HDFC0007662 203651.00</t>
  </si>
  <si>
    <t>06-03-2025 NEFT/AXISP00629048196/RIUP24/3361/CHAUHAN CONTRACTOR/HDFC0007662 178200.00</t>
  </si>
  <si>
    <t>12-03-2025 NEFT/AXISP00632257501/RIUP24/3402A/CHAUHAN CONTRACTOR/HDFC0007662 49500.00</t>
  </si>
  <si>
    <t>12-03-2025 NEFT/AXISP00632257500/RIUP24/3401/CHAUHAN CONTRACTOR/HDFC0007662 99000.00</t>
  </si>
  <si>
    <t>15, 16</t>
  </si>
  <si>
    <t>19-04-2025 NEFT/AXISP00653358544/RIUP25/0133/CHAUHAN CONTRACTOR/HDFC0007662 100000.00</t>
  </si>
  <si>
    <t>Uttar Pradesh</t>
  </si>
  <si>
    <t>Shamli</t>
  </si>
  <si>
    <t>nagli village RESTORATION work</t>
  </si>
  <si>
    <t>Salempur Hajipur Duggda village Pump House Work</t>
  </si>
  <si>
    <t>Eerti Village - Block Kairana - Boundary wall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</si>
  <si>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</si>
  <si>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</si>
  <si>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</si>
  <si>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</si>
  <si>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</si>
  <si>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</si>
  <si>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</si>
  <si>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</si>
  <si>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</si>
  <si>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</si>
  <si>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</si>
  <si>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</si>
  <si>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</si>
  <si>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</si>
  <si>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</si>
  <si>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Subcontractor:</t>
  </si>
  <si>
    <t>State:</t>
  </si>
  <si>
    <t>District:</t>
  </si>
  <si>
    <t>Block:</t>
  </si>
  <si>
    <t>Panjet Village   Pump house work</t>
  </si>
  <si>
    <t>Panjet Village    Pump house work</t>
  </si>
  <si>
    <t>Gujjarpur Fatehpur village  Pump house work</t>
  </si>
  <si>
    <t>Mannamazra village   OHT exc - 300 KL 16 mtr work</t>
  </si>
  <si>
    <t>Lohhripur village   BW work</t>
  </si>
  <si>
    <t>Kajipur Thirwa village   BW work</t>
  </si>
  <si>
    <t>Jangheri Village   Boundary wall work</t>
  </si>
  <si>
    <t xml:space="preserve">Basera village   chamber work </t>
  </si>
  <si>
    <t>Aldi Village   BW work</t>
  </si>
  <si>
    <t xml:space="preserve">ULHANI &amp; BIN MAZRA Village   Pipe laying work </t>
  </si>
  <si>
    <t xml:space="preserve">Basera non alluvial  village   Boundary wall  work  </t>
  </si>
  <si>
    <t>Ramra village  BW work</t>
  </si>
  <si>
    <r>
      <t xml:space="preserve">Ramra village  </t>
    </r>
    <r>
      <rPr>
        <b/>
        <sz val="9"/>
        <color theme="1"/>
        <rFont val="Comic Sans MS"/>
        <family val="4"/>
      </rPr>
      <t>Bypass Chamber</t>
    </r>
    <r>
      <rPr>
        <sz val="9"/>
        <color theme="1"/>
        <rFont val="Comic Sans MS"/>
        <family val="4"/>
      </rPr>
      <t xml:space="preserve">  work at Pump house</t>
    </r>
  </si>
  <si>
    <t>Benara village  PH work</t>
  </si>
  <si>
    <t>Nagala Rai  village  RESTORATION work</t>
  </si>
  <si>
    <t>Badhupura Village  Pipeline Work</t>
  </si>
  <si>
    <t>Mimla Kandhla Talab village  Pipeline Road Restoration work</t>
  </si>
  <si>
    <t>Mohammadpur Rai village  PH work</t>
  </si>
  <si>
    <t xml:space="preserve">Jahanpur village   Kairana Block - PH work </t>
  </si>
  <si>
    <t xml:space="preserve">MAWI TIMALI AHATMAL Village Pump House Construction Work  </t>
  </si>
  <si>
    <t xml:space="preserve">MALAKPUR Village Pump House Construction Work </t>
  </si>
  <si>
    <t xml:space="preserve">ALIPUR VILLAGE  BOUNDRAY WALL Work  </t>
  </si>
  <si>
    <t>Hasanpur village  RR work</t>
  </si>
  <si>
    <t xml:space="preserve">MOHAMMADPUR RAI VILLAGE    B. WALL Work </t>
  </si>
  <si>
    <t xml:space="preserve">JAHANPUR VILLAGE   B. WALL Work </t>
  </si>
  <si>
    <t>SALEMPUR (HAJIPUR DUGDDA) Village   Boundary Wall Work</t>
  </si>
  <si>
    <t>Mannamazra village   RR work</t>
  </si>
  <si>
    <t>Mannamazra village  RR work</t>
  </si>
  <si>
    <t>Panjith village   RR work</t>
  </si>
  <si>
    <t xml:space="preserve"> Mamour village  Block-Kairana RR work</t>
  </si>
  <si>
    <t>Nanupuri village Boundary wall work</t>
  </si>
  <si>
    <t xml:space="preserve"> Alipur village  RR work  Block-Kairana</t>
  </si>
  <si>
    <t xml:space="preserve"> Mawi Ahatmal Timali village  Block-Kairana Pipe Line Road Restoration Work</t>
  </si>
  <si>
    <t>Village-Ramra Block-Kairana  Balance Road Restoration Work</t>
  </si>
  <si>
    <t>ERTI VILLAGE  Pipe Line Road Restoration Work   BLOCK-KAIRANA</t>
  </si>
  <si>
    <t>Unchagaon Village Pipe Line Road Restoration Work  Block-Kairana</t>
  </si>
  <si>
    <t>NAGLA RAI VILLAGE  BOUNDARY WALL  WORK  BLOCK-KAIRANA</t>
  </si>
  <si>
    <t>Nagla Rai VILLAGE   DG foundation Work   Block- Kairana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</si>
</sst>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6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10"/>
      <color theme="1"/>
      <name val="Comic Sans MS"/>
      <family val="4"/>
    </font>
    <font>
      <sz val="7"/>
      <color rgb="FF333333"/>
      <name val="Verdana"/>
      <family val="2"/>
    </font>
    <font>
      <b/>
      <sz val="10"/>
      <color theme="1"/>
      <name val="Comic Sans MS"/>
      <family val="4"/>
    </font>
    <font>
      <sz val="9"/>
      <name val="Comic Sans MS"/>
      <family val="4"/>
    </font>
    <font>
      <b/>
      <sz val="14"/>
      <color theme="1"/>
      <name val="Calibri"/>
      <family val="2"/>
      <scheme val="minor"/>
    </font>
    <font>
      <sz val="9"/>
      <color rgb="FFFF0000"/>
      <name val="Comic Sans MS"/>
      <family val="4"/>
    </font>
    <font>
      <sz val="10"/>
      <color rgb="FFFF0000"/>
      <name val="Comic Sans MS"/>
      <family val="4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8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0" fontId="5" fillId="2" borderId="9" xfId="1" applyNumberFormat="1" applyFont="1" applyFill="1" applyBorder="1" applyAlignment="1">
      <alignment horizontal="center" vertical="center"/>
    </xf>
    <xf numFmtId="43" fontId="5" fillId="2" borderId="9" xfId="1" applyNumberFormat="1" applyFont="1" applyFill="1" applyBorder="1" applyAlignment="1">
      <alignment vertical="center"/>
    </xf>
    <xf numFmtId="9" fontId="5" fillId="2" borderId="9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0" fontId="4" fillId="3" borderId="14" xfId="1" applyNumberFormat="1" applyFont="1" applyFill="1" applyBorder="1" applyAlignment="1">
      <alignment vertical="center"/>
    </xf>
    <xf numFmtId="43" fontId="5" fillId="3" borderId="15" xfId="1" applyNumberFormat="1" applyFont="1" applyFill="1" applyBorder="1" applyAlignment="1">
      <alignment vertical="center"/>
    </xf>
    <xf numFmtId="0" fontId="5" fillId="3" borderId="16" xfId="1" applyNumberFormat="1" applyFont="1" applyFill="1" applyBorder="1" applyAlignment="1">
      <alignment horizontal="center" vertical="center"/>
    </xf>
    <xf numFmtId="0" fontId="0" fillId="3" borderId="16" xfId="0" applyFill="1" applyBorder="1" applyAlignment="1">
      <alignment vertical="center"/>
    </xf>
    <xf numFmtId="43" fontId="5" fillId="3" borderId="16" xfId="1" applyNumberFormat="1" applyFont="1" applyFill="1" applyBorder="1" applyAlignment="1">
      <alignment vertical="center"/>
    </xf>
    <xf numFmtId="43" fontId="5" fillId="3" borderId="17" xfId="1" applyNumberFormat="1" applyFont="1" applyFill="1" applyBorder="1" applyAlignment="1">
      <alignment vertical="center"/>
    </xf>
    <xf numFmtId="43" fontId="5" fillId="3" borderId="18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4" fillId="2" borderId="20" xfId="1" applyNumberFormat="1" applyFont="1" applyFill="1" applyBorder="1" applyAlignment="1">
      <alignment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quotePrefix="1" applyFont="1" applyFill="1" applyBorder="1" applyAlignment="1">
      <alignment horizontal="center" vertical="center"/>
    </xf>
    <xf numFmtId="43" fontId="5" fillId="2" borderId="22" xfId="1" applyNumberFormat="1" applyFont="1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43" fontId="5" fillId="2" borderId="23" xfId="1" applyNumberFormat="1" applyFont="1" applyFill="1" applyBorder="1" applyAlignment="1">
      <alignment vertical="center"/>
    </xf>
    <xf numFmtId="43" fontId="5" fillId="2" borderId="21" xfId="1" applyNumberFormat="1" applyFont="1" applyFill="1" applyBorder="1" applyAlignment="1">
      <alignment vertical="center"/>
    </xf>
    <xf numFmtId="43" fontId="5" fillId="2" borderId="24" xfId="1" applyNumberFormat="1" applyFont="1" applyFill="1" applyBorder="1" applyAlignment="1">
      <alignment vertical="center"/>
    </xf>
    <xf numFmtId="0" fontId="4" fillId="3" borderId="20" xfId="1" applyNumberFormat="1" applyFont="1" applyFill="1" applyBorder="1" applyAlignment="1">
      <alignment vertical="center"/>
    </xf>
    <xf numFmtId="43" fontId="5" fillId="3" borderId="21" xfId="1" applyNumberFormat="1" applyFont="1" applyFill="1" applyBorder="1" applyAlignment="1">
      <alignment vertical="center"/>
    </xf>
    <xf numFmtId="0" fontId="5" fillId="3" borderId="22" xfId="1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vertical="center"/>
    </xf>
    <xf numFmtId="43" fontId="5" fillId="3" borderId="22" xfId="1" applyNumberFormat="1" applyFont="1" applyFill="1" applyBorder="1" applyAlignment="1">
      <alignment vertical="center"/>
    </xf>
    <xf numFmtId="43" fontId="5" fillId="3" borderId="23" xfId="1" applyNumberFormat="1" applyFont="1" applyFill="1" applyBorder="1" applyAlignment="1">
      <alignment vertical="center"/>
    </xf>
    <xf numFmtId="43" fontId="5" fillId="3" borderId="24" xfId="1" applyNumberFormat="1" applyFont="1" applyFill="1" applyBorder="1" applyAlignment="1">
      <alignment vertical="center"/>
    </xf>
    <xf numFmtId="0" fontId="5" fillId="2" borderId="22" xfId="1" applyNumberFormat="1" applyFont="1" applyFill="1" applyBorder="1" applyAlignment="1">
      <alignment horizontal="center" vertical="center"/>
    </xf>
    <xf numFmtId="43" fontId="6" fillId="2" borderId="21" xfId="1" applyNumberFormat="1" applyFont="1" applyFill="1" applyBorder="1" applyAlignment="1">
      <alignment vertical="center"/>
    </xf>
    <xf numFmtId="43" fontId="0" fillId="2" borderId="22" xfId="0" applyNumberFormat="1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5" fillId="2" borderId="2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43" fontId="6" fillId="2" borderId="22" xfId="1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6" fillId="2" borderId="21" xfId="0" applyFont="1" applyFill="1" applyBorder="1" applyAlignment="1">
      <alignment horizontal="center" vertical="center" wrapText="1"/>
    </xf>
    <xf numFmtId="0" fontId="8" fillId="2" borderId="20" xfId="1" applyNumberFormat="1" applyFont="1" applyFill="1" applyBorder="1" applyAlignment="1">
      <alignment vertical="center"/>
    </xf>
    <xf numFmtId="43" fontId="4" fillId="2" borderId="21" xfId="1" applyNumberFormat="1" applyFont="1" applyFill="1" applyBorder="1" applyAlignment="1">
      <alignment horizontal="center" vertical="center"/>
    </xf>
    <xf numFmtId="0" fontId="7" fillId="0" borderId="24" xfId="0" applyFont="1" applyBorder="1"/>
    <xf numFmtId="0" fontId="5" fillId="2" borderId="22" xfId="0" applyFont="1" applyFill="1" applyBorder="1" applyAlignment="1">
      <alignment horizontal="center" vertical="center" wrapText="1"/>
    </xf>
    <xf numFmtId="43" fontId="9" fillId="2" borderId="23" xfId="1" applyNumberFormat="1" applyFont="1" applyFill="1" applyBorder="1" applyAlignment="1">
      <alignment vertical="center"/>
    </xf>
    <xf numFmtId="43" fontId="9" fillId="2" borderId="21" xfId="1" applyNumberFormat="1" applyFont="1" applyFill="1" applyBorder="1" applyAlignment="1">
      <alignment vertical="center"/>
    </xf>
    <xf numFmtId="0" fontId="4" fillId="2" borderId="25" xfId="1" applyNumberFormat="1" applyFont="1" applyFill="1" applyBorder="1" applyAlignment="1">
      <alignment vertical="center"/>
    </xf>
    <xf numFmtId="0" fontId="6" fillId="2" borderId="26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/>
    </xf>
    <xf numFmtId="43" fontId="5" fillId="2" borderId="26" xfId="1" applyNumberFormat="1" applyFont="1" applyFill="1" applyBorder="1" applyAlignment="1">
      <alignment vertical="center"/>
    </xf>
    <xf numFmtId="43" fontId="6" fillId="2" borderId="27" xfId="1" applyNumberFormat="1" applyFont="1" applyFill="1" applyBorder="1" applyAlignment="1">
      <alignment vertical="center"/>
    </xf>
    <xf numFmtId="43" fontId="5" fillId="2" borderId="27" xfId="1" applyNumberFormat="1" applyFont="1" applyFill="1" applyBorder="1" applyAlignment="1">
      <alignment vertical="center"/>
    </xf>
    <xf numFmtId="43" fontId="5" fillId="2" borderId="28" xfId="1" applyNumberFormat="1" applyFont="1" applyFill="1" applyBorder="1" applyAlignment="1">
      <alignment vertical="center"/>
    </xf>
    <xf numFmtId="0" fontId="0" fillId="0" borderId="29" xfId="0" applyBorder="1" applyAlignment="1">
      <alignment vertical="center"/>
    </xf>
    <xf numFmtId="0" fontId="4" fillId="3" borderId="25" xfId="1" applyNumberFormat="1" applyFont="1" applyFill="1" applyBorder="1" applyAlignment="1">
      <alignment vertical="center"/>
    </xf>
    <xf numFmtId="0" fontId="6" fillId="3" borderId="26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/>
    </xf>
    <xf numFmtId="43" fontId="6" fillId="3" borderId="27" xfId="1" applyNumberFormat="1" applyFont="1" applyFill="1" applyBorder="1" applyAlignment="1">
      <alignment vertical="center"/>
    </xf>
    <xf numFmtId="43" fontId="5" fillId="3" borderId="27" xfId="1" applyNumberFormat="1" applyFont="1" applyFill="1" applyBorder="1" applyAlignment="1">
      <alignment vertical="center"/>
    </xf>
    <xf numFmtId="43" fontId="5" fillId="3" borderId="28" xfId="1" applyNumberFormat="1" applyFont="1" applyFill="1" applyBorder="1" applyAlignment="1">
      <alignment vertical="center"/>
    </xf>
    <xf numFmtId="43" fontId="5" fillId="3" borderId="26" xfId="1" applyNumberFormat="1" applyFont="1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/>
    </xf>
    <xf numFmtId="43" fontId="6" fillId="3" borderId="22" xfId="1" applyNumberFormat="1" applyFont="1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30" xfId="0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43" fontId="6" fillId="2" borderId="23" xfId="1" applyNumberFormat="1" applyFont="1" applyFill="1" applyBorder="1" applyAlignment="1">
      <alignment vertical="center"/>
    </xf>
    <xf numFmtId="0" fontId="4" fillId="2" borderId="2" xfId="1" applyNumberFormat="1" applyFon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0" fontId="5" fillId="2" borderId="4" xfId="1" applyNumberFormat="1" applyFont="1" applyFill="1" applyBorder="1" applyAlignment="1">
      <alignment horizontal="center" vertical="center"/>
    </xf>
    <xf numFmtId="43" fontId="5" fillId="2" borderId="4" xfId="1" applyNumberFormat="1" applyFont="1" applyFill="1" applyBorder="1" applyAlignment="1">
      <alignment vertical="center"/>
    </xf>
    <xf numFmtId="43" fontId="4" fillId="2" borderId="6" xfId="1" applyNumberFormat="1" applyFont="1" applyFill="1" applyBorder="1" applyAlignment="1">
      <alignment vertical="center"/>
    </xf>
    <xf numFmtId="43" fontId="4" fillId="2" borderId="31" xfId="1" applyNumberFormat="1" applyFont="1" applyFill="1" applyBorder="1" applyAlignment="1">
      <alignment vertical="center"/>
    </xf>
    <xf numFmtId="43" fontId="4" fillId="2" borderId="8" xfId="1" applyNumberFormat="1" applyFont="1" applyFill="1" applyBorder="1" applyAlignment="1">
      <alignment vertical="center"/>
    </xf>
    <xf numFmtId="43" fontId="4" fillId="2" borderId="32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vertical="center"/>
    </xf>
    <xf numFmtId="0" fontId="5" fillId="2" borderId="0" xfId="1" applyNumberFormat="1" applyFont="1" applyFill="1" applyBorder="1" applyAlignment="1">
      <alignment horizontal="center" vertical="center"/>
    </xf>
    <xf numFmtId="43" fontId="0" fillId="2" borderId="0" xfId="0" applyNumberFormat="1" applyFill="1" applyAlignment="1">
      <alignment vertical="center"/>
    </xf>
    <xf numFmtId="43" fontId="0" fillId="2" borderId="0" xfId="1" applyNumberFormat="1" applyFont="1" applyFill="1" applyBorder="1" applyAlignment="1">
      <alignment horizontal="center" vertical="center"/>
    </xf>
    <xf numFmtId="43" fontId="6" fillId="2" borderId="28" xfId="1" applyNumberFormat="1" applyFont="1" applyFill="1" applyBorder="1" applyAlignment="1">
      <alignment vertical="center"/>
    </xf>
    <xf numFmtId="43" fontId="11" fillId="4" borderId="22" xfId="1" applyNumberFormat="1" applyFont="1" applyFill="1" applyBorder="1" applyAlignment="1">
      <alignment vertical="center"/>
    </xf>
    <xf numFmtId="43" fontId="11" fillId="4" borderId="23" xfId="1" applyNumberFormat="1" applyFont="1" applyFill="1" applyBorder="1" applyAlignment="1">
      <alignment vertical="center"/>
    </xf>
    <xf numFmtId="43" fontId="12" fillId="4" borderId="22" xfId="1" applyNumberFormat="1" applyFont="1" applyFill="1" applyBorder="1" applyAlignment="1">
      <alignment vertical="center"/>
    </xf>
    <xf numFmtId="43" fontId="11" fillId="4" borderId="28" xfId="1" applyNumberFormat="1" applyFont="1" applyFill="1" applyBorder="1" applyAlignment="1">
      <alignment vertical="center"/>
    </xf>
    <xf numFmtId="43" fontId="12" fillId="4" borderId="27" xfId="1" applyNumberFormat="1" applyFont="1" applyFill="1" applyBorder="1" applyAlignment="1">
      <alignment vertical="center"/>
    </xf>
    <xf numFmtId="43" fontId="12" fillId="4" borderId="23" xfId="1" applyNumberFormat="1" applyFont="1" applyFill="1" applyBorder="1" applyAlignment="1">
      <alignment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43" fontId="6" fillId="0" borderId="22" xfId="1" applyNumberFormat="1" applyFont="1" applyFill="1" applyBorder="1" applyAlignment="1">
      <alignment vertical="center"/>
    </xf>
    <xf numFmtId="43" fontId="6" fillId="0" borderId="27" xfId="1" applyNumberFormat="1" applyFont="1" applyFill="1" applyBorder="1" applyAlignment="1">
      <alignment vertical="center"/>
    </xf>
    <xf numFmtId="43" fontId="5" fillId="0" borderId="27" xfId="1" applyNumberFormat="1" applyFont="1" applyFill="1" applyBorder="1" applyAlignment="1">
      <alignment vertical="center"/>
    </xf>
    <xf numFmtId="43" fontId="5" fillId="0" borderId="28" xfId="1" applyNumberFormat="1" applyFont="1" applyFill="1" applyBorder="1" applyAlignment="1">
      <alignment vertical="center"/>
    </xf>
    <xf numFmtId="43" fontId="5" fillId="0" borderId="2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3" fontId="5" fillId="0" borderId="22" xfId="1" applyNumberFormat="1" applyFont="1" applyFill="1" applyBorder="1" applyAlignment="1">
      <alignment vertical="center"/>
    </xf>
    <xf numFmtId="43" fontId="5" fillId="0" borderId="23" xfId="1" applyNumberFormat="1" applyFont="1" applyFill="1" applyBorder="1" applyAlignment="1">
      <alignment vertical="center"/>
    </xf>
    <xf numFmtId="43" fontId="12" fillId="4" borderId="28" xfId="1" applyNumberFormat="1" applyFont="1" applyFill="1" applyBorder="1" applyAlignment="1">
      <alignment vertical="center"/>
    </xf>
    <xf numFmtId="2" fontId="0" fillId="2" borderId="22" xfId="0" applyNumberFormat="1" applyFill="1" applyBorder="1" applyAlignment="1">
      <alignment vertical="center"/>
    </xf>
    <xf numFmtId="0" fontId="13" fillId="0" borderId="0" xfId="0" applyFont="1"/>
    <xf numFmtId="0" fontId="2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164" fontId="14" fillId="2" borderId="6" xfId="1" applyFont="1" applyFill="1" applyBorder="1" applyAlignment="1">
      <alignment horizontal="center" vertical="center"/>
    </xf>
    <xf numFmtId="164" fontId="2" fillId="2" borderId="6" xfId="1" applyFont="1" applyFill="1" applyBorder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43" fontId="10" fillId="2" borderId="6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43" fontId="3" fillId="2" borderId="11" xfId="1" applyNumberFormat="1" applyFont="1" applyFill="1" applyBorder="1" applyAlignment="1">
      <alignment horizontal="center" vertical="center"/>
    </xf>
    <xf numFmtId="43" fontId="3" fillId="2" borderId="13" xfId="1" applyNumberFormat="1" applyFont="1" applyFill="1" applyBorder="1" applyAlignment="1">
      <alignment horizontal="center" vertical="center"/>
    </xf>
    <xf numFmtId="4" fontId="3" fillId="2" borderId="13" xfId="0" applyNumberFormat="1" applyFont="1" applyFill="1" applyBorder="1" applyAlignment="1">
      <alignment horizontal="center" vertical="center"/>
    </xf>
    <xf numFmtId="4" fontId="3" fillId="2" borderId="19" xfId="0" applyNumberFormat="1" applyFont="1" applyFill="1" applyBorder="1" applyAlignment="1">
      <alignment horizontal="center" vertical="center"/>
    </xf>
    <xf numFmtId="43" fontId="3" fillId="2" borderId="19" xfId="1" applyNumberFormat="1" applyFont="1" applyFill="1" applyBorder="1" applyAlignment="1">
      <alignment horizontal="center" vertical="center"/>
    </xf>
    <xf numFmtId="43" fontId="3" fillId="2" borderId="33" xfId="1" applyNumberFormat="1" applyFont="1" applyFill="1" applyBorder="1" applyAlignment="1">
      <alignment horizontal="center" vertical="center"/>
    </xf>
    <xf numFmtId="4" fontId="3" fillId="2" borderId="33" xfId="0" applyNumberFormat="1" applyFont="1" applyFill="1" applyBorder="1" applyAlignment="1">
      <alignment horizontal="center" vertical="center"/>
    </xf>
    <xf numFmtId="43" fontId="3" fillId="2" borderId="34" xfId="1" applyNumberFormat="1" applyFont="1" applyFill="1" applyBorder="1" applyAlignment="1">
      <alignment horizontal="center" vertical="center"/>
    </xf>
    <xf numFmtId="43" fontId="3" fillId="2" borderId="30" xfId="1" applyNumberFormat="1" applyFont="1" applyFill="1" applyBorder="1" applyAlignment="1">
      <alignment horizontal="center" vertical="center"/>
    </xf>
    <xf numFmtId="166" fontId="0" fillId="2" borderId="0" xfId="0" applyNumberFormat="1" applyFill="1" applyAlignment="1">
      <alignment vertical="center"/>
    </xf>
    <xf numFmtId="166" fontId="2" fillId="2" borderId="6" xfId="0" applyNumberFormat="1" applyFont="1" applyFill="1" applyBorder="1" applyAlignment="1">
      <alignment horizontal="center" vertical="center"/>
    </xf>
    <xf numFmtId="166" fontId="5" fillId="2" borderId="9" xfId="1" applyNumberFormat="1" applyFont="1" applyFill="1" applyBorder="1" applyAlignment="1">
      <alignment vertical="center"/>
    </xf>
    <xf numFmtId="166" fontId="5" fillId="3" borderId="16" xfId="1" applyNumberFormat="1" applyFont="1" applyFill="1" applyBorder="1" applyAlignment="1">
      <alignment vertical="center"/>
    </xf>
    <xf numFmtId="166" fontId="5" fillId="2" borderId="22" xfId="0" applyNumberFormat="1" applyFont="1" applyFill="1" applyBorder="1" applyAlignment="1">
      <alignment horizontal="center" vertical="center"/>
    </xf>
    <xf numFmtId="166" fontId="5" fillId="3" borderId="22" xfId="1" applyNumberFormat="1" applyFont="1" applyFill="1" applyBorder="1" applyAlignment="1">
      <alignment vertical="center"/>
    </xf>
    <xf numFmtId="166" fontId="5" fillId="2" borderId="22" xfId="1" applyNumberFormat="1" applyFont="1" applyFill="1" applyBorder="1" applyAlignment="1">
      <alignment vertical="center"/>
    </xf>
    <xf numFmtId="166" fontId="6" fillId="2" borderId="22" xfId="0" applyNumberFormat="1" applyFont="1" applyFill="1" applyBorder="1" applyAlignment="1">
      <alignment horizontal="center" vertical="center"/>
    </xf>
    <xf numFmtId="166" fontId="6" fillId="2" borderId="27" xfId="0" applyNumberFormat="1" applyFont="1" applyFill="1" applyBorder="1" applyAlignment="1">
      <alignment horizontal="center" vertical="center"/>
    </xf>
    <xf numFmtId="166" fontId="6" fillId="3" borderId="27" xfId="0" applyNumberFormat="1" applyFont="1" applyFill="1" applyBorder="1" applyAlignment="1">
      <alignment horizontal="center" vertical="center"/>
    </xf>
    <xf numFmtId="166" fontId="6" fillId="3" borderId="22" xfId="0" applyNumberFormat="1" applyFont="1" applyFill="1" applyBorder="1" applyAlignment="1">
      <alignment horizontal="center" vertical="center"/>
    </xf>
    <xf numFmtId="166" fontId="6" fillId="0" borderId="22" xfId="0" applyNumberFormat="1" applyFont="1" applyBorder="1" applyAlignment="1">
      <alignment horizontal="center" vertical="center"/>
    </xf>
    <xf numFmtId="166" fontId="5" fillId="2" borderId="4" xfId="1" applyNumberFormat="1" applyFont="1" applyFill="1" applyBorder="1" applyAlignment="1">
      <alignment vertical="center"/>
    </xf>
    <xf numFmtId="166" fontId="5" fillId="2" borderId="0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95"/>
  <sheetViews>
    <sheetView tabSelected="1" topLeftCell="B1" zoomScale="85" zoomScaleNormal="85" workbookViewId="0">
      <pane ySplit="5" topLeftCell="A6" activePane="bottomLeft" state="frozen"/>
      <selection pane="bottomLeft" activeCell="C1" sqref="C1:C1048576"/>
    </sheetView>
  </sheetViews>
  <sheetFormatPr defaultColWidth="9" defaultRowHeight="15" x14ac:dyDescent="0.25"/>
  <cols>
    <col min="1" max="1" width="29.5703125" style="1" customWidth="1"/>
    <col min="2" max="2" width="33.42578125" style="3" customWidth="1"/>
    <col min="3" max="3" width="18.85546875" style="134" bestFit="1" customWidth="1"/>
    <col min="4" max="4" width="11.28515625" style="2" customWidth="1"/>
    <col min="5" max="5" width="13" style="3" bestFit="1" customWidth="1"/>
    <col min="6" max="6" width="12.7109375" style="3" customWidth="1"/>
    <col min="7" max="7" width="15.42578125" style="3" bestFit="1" customWidth="1"/>
    <col min="8" max="8" width="15.140625" style="4" customWidth="1"/>
    <col min="9" max="9" width="14.7109375" style="4" bestFit="1" customWidth="1"/>
    <col min="10" max="14" width="13.85546875" style="3" bestFit="1" customWidth="1"/>
    <col min="15" max="15" width="15" style="3" bestFit="1" customWidth="1"/>
    <col min="16" max="16" width="13.85546875" style="3" customWidth="1"/>
    <col min="17" max="17" width="13.7109375" style="3" customWidth="1"/>
    <col min="18" max="19" width="16.85546875" style="3" bestFit="1" customWidth="1"/>
    <col min="20" max="20" width="96.28515625" style="3" customWidth="1"/>
    <col min="21" max="21" width="14.7109375" style="3" customWidth="1"/>
    <col min="22" max="16384" width="9" style="3"/>
  </cols>
  <sheetData>
    <row r="1" spans="1:61" x14ac:dyDescent="0.25">
      <c r="A1" s="120" t="s">
        <v>210</v>
      </c>
      <c r="B1" s="3" t="s">
        <v>154</v>
      </c>
    </row>
    <row r="2" spans="1:61" x14ac:dyDescent="0.25">
      <c r="A2" s="120" t="s">
        <v>211</v>
      </c>
      <c r="B2" s="3" t="s">
        <v>190</v>
      </c>
    </row>
    <row r="3" spans="1:61" x14ac:dyDescent="0.25">
      <c r="A3" s="120" t="s">
        <v>212</v>
      </c>
      <c r="B3" s="3" t="s">
        <v>191</v>
      </c>
    </row>
    <row r="4" spans="1:61" ht="16.5" thickBot="1" x14ac:dyDescent="0.3">
      <c r="A4" s="120" t="s">
        <v>213</v>
      </c>
      <c r="B4" s="122" t="s">
        <v>191</v>
      </c>
      <c r="C4" s="122"/>
    </row>
    <row r="5" spans="1:61" ht="30" x14ac:dyDescent="0.25">
      <c r="A5" s="115" t="s">
        <v>195</v>
      </c>
      <c r="B5" s="116" t="s">
        <v>196</v>
      </c>
      <c r="C5" s="135" t="s">
        <v>197</v>
      </c>
      <c r="D5" s="117" t="s">
        <v>198</v>
      </c>
      <c r="E5" s="116" t="s">
        <v>199</v>
      </c>
      <c r="F5" s="116" t="s">
        <v>200</v>
      </c>
      <c r="G5" s="117" t="s">
        <v>201</v>
      </c>
      <c r="H5" s="118" t="s">
        <v>202</v>
      </c>
      <c r="I5" s="119" t="s">
        <v>1</v>
      </c>
      <c r="J5" s="116" t="s">
        <v>203</v>
      </c>
      <c r="K5" s="116" t="s">
        <v>204</v>
      </c>
      <c r="L5" s="6" t="s">
        <v>2</v>
      </c>
      <c r="M5" s="116" t="s">
        <v>205</v>
      </c>
      <c r="N5" s="116" t="s">
        <v>206</v>
      </c>
      <c r="O5" s="116" t="s">
        <v>207</v>
      </c>
      <c r="P5" s="6" t="s">
        <v>3</v>
      </c>
      <c r="Q5" s="6" t="s">
        <v>4</v>
      </c>
      <c r="R5" s="7" t="s">
        <v>208</v>
      </c>
      <c r="S5" s="116" t="s">
        <v>209</v>
      </c>
      <c r="T5" s="116" t="s">
        <v>5</v>
      </c>
      <c r="U5" s="8" t="s">
        <v>6</v>
      </c>
    </row>
    <row r="6" spans="1:61" ht="15.75" thickBot="1" x14ac:dyDescent="0.3">
      <c r="A6" s="9"/>
      <c r="B6" s="10"/>
      <c r="C6" s="136"/>
      <c r="D6" s="11"/>
      <c r="E6" s="12"/>
      <c r="F6" s="12"/>
      <c r="G6" s="12"/>
      <c r="H6" s="13">
        <v>0.18</v>
      </c>
      <c r="I6" s="12"/>
      <c r="J6" s="13">
        <v>0.01</v>
      </c>
      <c r="K6" s="13">
        <v>0.05</v>
      </c>
      <c r="L6" s="13">
        <v>0.05</v>
      </c>
      <c r="M6" s="13">
        <v>0.1</v>
      </c>
      <c r="N6" s="13">
        <v>0.1</v>
      </c>
      <c r="O6" s="13">
        <v>0.18</v>
      </c>
      <c r="P6" s="12"/>
      <c r="Q6" s="13"/>
      <c r="R6" s="14"/>
      <c r="S6" s="15"/>
      <c r="T6" s="16"/>
      <c r="U6" s="15"/>
    </row>
    <row r="7" spans="1:61" s="24" customFormat="1" x14ac:dyDescent="0.25">
      <c r="A7" s="17">
        <v>58542</v>
      </c>
      <c r="B7" s="18"/>
      <c r="C7" s="137"/>
      <c r="D7" s="19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S7" s="18"/>
      <c r="T7" s="23"/>
      <c r="U7" s="18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25">
      <c r="A8" s="25">
        <v>58542</v>
      </c>
      <c r="B8" s="26" t="s">
        <v>214</v>
      </c>
      <c r="C8" s="138">
        <v>45126</v>
      </c>
      <c r="D8" s="27">
        <v>8</v>
      </c>
      <c r="E8" s="28">
        <v>185000</v>
      </c>
      <c r="F8" s="28">
        <v>19075</v>
      </c>
      <c r="G8" s="28">
        <v>165925</v>
      </c>
      <c r="H8" s="28">
        <v>29867</v>
      </c>
      <c r="I8" s="28">
        <v>195792</v>
      </c>
      <c r="J8" s="28">
        <v>1659.25</v>
      </c>
      <c r="K8" s="28">
        <v>8296.25</v>
      </c>
      <c r="L8" s="28">
        <v>8296.25</v>
      </c>
      <c r="M8" s="28"/>
      <c r="N8" s="28"/>
      <c r="O8" s="96">
        <v>29867</v>
      </c>
      <c r="P8" s="28"/>
      <c r="Q8" s="29"/>
      <c r="R8" s="30">
        <v>147673</v>
      </c>
      <c r="S8" s="31">
        <v>147674</v>
      </c>
      <c r="T8" s="32" t="s">
        <v>7</v>
      </c>
      <c r="U8" s="31">
        <f>SUM(R8:R13)-SUM(S8:S13)</f>
        <v>2</v>
      </c>
    </row>
    <row r="9" spans="1:61" x14ac:dyDescent="0.25">
      <c r="A9" s="25">
        <v>58542</v>
      </c>
      <c r="B9" s="26" t="s">
        <v>8</v>
      </c>
      <c r="C9" s="138">
        <v>45150</v>
      </c>
      <c r="D9" s="27">
        <v>8</v>
      </c>
      <c r="E9" s="28">
        <v>29866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9"/>
      <c r="Q9" s="28"/>
      <c r="R9" s="97">
        <f>E9</f>
        <v>29866</v>
      </c>
      <c r="S9" s="31">
        <v>29867</v>
      </c>
      <c r="T9" s="32" t="s">
        <v>9</v>
      </c>
      <c r="U9" s="31"/>
    </row>
    <row r="10" spans="1:61" x14ac:dyDescent="0.25">
      <c r="A10" s="25">
        <v>58542</v>
      </c>
      <c r="B10" s="26" t="s">
        <v>215</v>
      </c>
      <c r="C10" s="138">
        <v>45157</v>
      </c>
      <c r="D10" s="27">
        <v>16</v>
      </c>
      <c r="E10" s="28">
        <v>138850</v>
      </c>
      <c r="F10" s="28">
        <v>0</v>
      </c>
      <c r="G10" s="28">
        <f>E10-F10</f>
        <v>138850</v>
      </c>
      <c r="H10" s="28">
        <f>ROUND(G10*H6,0)</f>
        <v>24993</v>
      </c>
      <c r="I10" s="28">
        <f>G10+H10</f>
        <v>163843</v>
      </c>
      <c r="J10" s="28">
        <f>G10*J6</f>
        <v>1388.5</v>
      </c>
      <c r="K10" s="28">
        <f>G10*K6</f>
        <v>6942.5</v>
      </c>
      <c r="L10" s="28">
        <f>G10*5%</f>
        <v>6942.5</v>
      </c>
      <c r="M10" s="28"/>
      <c r="N10" s="28">
        <v>0</v>
      </c>
      <c r="O10" s="96">
        <f>H10</f>
        <v>24993</v>
      </c>
      <c r="P10" s="29"/>
      <c r="Q10" s="28"/>
      <c r="R10" s="30">
        <f>ROUND(I10-SUM(J10:O10),0)</f>
        <v>123577</v>
      </c>
      <c r="S10" s="31">
        <v>123575</v>
      </c>
      <c r="T10" s="32" t="s">
        <v>10</v>
      </c>
      <c r="U10" s="31"/>
    </row>
    <row r="11" spans="1:61" x14ac:dyDescent="0.25">
      <c r="A11" s="25">
        <v>58542</v>
      </c>
      <c r="B11" s="26" t="s">
        <v>8</v>
      </c>
      <c r="C11" s="138">
        <v>45150</v>
      </c>
      <c r="D11" s="27">
        <v>8</v>
      </c>
      <c r="E11" s="28">
        <f>H10</f>
        <v>24993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9"/>
      <c r="Q11" s="28"/>
      <c r="R11" s="97">
        <f>E11</f>
        <v>24993</v>
      </c>
      <c r="S11" s="31">
        <v>24993</v>
      </c>
      <c r="T11" s="32" t="s">
        <v>11</v>
      </c>
      <c r="U11" s="31"/>
    </row>
    <row r="12" spans="1:61" x14ac:dyDescent="0.25">
      <c r="A12" s="25">
        <v>58542</v>
      </c>
      <c r="B12" s="26" t="s">
        <v>214</v>
      </c>
      <c r="C12" s="138">
        <v>45198</v>
      </c>
      <c r="D12" s="27">
        <v>25</v>
      </c>
      <c r="E12" s="28">
        <v>57150</v>
      </c>
      <c r="F12" s="28">
        <v>0</v>
      </c>
      <c r="G12" s="28">
        <f>E12-F12</f>
        <v>57150</v>
      </c>
      <c r="H12" s="28">
        <f>ROUND(G12*H6,0)</f>
        <v>10287</v>
      </c>
      <c r="I12" s="28">
        <f>G12+H12</f>
        <v>67437</v>
      </c>
      <c r="J12" s="28">
        <f>G12*J6</f>
        <v>571.5</v>
      </c>
      <c r="K12" s="28">
        <f>G12*K6</f>
        <v>2857.5</v>
      </c>
      <c r="L12" s="28">
        <v>0</v>
      </c>
      <c r="M12" s="28">
        <f>G12*5%</f>
        <v>2857.5</v>
      </c>
      <c r="N12" s="28">
        <v>0</v>
      </c>
      <c r="O12" s="96">
        <f>H12</f>
        <v>10287</v>
      </c>
      <c r="P12" s="29"/>
      <c r="Q12" s="28"/>
      <c r="R12" s="30">
        <f>ROUND(I12-SUM(J12:O12),0)</f>
        <v>50864</v>
      </c>
      <c r="S12" s="31">
        <v>50862</v>
      </c>
      <c r="T12" s="32" t="s">
        <v>12</v>
      </c>
      <c r="U12" s="31"/>
    </row>
    <row r="13" spans="1:61" x14ac:dyDescent="0.25">
      <c r="A13" s="25">
        <v>58542</v>
      </c>
      <c r="B13" s="26" t="s">
        <v>8</v>
      </c>
      <c r="C13" s="138">
        <v>45210</v>
      </c>
      <c r="D13" s="27">
        <v>25</v>
      </c>
      <c r="E13" s="28">
        <v>10287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9"/>
      <c r="Q13" s="28"/>
      <c r="R13" s="97">
        <f>E13</f>
        <v>10287</v>
      </c>
      <c r="S13" s="31">
        <v>10287</v>
      </c>
      <c r="T13" s="32" t="s">
        <v>13</v>
      </c>
      <c r="U13" s="31"/>
    </row>
    <row r="14" spans="1:61" s="24" customFormat="1" x14ac:dyDescent="0.25">
      <c r="A14" s="33">
        <v>57891</v>
      </c>
      <c r="B14" s="34"/>
      <c r="C14" s="139"/>
      <c r="D14" s="35"/>
      <c r="E14" s="36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8"/>
      <c r="S14" s="34"/>
      <c r="T14" s="39"/>
      <c r="U14" s="34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ht="28.5" x14ac:dyDescent="0.25">
      <c r="A15" s="25">
        <v>57891</v>
      </c>
      <c r="B15" s="26" t="s">
        <v>216</v>
      </c>
      <c r="C15" s="138">
        <v>45129</v>
      </c>
      <c r="D15" s="27">
        <v>9</v>
      </c>
      <c r="E15" s="28">
        <v>382065.75</v>
      </c>
      <c r="F15" s="28">
        <v>45780</v>
      </c>
      <c r="G15" s="28">
        <f>E15-F15</f>
        <v>336285.75</v>
      </c>
      <c r="H15" s="28">
        <f>G15*18%</f>
        <v>60531.434999999998</v>
      </c>
      <c r="I15" s="28">
        <f>G15+H15</f>
        <v>396817.185</v>
      </c>
      <c r="J15" s="28">
        <f>G15*1%</f>
        <v>3362.8575000000001</v>
      </c>
      <c r="K15" s="28">
        <f>G15*5%</f>
        <v>16814.287500000002</v>
      </c>
      <c r="L15" s="28"/>
      <c r="M15" s="28"/>
      <c r="N15" s="28">
        <v>0</v>
      </c>
      <c r="O15" s="96">
        <f>H15</f>
        <v>60531.434999999998</v>
      </c>
      <c r="P15" s="29"/>
      <c r="Q15" s="28"/>
      <c r="R15" s="30">
        <f>ROUND(I15-SUM(J15:O15),0)</f>
        <v>316109</v>
      </c>
      <c r="S15" s="31">
        <v>99000</v>
      </c>
      <c r="T15" s="32" t="s">
        <v>14</v>
      </c>
      <c r="U15" s="31">
        <f>SUM(R15:R20)-SUM(S15:S20)</f>
        <v>-0.38500000000931323</v>
      </c>
    </row>
    <row r="16" spans="1:61" x14ac:dyDescent="0.25">
      <c r="A16" s="25">
        <v>57891</v>
      </c>
      <c r="B16" s="26" t="s">
        <v>8</v>
      </c>
      <c r="C16" s="138"/>
      <c r="D16" s="27">
        <v>9</v>
      </c>
      <c r="E16" s="28">
        <f>O15</f>
        <v>60531.434999999998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9"/>
      <c r="Q16" s="28"/>
      <c r="R16" s="97">
        <f>E16</f>
        <v>60531.434999999998</v>
      </c>
      <c r="S16" s="31">
        <v>217110</v>
      </c>
      <c r="T16" s="32" t="s">
        <v>15</v>
      </c>
      <c r="U16" s="31"/>
    </row>
    <row r="17" spans="1:61" x14ac:dyDescent="0.25">
      <c r="A17" s="25">
        <v>57891</v>
      </c>
      <c r="B17" s="26"/>
      <c r="C17" s="138">
        <v>45157</v>
      </c>
      <c r="D17" s="27">
        <v>14</v>
      </c>
      <c r="E17" s="28">
        <v>122251</v>
      </c>
      <c r="F17" s="28"/>
      <c r="G17" s="28">
        <f>E17-F17</f>
        <v>122251</v>
      </c>
      <c r="H17" s="28">
        <f>G17*18%</f>
        <v>22005.18</v>
      </c>
      <c r="I17" s="28">
        <f>G17+H17</f>
        <v>144256.18</v>
      </c>
      <c r="J17" s="28">
        <f>G17*1%</f>
        <v>1222.51</v>
      </c>
      <c r="K17" s="28">
        <f>G17*5%</f>
        <v>6112.55</v>
      </c>
      <c r="L17" s="28"/>
      <c r="M17" s="28"/>
      <c r="N17" s="28">
        <v>0</v>
      </c>
      <c r="O17" s="96">
        <f>H17</f>
        <v>22005.18</v>
      </c>
      <c r="P17" s="29"/>
      <c r="Q17" s="28"/>
      <c r="R17" s="30">
        <f>ROUND(I17-SUM(J17:O17),0)</f>
        <v>114916</v>
      </c>
      <c r="S17" s="31">
        <v>60532</v>
      </c>
      <c r="T17" s="32" t="s">
        <v>16</v>
      </c>
      <c r="U17" s="31"/>
    </row>
    <row r="18" spans="1:61" x14ac:dyDescent="0.25">
      <c r="A18" s="25">
        <v>57891</v>
      </c>
      <c r="B18" s="26" t="s">
        <v>8</v>
      </c>
      <c r="C18" s="138"/>
      <c r="D18" s="27">
        <v>14</v>
      </c>
      <c r="E18" s="28">
        <f>O17</f>
        <v>22005.18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9"/>
      <c r="Q18" s="28"/>
      <c r="R18" s="97">
        <f>E18</f>
        <v>22005.18</v>
      </c>
      <c r="S18" s="31">
        <v>114915</v>
      </c>
      <c r="T18" s="32" t="s">
        <v>17</v>
      </c>
      <c r="U18" s="31"/>
    </row>
    <row r="19" spans="1:61" x14ac:dyDescent="0.25">
      <c r="A19" s="25">
        <v>57891</v>
      </c>
      <c r="B19" s="26"/>
      <c r="C19" s="138"/>
      <c r="D19" s="2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28"/>
      <c r="R19" s="30"/>
      <c r="S19" s="31">
        <v>22005</v>
      </c>
      <c r="T19" s="32" t="s">
        <v>18</v>
      </c>
      <c r="U19" s="31"/>
    </row>
    <row r="20" spans="1:61" x14ac:dyDescent="0.25">
      <c r="A20" s="25">
        <v>57891</v>
      </c>
      <c r="B20" s="26"/>
      <c r="C20" s="138"/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9"/>
      <c r="Q20" s="28"/>
      <c r="R20" s="30"/>
      <c r="S20" s="31"/>
      <c r="T20" s="32"/>
      <c r="U20" s="31"/>
    </row>
    <row r="21" spans="1:61" s="24" customFormat="1" x14ac:dyDescent="0.25">
      <c r="A21" s="33">
        <v>58740</v>
      </c>
      <c r="B21" s="34"/>
      <c r="C21" s="139"/>
      <c r="D21" s="35"/>
      <c r="E21" s="36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  <c r="S21" s="34"/>
      <c r="T21" s="39"/>
      <c r="U21" s="34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ht="28.5" x14ac:dyDescent="0.25">
      <c r="A22" s="25">
        <v>58740</v>
      </c>
      <c r="B22" s="26" t="s">
        <v>217</v>
      </c>
      <c r="C22" s="138">
        <v>45140</v>
      </c>
      <c r="D22" s="27">
        <v>11</v>
      </c>
      <c r="E22" s="28">
        <v>22000</v>
      </c>
      <c r="F22" s="28"/>
      <c r="G22" s="28">
        <f>E22-F22</f>
        <v>22000</v>
      </c>
      <c r="H22" s="28">
        <f>G22*18%</f>
        <v>3960</v>
      </c>
      <c r="I22" s="28">
        <f>G22+H22</f>
        <v>25960</v>
      </c>
      <c r="J22" s="28">
        <f>G22*1%</f>
        <v>220</v>
      </c>
      <c r="K22" s="28">
        <f>G22*5%</f>
        <v>1100</v>
      </c>
      <c r="L22" s="28"/>
      <c r="M22" s="28"/>
      <c r="N22" s="28">
        <v>0</v>
      </c>
      <c r="O22" s="96">
        <f>H22</f>
        <v>3960</v>
      </c>
      <c r="P22" s="29"/>
      <c r="Q22" s="28"/>
      <c r="R22" s="30">
        <f>ROUND(I22-SUM(J22:O22),0)</f>
        <v>20680</v>
      </c>
      <c r="S22" s="31">
        <v>20680</v>
      </c>
      <c r="T22" s="32" t="s">
        <v>19</v>
      </c>
      <c r="U22" s="31">
        <f>SUM(R22:R23)-SUM(S22:S23)</f>
        <v>0</v>
      </c>
    </row>
    <row r="23" spans="1:61" x14ac:dyDescent="0.25">
      <c r="A23" s="25">
        <v>58740</v>
      </c>
      <c r="B23" s="26" t="s">
        <v>20</v>
      </c>
      <c r="C23" s="138"/>
      <c r="D23" s="27">
        <v>11</v>
      </c>
      <c r="E23" s="28">
        <f>O22</f>
        <v>3960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9"/>
      <c r="Q23" s="28"/>
      <c r="R23" s="97">
        <f>E23</f>
        <v>3960</v>
      </c>
      <c r="S23" s="31">
        <v>3960</v>
      </c>
      <c r="T23" s="32" t="s">
        <v>21</v>
      </c>
      <c r="U23" s="31"/>
    </row>
    <row r="24" spans="1:61" s="24" customFormat="1" x14ac:dyDescent="0.25">
      <c r="A24" s="33">
        <v>59180</v>
      </c>
      <c r="B24" s="34"/>
      <c r="C24" s="139"/>
      <c r="D24" s="35"/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4"/>
      <c r="T24" s="39"/>
      <c r="U24" s="34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25">
      <c r="A25" s="25">
        <v>59180</v>
      </c>
      <c r="B25" s="26" t="s">
        <v>218</v>
      </c>
      <c r="C25" s="138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  <c r="Q25" s="28"/>
      <c r="R25" s="30" t="s">
        <v>22</v>
      </c>
      <c r="S25" s="31">
        <v>148500</v>
      </c>
      <c r="T25" s="32" t="s">
        <v>153</v>
      </c>
      <c r="U25" s="31">
        <f>SUM(R25:R26)-SUM(S25:S26)</f>
        <v>-148500</v>
      </c>
    </row>
    <row r="26" spans="1:61" x14ac:dyDescent="0.25">
      <c r="A26" s="25">
        <v>59180</v>
      </c>
      <c r="B26" s="26"/>
      <c r="C26" s="138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28"/>
      <c r="R26" s="30"/>
      <c r="S26" s="31"/>
      <c r="T26" s="32"/>
      <c r="U26" s="31"/>
    </row>
    <row r="27" spans="1:61" s="24" customFormat="1" x14ac:dyDescent="0.25">
      <c r="A27" s="33">
        <v>59517</v>
      </c>
      <c r="B27" s="34"/>
      <c r="C27" s="139"/>
      <c r="D27" s="35"/>
      <c r="E27" s="36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8"/>
      <c r="S27" s="34"/>
      <c r="T27" s="39"/>
      <c r="U27" s="34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1:61" x14ac:dyDescent="0.25">
      <c r="A28" s="25">
        <v>59517</v>
      </c>
      <c r="B28" s="26" t="s">
        <v>219</v>
      </c>
      <c r="C28" s="140">
        <v>45687</v>
      </c>
      <c r="D28" s="40">
        <v>13</v>
      </c>
      <c r="E28" s="113">
        <v>184800</v>
      </c>
      <c r="F28" s="28">
        <v>0</v>
      </c>
      <c r="G28" s="28">
        <f>E28-F28</f>
        <v>184800</v>
      </c>
      <c r="H28" s="28">
        <f>G28*18%</f>
        <v>33264</v>
      </c>
      <c r="I28" s="28">
        <f>G28+H28</f>
        <v>218064</v>
      </c>
      <c r="J28" s="28">
        <f>G28*1%</f>
        <v>1848</v>
      </c>
      <c r="K28" s="28">
        <f>G28*5%</f>
        <v>9240</v>
      </c>
      <c r="L28" s="28"/>
      <c r="M28" s="28"/>
      <c r="N28" s="28">
        <v>0</v>
      </c>
      <c r="O28" s="96">
        <f>H28</f>
        <v>33264</v>
      </c>
      <c r="P28" s="29"/>
      <c r="Q28" s="28">
        <f>16800+50000</f>
        <v>66800</v>
      </c>
      <c r="R28" s="30">
        <f>ROUND(I28-SUM(J28:Q28),0)</f>
        <v>106912</v>
      </c>
      <c r="S28" s="31">
        <v>106912</v>
      </c>
      <c r="T28" s="32" t="s">
        <v>182</v>
      </c>
      <c r="U28" s="31">
        <f>SUM(R28:R29)-SUM(S28:S29)</f>
        <v>-36036</v>
      </c>
    </row>
    <row r="29" spans="1:61" x14ac:dyDescent="0.25">
      <c r="A29" s="25">
        <v>59517</v>
      </c>
      <c r="B29" s="26" t="s">
        <v>24</v>
      </c>
      <c r="C29" s="138"/>
      <c r="D29" s="27">
        <v>13</v>
      </c>
      <c r="E29" s="28">
        <f>O28</f>
        <v>33264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9"/>
      <c r="Q29" s="28"/>
      <c r="R29" s="97">
        <f>E29</f>
        <v>33264</v>
      </c>
      <c r="S29" s="31">
        <v>69300</v>
      </c>
      <c r="T29" s="32" t="s">
        <v>183</v>
      </c>
      <c r="U29" s="31"/>
    </row>
    <row r="30" spans="1:61" s="24" customFormat="1" x14ac:dyDescent="0.25">
      <c r="A30" s="33">
        <v>57104</v>
      </c>
      <c r="B30" s="34"/>
      <c r="C30" s="139"/>
      <c r="D30" s="35"/>
      <c r="E30" s="36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S30" s="34"/>
      <c r="T30" s="39"/>
      <c r="U30" s="34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x14ac:dyDescent="0.25">
      <c r="A31" s="25">
        <v>57104</v>
      </c>
      <c r="B31" s="31" t="s">
        <v>220</v>
      </c>
      <c r="C31" s="140">
        <v>45057</v>
      </c>
      <c r="D31" s="40">
        <v>2</v>
      </c>
      <c r="E31" s="29">
        <v>358155</v>
      </c>
      <c r="F31" s="28">
        <v>30520</v>
      </c>
      <c r="G31" s="28">
        <v>327635</v>
      </c>
      <c r="H31" s="28">
        <v>58974</v>
      </c>
      <c r="I31" s="28">
        <v>386609</v>
      </c>
      <c r="J31" s="28">
        <v>3276</v>
      </c>
      <c r="K31" s="28">
        <v>16382</v>
      </c>
      <c r="L31" s="28"/>
      <c r="M31" s="28"/>
      <c r="N31" s="28"/>
      <c r="O31" s="96">
        <v>58974</v>
      </c>
      <c r="P31" s="28">
        <v>16381.75</v>
      </c>
      <c r="Q31" s="28"/>
      <c r="R31" s="30">
        <v>291595</v>
      </c>
      <c r="S31" s="41">
        <v>291595</v>
      </c>
      <c r="T31" s="32" t="s">
        <v>23</v>
      </c>
      <c r="U31" s="41">
        <f>SUM(R31:R34)-SUM(S31:S34)</f>
        <v>0</v>
      </c>
    </row>
    <row r="32" spans="1:61" x14ac:dyDescent="0.25">
      <c r="A32" s="25">
        <v>57104</v>
      </c>
      <c r="B32" s="31" t="s">
        <v>24</v>
      </c>
      <c r="C32" s="140">
        <v>45057</v>
      </c>
      <c r="D32" s="40">
        <v>2</v>
      </c>
      <c r="E32" s="42">
        <f>O31</f>
        <v>58974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97">
        <f>E32</f>
        <v>58974</v>
      </c>
      <c r="S32" s="41">
        <v>58974</v>
      </c>
      <c r="T32" s="32" t="s">
        <v>25</v>
      </c>
      <c r="U32" s="41"/>
    </row>
    <row r="33" spans="1:61" x14ac:dyDescent="0.25">
      <c r="A33" s="25">
        <v>57104</v>
      </c>
      <c r="B33" s="31"/>
      <c r="C33" s="140"/>
      <c r="D33" s="40"/>
      <c r="E33" s="42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30"/>
      <c r="S33" s="41"/>
      <c r="T33" s="32"/>
      <c r="U33" s="41"/>
    </row>
    <row r="34" spans="1:61" x14ac:dyDescent="0.25">
      <c r="A34" s="25">
        <v>57104</v>
      </c>
      <c r="B34" s="31"/>
      <c r="C34" s="140"/>
      <c r="D34" s="40"/>
      <c r="E34" s="42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30"/>
      <c r="S34" s="41"/>
      <c r="T34" s="32"/>
      <c r="U34" s="41"/>
    </row>
    <row r="35" spans="1:61" s="24" customFormat="1" x14ac:dyDescent="0.25">
      <c r="A35" s="33">
        <v>57803</v>
      </c>
      <c r="B35" s="34"/>
      <c r="C35" s="139"/>
      <c r="D35" s="35"/>
      <c r="E35" s="36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8"/>
      <c r="S35" s="34"/>
      <c r="T35" s="39"/>
      <c r="U35" s="34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1:61" x14ac:dyDescent="0.25">
      <c r="A36" s="25">
        <v>57803</v>
      </c>
      <c r="B36" s="31" t="s">
        <v>221</v>
      </c>
      <c r="C36" s="140">
        <v>45086</v>
      </c>
      <c r="D36" s="40">
        <v>6</v>
      </c>
      <c r="E36" s="29">
        <v>11000</v>
      </c>
      <c r="F36" s="28">
        <v>0</v>
      </c>
      <c r="G36" s="28">
        <v>11000</v>
      </c>
      <c r="H36" s="28">
        <v>1980</v>
      </c>
      <c r="I36" s="28">
        <v>12980</v>
      </c>
      <c r="J36" s="28">
        <v>110</v>
      </c>
      <c r="K36" s="28">
        <v>550</v>
      </c>
      <c r="L36" s="28"/>
      <c r="M36" s="28"/>
      <c r="N36" s="28"/>
      <c r="O36" s="96">
        <v>1980</v>
      </c>
      <c r="P36" s="28"/>
      <c r="Q36" s="28">
        <v>1100</v>
      </c>
      <c r="R36" s="30">
        <v>9240</v>
      </c>
      <c r="S36" s="31">
        <v>9240</v>
      </c>
      <c r="T36" s="32" t="s">
        <v>26</v>
      </c>
      <c r="U36" s="31">
        <f>SUM(R36:R39)-SUM(S36:S39)</f>
        <v>0</v>
      </c>
    </row>
    <row r="37" spans="1:61" x14ac:dyDescent="0.25">
      <c r="A37" s="25">
        <v>57803</v>
      </c>
      <c r="B37" s="31" t="s">
        <v>24</v>
      </c>
      <c r="C37" s="140">
        <v>45087</v>
      </c>
      <c r="D37" s="40">
        <v>6</v>
      </c>
      <c r="E37" s="42">
        <f>O36</f>
        <v>1980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97">
        <f>E37</f>
        <v>1980</v>
      </c>
      <c r="S37" s="31">
        <v>1980</v>
      </c>
      <c r="T37" s="32" t="s">
        <v>27</v>
      </c>
      <c r="U37" s="31"/>
    </row>
    <row r="38" spans="1:61" x14ac:dyDescent="0.25">
      <c r="A38" s="25">
        <v>57803</v>
      </c>
      <c r="B38" s="31"/>
      <c r="C38" s="140"/>
      <c r="D38" s="40"/>
      <c r="E38" s="29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30"/>
      <c r="S38" s="31"/>
      <c r="T38" s="32"/>
      <c r="U38" s="31"/>
    </row>
    <row r="39" spans="1:61" x14ac:dyDescent="0.25">
      <c r="A39" s="25">
        <v>57803</v>
      </c>
      <c r="B39" s="31"/>
      <c r="C39" s="140"/>
      <c r="D39" s="40"/>
      <c r="E39" s="42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30"/>
      <c r="S39" s="31"/>
      <c r="T39" s="32"/>
      <c r="U39" s="31"/>
    </row>
    <row r="40" spans="1:61" s="24" customFormat="1" x14ac:dyDescent="0.25">
      <c r="A40" s="33">
        <v>57125</v>
      </c>
      <c r="B40" s="34"/>
      <c r="C40" s="139"/>
      <c r="D40" s="35"/>
      <c r="E40" s="36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/>
      <c r="S40" s="34"/>
      <c r="T40" s="39"/>
      <c r="U40" s="34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1:61" x14ac:dyDescent="0.25">
      <c r="A41" s="25">
        <v>57125</v>
      </c>
      <c r="B41" s="31" t="s">
        <v>222</v>
      </c>
      <c r="C41" s="140" t="s">
        <v>28</v>
      </c>
      <c r="D41" s="40">
        <v>54</v>
      </c>
      <c r="E41" s="42">
        <v>391004.25</v>
      </c>
      <c r="F41" s="28">
        <v>46543</v>
      </c>
      <c r="G41" s="28">
        <f>E41-F41</f>
        <v>344461.25</v>
      </c>
      <c r="H41" s="28">
        <f>G41*18%</f>
        <v>62003.024999999994</v>
      </c>
      <c r="I41" s="28">
        <f>G41+H41</f>
        <v>406464.27500000002</v>
      </c>
      <c r="J41" s="28">
        <f>G41*1%</f>
        <v>3444.6125000000002</v>
      </c>
      <c r="K41" s="28">
        <f>G41*5%</f>
        <v>17223.0625</v>
      </c>
      <c r="L41" s="28"/>
      <c r="M41" s="28"/>
      <c r="N41" s="28"/>
      <c r="O41" s="96">
        <f>H41</f>
        <v>62003.024999999994</v>
      </c>
      <c r="P41" s="28"/>
      <c r="Q41" s="28">
        <v>62055</v>
      </c>
      <c r="R41" s="30">
        <f>I41-SUM(J41:Q41)</f>
        <v>261738.57500000001</v>
      </c>
      <c r="S41" s="31">
        <v>200000</v>
      </c>
      <c r="T41" s="32" t="s">
        <v>29</v>
      </c>
      <c r="U41" s="31">
        <f>SUM(R41:R44)-SUM(S41:S44)</f>
        <v>0.59999999997671694</v>
      </c>
    </row>
    <row r="42" spans="1:61" x14ac:dyDescent="0.25">
      <c r="A42" s="25">
        <v>57125</v>
      </c>
      <c r="B42" s="31"/>
      <c r="C42" s="140"/>
      <c r="D42" s="40">
        <v>54</v>
      </c>
      <c r="E42" s="42">
        <f>O41</f>
        <v>62003.024999999994</v>
      </c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97">
        <f>E42</f>
        <v>62003.024999999994</v>
      </c>
      <c r="S42" s="31">
        <v>58293</v>
      </c>
      <c r="T42" s="32" t="s">
        <v>140</v>
      </c>
      <c r="U42" s="31"/>
    </row>
    <row r="43" spans="1:61" x14ac:dyDescent="0.25">
      <c r="A43" s="25">
        <v>57125</v>
      </c>
      <c r="B43" s="31"/>
      <c r="C43" s="140"/>
      <c r="D43" s="40"/>
      <c r="E43" s="42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30"/>
      <c r="S43" s="31">
        <v>3445</v>
      </c>
      <c r="T43" s="32" t="s">
        <v>141</v>
      </c>
      <c r="U43" s="31"/>
    </row>
    <row r="44" spans="1:61" x14ac:dyDescent="0.25">
      <c r="A44" s="25">
        <v>57125</v>
      </c>
      <c r="B44" s="31"/>
      <c r="C44" s="140"/>
      <c r="D44" s="40"/>
      <c r="E44" s="42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30"/>
      <c r="S44" s="31">
        <v>62003</v>
      </c>
      <c r="T44" s="32" t="s">
        <v>142</v>
      </c>
      <c r="U44" s="31"/>
    </row>
    <row r="45" spans="1:61" s="24" customFormat="1" x14ac:dyDescent="0.25">
      <c r="A45" s="33">
        <v>57127</v>
      </c>
      <c r="B45" s="34"/>
      <c r="C45" s="139"/>
      <c r="D45" s="35"/>
      <c r="E45" s="36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8"/>
      <c r="S45" s="34"/>
      <c r="T45" s="39"/>
      <c r="U45" s="34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25">
      <c r="A46" s="25">
        <v>57127</v>
      </c>
      <c r="B46" s="31" t="s">
        <v>223</v>
      </c>
      <c r="C46" s="140">
        <v>45089</v>
      </c>
      <c r="D46" s="40">
        <v>7</v>
      </c>
      <c r="E46" s="29">
        <v>448605.3</v>
      </c>
      <c r="F46" s="28">
        <v>36028</v>
      </c>
      <c r="G46" s="28">
        <f>E46-F46</f>
        <v>412577.3</v>
      </c>
      <c r="H46" s="28">
        <f>G46*18%</f>
        <v>74263.91399999999</v>
      </c>
      <c r="I46" s="28">
        <f>G46+H46</f>
        <v>486841.21399999998</v>
      </c>
      <c r="J46" s="28">
        <v>4125.7730000000001</v>
      </c>
      <c r="K46" s="28">
        <f>G46*5%</f>
        <v>20628.865000000002</v>
      </c>
      <c r="L46" s="28"/>
      <c r="M46" s="28">
        <f>G46*5%</f>
        <v>20628.865000000002</v>
      </c>
      <c r="N46" s="28">
        <f>G46*10%</f>
        <v>41257.730000000003</v>
      </c>
      <c r="O46" s="96">
        <v>74264</v>
      </c>
      <c r="P46" s="28"/>
      <c r="Q46" s="28">
        <v>14649.5</v>
      </c>
      <c r="R46" s="30">
        <f>I46-J46-K46-M46-N46-O46-Q46</f>
        <v>311286.48100000003</v>
      </c>
      <c r="S46" s="31">
        <v>49500</v>
      </c>
      <c r="T46" s="32" t="s">
        <v>31</v>
      </c>
      <c r="U46" s="31">
        <f>SUM(R46:R53)-SUM(S46:S53)</f>
        <v>-15103.598999999929</v>
      </c>
    </row>
    <row r="47" spans="1:61" x14ac:dyDescent="0.25">
      <c r="A47" s="25">
        <v>57127</v>
      </c>
      <c r="B47" s="26" t="s">
        <v>32</v>
      </c>
      <c r="C47" s="138">
        <v>45125</v>
      </c>
      <c r="D47" s="27">
        <v>7</v>
      </c>
      <c r="E47" s="28">
        <v>74264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9"/>
      <c r="R47" s="97">
        <f>E47</f>
        <v>74264</v>
      </c>
      <c r="S47" s="31">
        <v>241156</v>
      </c>
      <c r="T47" s="43" t="s">
        <v>33</v>
      </c>
      <c r="U47" s="31"/>
    </row>
    <row r="48" spans="1:61" ht="28.5" x14ac:dyDescent="0.25">
      <c r="A48" s="25">
        <v>57127</v>
      </c>
      <c r="B48" s="26" t="s">
        <v>30</v>
      </c>
      <c r="C48" s="138">
        <v>45160</v>
      </c>
      <c r="D48" s="27">
        <v>18</v>
      </c>
      <c r="E48" s="28">
        <v>261737</v>
      </c>
      <c r="F48" s="28">
        <v>64850.400000000001</v>
      </c>
      <c r="G48" s="28">
        <f>E48-F48</f>
        <v>196886.6</v>
      </c>
      <c r="H48" s="28">
        <f>ROUND(G48*H6,0)</f>
        <v>35440</v>
      </c>
      <c r="I48" s="28">
        <f>G48+H48</f>
        <v>232326.6</v>
      </c>
      <c r="J48" s="28">
        <f>G48*J6</f>
        <v>1968.8660000000002</v>
      </c>
      <c r="K48" s="28">
        <f>G48*K6</f>
        <v>9844.3300000000017</v>
      </c>
      <c r="L48" s="28">
        <f>G48*10%</f>
        <v>19688.660000000003</v>
      </c>
      <c r="M48" s="28"/>
      <c r="N48" s="28">
        <f>G48*N6</f>
        <v>19688.660000000003</v>
      </c>
      <c r="O48" s="96">
        <f>H48</f>
        <v>35440</v>
      </c>
      <c r="P48" s="28"/>
      <c r="Q48" s="28">
        <v>70855</v>
      </c>
      <c r="R48" s="30">
        <f>ROUND(I48-SUM(J48:Q48),0)</f>
        <v>74841</v>
      </c>
      <c r="S48" s="31">
        <v>74264</v>
      </c>
      <c r="T48" s="32" t="s">
        <v>34</v>
      </c>
      <c r="U48" s="31"/>
    </row>
    <row r="49" spans="1:61" ht="28.5" x14ac:dyDescent="0.25">
      <c r="A49" s="25">
        <v>57127</v>
      </c>
      <c r="B49" s="26" t="s">
        <v>223</v>
      </c>
      <c r="C49" s="138">
        <v>45215</v>
      </c>
      <c r="D49" s="27">
        <v>31</v>
      </c>
      <c r="E49" s="28">
        <v>157550</v>
      </c>
      <c r="F49" s="28">
        <v>72056</v>
      </c>
      <c r="G49" s="28">
        <f>E49-F49</f>
        <v>85494</v>
      </c>
      <c r="H49" s="28">
        <f>G49*18%</f>
        <v>15388.92</v>
      </c>
      <c r="I49" s="28">
        <f>G49+H49</f>
        <v>100882.92</v>
      </c>
      <c r="J49" s="28">
        <f>G49*1%</f>
        <v>854.94</v>
      </c>
      <c r="K49" s="28">
        <f>G49*5%</f>
        <v>4274.7</v>
      </c>
      <c r="L49" s="28">
        <v>0</v>
      </c>
      <c r="M49" s="28">
        <f>G49*10%</f>
        <v>8549.4</v>
      </c>
      <c r="N49" s="28">
        <f>G49*10%</f>
        <v>8549.4</v>
      </c>
      <c r="O49" s="96">
        <f>H49</f>
        <v>15388.92</v>
      </c>
      <c r="P49" s="28"/>
      <c r="Q49" s="28"/>
      <c r="R49" s="30">
        <f>ROUND(I49-SUM(J49:Q49),0)</f>
        <v>63266</v>
      </c>
      <c r="S49" s="41">
        <v>74841</v>
      </c>
      <c r="T49" s="32" t="s">
        <v>35</v>
      </c>
      <c r="U49" s="41"/>
    </row>
    <row r="50" spans="1:61" x14ac:dyDescent="0.25">
      <c r="A50" s="25">
        <v>57127</v>
      </c>
      <c r="B50" s="31" t="s">
        <v>32</v>
      </c>
      <c r="C50" s="140">
        <v>45245</v>
      </c>
      <c r="D50" s="40">
        <v>31</v>
      </c>
      <c r="E50" s="42">
        <f>H49</f>
        <v>15388.92</v>
      </c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97">
        <f>E50</f>
        <v>15388.92</v>
      </c>
      <c r="S50" s="41">
        <v>35440</v>
      </c>
      <c r="T50" s="32" t="s">
        <v>36</v>
      </c>
      <c r="U50" s="41"/>
    </row>
    <row r="51" spans="1:61" x14ac:dyDescent="0.25">
      <c r="A51" s="25">
        <v>57127</v>
      </c>
      <c r="B51" s="31" t="s">
        <v>32</v>
      </c>
      <c r="C51" s="140">
        <v>45187</v>
      </c>
      <c r="D51" s="40">
        <v>18</v>
      </c>
      <c r="E51" s="42">
        <f>H48</f>
        <v>35440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97">
        <f>E51</f>
        <v>35440</v>
      </c>
      <c r="S51" s="41">
        <v>99000</v>
      </c>
      <c r="T51" s="32" t="s">
        <v>37</v>
      </c>
      <c r="U51" s="41"/>
    </row>
    <row r="52" spans="1:61" x14ac:dyDescent="0.25">
      <c r="A52" s="25">
        <v>57127</v>
      </c>
      <c r="B52" s="31"/>
      <c r="C52" s="140"/>
      <c r="D52" s="40"/>
      <c r="E52" s="29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30"/>
      <c r="S52" s="41">
        <v>15389</v>
      </c>
      <c r="T52" s="32" t="s">
        <v>38</v>
      </c>
      <c r="U52" s="41"/>
    </row>
    <row r="53" spans="1:61" x14ac:dyDescent="0.25">
      <c r="A53" s="25">
        <v>57127</v>
      </c>
      <c r="B53" s="31"/>
      <c r="C53" s="140"/>
      <c r="D53" s="40"/>
      <c r="E53" s="2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30"/>
      <c r="S53" s="41"/>
      <c r="T53" s="32"/>
      <c r="U53" s="41"/>
    </row>
    <row r="54" spans="1:61" s="24" customFormat="1" x14ac:dyDescent="0.25">
      <c r="A54" s="33">
        <v>57126</v>
      </c>
      <c r="B54" s="34"/>
      <c r="C54" s="139"/>
      <c r="D54" s="35"/>
      <c r="E54" s="36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8"/>
      <c r="S54" s="34"/>
      <c r="T54" s="39"/>
      <c r="U54" s="34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1:61" x14ac:dyDescent="0.25">
      <c r="A55" s="25">
        <v>57126</v>
      </c>
      <c r="B55" s="31" t="s">
        <v>39</v>
      </c>
      <c r="C55" s="140">
        <v>45066</v>
      </c>
      <c r="D55" s="40">
        <v>4</v>
      </c>
      <c r="E55" s="29">
        <v>248515</v>
      </c>
      <c r="F55" s="28">
        <v>54042</v>
      </c>
      <c r="G55" s="28">
        <v>194473</v>
      </c>
      <c r="H55" s="28">
        <v>35005</v>
      </c>
      <c r="I55" s="28">
        <v>229478</v>
      </c>
      <c r="J55" s="28">
        <v>1945</v>
      </c>
      <c r="K55" s="28">
        <v>9724</v>
      </c>
      <c r="L55" s="28">
        <v>19447</v>
      </c>
      <c r="M55" s="28"/>
      <c r="N55" s="28">
        <v>19447</v>
      </c>
      <c r="O55" s="96">
        <v>35005</v>
      </c>
      <c r="P55" s="28"/>
      <c r="Q55" s="28">
        <v>3224</v>
      </c>
      <c r="R55" s="30">
        <v>140686</v>
      </c>
      <c r="S55" s="31">
        <v>49500</v>
      </c>
      <c r="T55" s="32" t="s">
        <v>40</v>
      </c>
      <c r="U55" s="31">
        <f>SUM(R55:R59)-SUM(S55:S59)</f>
        <v>0</v>
      </c>
    </row>
    <row r="56" spans="1:61" x14ac:dyDescent="0.25">
      <c r="A56" s="25">
        <v>57126</v>
      </c>
      <c r="B56" s="31" t="s">
        <v>24</v>
      </c>
      <c r="C56" s="140">
        <v>45067</v>
      </c>
      <c r="D56" s="40">
        <v>4</v>
      </c>
      <c r="E56" s="42">
        <f>O55</f>
        <v>35005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97">
        <f>E56</f>
        <v>35005</v>
      </c>
      <c r="S56" s="41">
        <v>91186</v>
      </c>
      <c r="T56" s="32" t="s">
        <v>41</v>
      </c>
      <c r="U56" s="41"/>
    </row>
    <row r="57" spans="1:61" x14ac:dyDescent="0.25">
      <c r="A57" s="25">
        <v>57126</v>
      </c>
      <c r="B57" s="31"/>
      <c r="C57" s="140"/>
      <c r="D57" s="40"/>
      <c r="E57" s="29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30"/>
      <c r="S57" s="41">
        <v>35005</v>
      </c>
      <c r="T57" s="32" t="s">
        <v>42</v>
      </c>
      <c r="U57" s="41"/>
    </row>
    <row r="58" spans="1:61" x14ac:dyDescent="0.25">
      <c r="A58" s="25">
        <v>57126</v>
      </c>
      <c r="B58" s="31"/>
      <c r="C58" s="140"/>
      <c r="D58" s="40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30"/>
      <c r="S58" s="41"/>
      <c r="T58" s="32"/>
      <c r="U58" s="41"/>
    </row>
    <row r="59" spans="1:61" x14ac:dyDescent="0.25">
      <c r="A59" s="25">
        <v>57126</v>
      </c>
      <c r="B59" s="31"/>
      <c r="C59" s="140"/>
      <c r="D59" s="40"/>
      <c r="E59" s="29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30"/>
      <c r="S59" s="41"/>
      <c r="T59" s="32"/>
      <c r="U59" s="41"/>
    </row>
    <row r="60" spans="1:61" s="24" customFormat="1" x14ac:dyDescent="0.25">
      <c r="A60" s="33">
        <v>57123</v>
      </c>
      <c r="B60" s="34"/>
      <c r="C60" s="139"/>
      <c r="D60" s="35"/>
      <c r="E60" s="36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8"/>
      <c r="S60" s="34"/>
      <c r="T60" s="39"/>
      <c r="U60" s="34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1:61" x14ac:dyDescent="0.25">
      <c r="A61" s="25">
        <v>57123</v>
      </c>
      <c r="B61" s="31" t="s">
        <v>224</v>
      </c>
      <c r="C61" s="140">
        <v>45086</v>
      </c>
      <c r="D61" s="40">
        <v>5</v>
      </c>
      <c r="E61" s="29">
        <v>422940</v>
      </c>
      <c r="F61" s="28">
        <v>45780</v>
      </c>
      <c r="G61" s="28">
        <v>377160</v>
      </c>
      <c r="H61" s="28">
        <v>67889</v>
      </c>
      <c r="I61" s="28">
        <v>445049</v>
      </c>
      <c r="J61" s="28">
        <v>3772</v>
      </c>
      <c r="K61" s="28">
        <v>18858</v>
      </c>
      <c r="L61" s="28"/>
      <c r="M61" s="28"/>
      <c r="N61" s="28"/>
      <c r="O61" s="96">
        <v>67889</v>
      </c>
      <c r="P61" s="28">
        <v>37716</v>
      </c>
      <c r="Q61" s="28">
        <v>2940</v>
      </c>
      <c r="R61" s="30">
        <v>313874</v>
      </c>
      <c r="S61" s="41">
        <v>313874</v>
      </c>
      <c r="T61" s="32" t="s">
        <v>43</v>
      </c>
      <c r="U61" s="41">
        <f>SUM(R61:R63)-SUM(S61:S63)</f>
        <v>0</v>
      </c>
    </row>
    <row r="62" spans="1:61" x14ac:dyDescent="0.25">
      <c r="A62" s="25">
        <v>57123</v>
      </c>
      <c r="B62" s="31" t="s">
        <v>24</v>
      </c>
      <c r="C62" s="140">
        <v>45087</v>
      </c>
      <c r="D62" s="40">
        <v>5</v>
      </c>
      <c r="E62" s="42">
        <f>O61</f>
        <v>67889</v>
      </c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97">
        <f>E62</f>
        <v>67889</v>
      </c>
      <c r="S62" s="41">
        <v>67889</v>
      </c>
      <c r="T62" s="32" t="s">
        <v>44</v>
      </c>
      <c r="U62" s="41"/>
    </row>
    <row r="63" spans="1:61" x14ac:dyDescent="0.25">
      <c r="A63" s="25">
        <v>57123</v>
      </c>
      <c r="B63" s="31"/>
      <c r="C63" s="140"/>
      <c r="D63" s="40"/>
      <c r="E63" s="42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30"/>
      <c r="S63" s="41"/>
      <c r="T63" s="32"/>
      <c r="U63" s="41"/>
    </row>
    <row r="64" spans="1:61" s="24" customFormat="1" x14ac:dyDescent="0.25">
      <c r="A64" s="33">
        <v>57124</v>
      </c>
      <c r="B64" s="34"/>
      <c r="C64" s="139"/>
      <c r="D64" s="35"/>
      <c r="E64" s="36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8"/>
      <c r="S64" s="34"/>
      <c r="T64" s="39"/>
      <c r="U64" s="34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1:61" x14ac:dyDescent="0.25">
      <c r="A65" s="25">
        <v>57124</v>
      </c>
      <c r="B65" s="31" t="s">
        <v>225</v>
      </c>
      <c r="C65" s="140" t="s">
        <v>45</v>
      </c>
      <c r="D65" s="40">
        <v>15</v>
      </c>
      <c r="E65" s="42">
        <v>279153</v>
      </c>
      <c r="F65" s="28"/>
      <c r="G65" s="28">
        <f>E65-F65</f>
        <v>279153</v>
      </c>
      <c r="H65" s="28">
        <f>G65*18%</f>
        <v>50247.54</v>
      </c>
      <c r="I65" s="28">
        <f>G65+H65</f>
        <v>329400.53999999998</v>
      </c>
      <c r="J65" s="28">
        <f>G65*1%</f>
        <v>2791.53</v>
      </c>
      <c r="K65" s="28">
        <f>G65*5%</f>
        <v>13957.650000000001</v>
      </c>
      <c r="L65" s="28"/>
      <c r="M65" s="28"/>
      <c r="N65" s="28"/>
      <c r="O65" s="96">
        <f>H65</f>
        <v>50247.54</v>
      </c>
      <c r="P65" s="28"/>
      <c r="Q65" s="28"/>
      <c r="R65" s="30">
        <f>I65-SUM(J65:Q65)</f>
        <v>262403.81999999995</v>
      </c>
      <c r="S65" s="41">
        <v>262403</v>
      </c>
      <c r="T65" s="32" t="s">
        <v>46</v>
      </c>
      <c r="U65" s="41">
        <f>SUM(R65:R68)-SUM(S65:S68)</f>
        <v>262404.17999999993</v>
      </c>
    </row>
    <row r="66" spans="1:61" x14ac:dyDescent="0.25">
      <c r="A66" s="25">
        <v>57124</v>
      </c>
      <c r="B66" s="31" t="s">
        <v>47</v>
      </c>
      <c r="C66" s="140"/>
      <c r="D66" s="40"/>
      <c r="E66" s="42">
        <f>O65</f>
        <v>50247.54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97">
        <f>O65</f>
        <v>50247.54</v>
      </c>
      <c r="S66" s="41">
        <v>50248</v>
      </c>
      <c r="T66" s="32" t="s">
        <v>48</v>
      </c>
      <c r="U66" s="41"/>
    </row>
    <row r="67" spans="1:61" x14ac:dyDescent="0.25">
      <c r="A67" s="25">
        <v>57124</v>
      </c>
      <c r="B67" s="31" t="s">
        <v>225</v>
      </c>
      <c r="C67" s="140" t="s">
        <v>45</v>
      </c>
      <c r="D67" s="40">
        <v>15</v>
      </c>
      <c r="E67" s="42">
        <v>279153</v>
      </c>
      <c r="F67" s="28"/>
      <c r="G67" s="28">
        <f>E67-F67</f>
        <v>279153</v>
      </c>
      <c r="H67" s="28">
        <f>G67*18%</f>
        <v>50247.54</v>
      </c>
      <c r="I67" s="28">
        <f>G67+H67</f>
        <v>329400.53999999998</v>
      </c>
      <c r="J67" s="28">
        <f>G67*1%</f>
        <v>2791.53</v>
      </c>
      <c r="K67" s="28">
        <f>G67*5%</f>
        <v>13957.650000000001</v>
      </c>
      <c r="L67" s="28"/>
      <c r="M67" s="28"/>
      <c r="N67" s="28"/>
      <c r="O67" s="96">
        <f>H67</f>
        <v>50247.54</v>
      </c>
      <c r="P67" s="28"/>
      <c r="Q67" s="28"/>
      <c r="R67" s="30">
        <f>I67-SUM(J67:Q67)</f>
        <v>262403.81999999995</v>
      </c>
      <c r="S67" s="41"/>
      <c r="T67" s="32"/>
      <c r="U67" s="41"/>
    </row>
    <row r="68" spans="1:61" x14ac:dyDescent="0.25">
      <c r="A68" s="25">
        <v>57124</v>
      </c>
      <c r="B68" s="31"/>
      <c r="C68" s="140"/>
      <c r="D68" s="40"/>
      <c r="E68" s="42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30"/>
      <c r="S68" s="41"/>
      <c r="T68" s="32"/>
      <c r="U68" s="41"/>
    </row>
    <row r="69" spans="1:61" s="24" customFormat="1" x14ac:dyDescent="0.25">
      <c r="A69" s="33">
        <v>58671</v>
      </c>
      <c r="B69" s="34"/>
      <c r="C69" s="139"/>
      <c r="D69" s="35"/>
      <c r="E69" s="36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8"/>
      <c r="S69" s="34"/>
      <c r="T69" s="39"/>
      <c r="U69" s="34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ht="28.5" x14ac:dyDescent="0.25">
      <c r="A70" s="25">
        <v>58671</v>
      </c>
      <c r="B70" s="26" t="s">
        <v>226</v>
      </c>
      <c r="C70" s="138">
        <v>45135</v>
      </c>
      <c r="D70" s="44">
        <v>10</v>
      </c>
      <c r="E70" s="28">
        <v>11000</v>
      </c>
      <c r="F70" s="28">
        <v>0</v>
      </c>
      <c r="G70" s="28">
        <f>E70-F70</f>
        <v>11000</v>
      </c>
      <c r="H70" s="28">
        <f>G70*18%</f>
        <v>1980</v>
      </c>
      <c r="I70" s="28">
        <f>G70+H70</f>
        <v>12980</v>
      </c>
      <c r="J70" s="28">
        <f>G70*1%</f>
        <v>110</v>
      </c>
      <c r="K70" s="28">
        <f>G70*5%</f>
        <v>550</v>
      </c>
      <c r="L70" s="28">
        <f>G70*5%</f>
        <v>550</v>
      </c>
      <c r="M70" s="28"/>
      <c r="N70" s="29"/>
      <c r="O70" s="96">
        <f>H70</f>
        <v>1980</v>
      </c>
      <c r="P70" s="29"/>
      <c r="Q70" s="28"/>
      <c r="R70" s="30">
        <f>ROUND(I70-SUM(J70:Q70),0)</f>
        <v>9790</v>
      </c>
      <c r="S70" s="41">
        <v>9790</v>
      </c>
      <c r="T70" s="32" t="s">
        <v>49</v>
      </c>
      <c r="U70" s="41">
        <f>SUM(R70:R73)-SUM(S70:S73)</f>
        <v>0</v>
      </c>
    </row>
    <row r="71" spans="1:61" x14ac:dyDescent="0.25">
      <c r="A71" s="25">
        <v>58671</v>
      </c>
      <c r="B71" s="31" t="s">
        <v>24</v>
      </c>
      <c r="C71" s="138">
        <v>45136</v>
      </c>
      <c r="D71" s="40">
        <v>10</v>
      </c>
      <c r="E71" s="42">
        <f>O70</f>
        <v>1980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97">
        <f>E71</f>
        <v>1980</v>
      </c>
      <c r="S71" s="41">
        <v>1980</v>
      </c>
      <c r="T71" s="32" t="s">
        <v>50</v>
      </c>
      <c r="U71" s="41"/>
    </row>
    <row r="72" spans="1:61" x14ac:dyDescent="0.25">
      <c r="A72" s="25">
        <v>58671</v>
      </c>
      <c r="B72" s="31"/>
      <c r="C72" s="138"/>
      <c r="D72" s="40"/>
      <c r="E72" s="42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30"/>
      <c r="S72" s="41"/>
      <c r="T72" s="32"/>
      <c r="U72" s="41"/>
    </row>
    <row r="73" spans="1:61" x14ac:dyDescent="0.25">
      <c r="A73" s="25">
        <v>58671</v>
      </c>
      <c r="B73" s="31"/>
      <c r="C73" s="138"/>
      <c r="D73" s="40"/>
      <c r="E73" s="42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30"/>
      <c r="S73" s="41"/>
      <c r="T73" s="32"/>
      <c r="U73" s="41"/>
    </row>
    <row r="74" spans="1:61" s="24" customFormat="1" x14ac:dyDescent="0.25">
      <c r="A74" s="33">
        <v>58999</v>
      </c>
      <c r="B74" s="34"/>
      <c r="C74" s="139"/>
      <c r="D74" s="35"/>
      <c r="E74" s="36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8"/>
      <c r="S74" s="34"/>
      <c r="T74" s="39"/>
      <c r="U74" s="34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1:61" x14ac:dyDescent="0.25">
      <c r="A75" s="25">
        <v>58999</v>
      </c>
      <c r="B75" s="31" t="s">
        <v>227</v>
      </c>
      <c r="C75" s="141">
        <v>45187</v>
      </c>
      <c r="D75" s="45">
        <v>22</v>
      </c>
      <c r="E75" s="46">
        <v>222000</v>
      </c>
      <c r="F75" s="46">
        <v>7630</v>
      </c>
      <c r="G75" s="46">
        <f>ROUND(E75-F75,)</f>
        <v>214370</v>
      </c>
      <c r="H75" s="46">
        <f>ROUND(G75*18%,)</f>
        <v>38587</v>
      </c>
      <c r="I75" s="46">
        <f>G75+H75</f>
        <v>252957</v>
      </c>
      <c r="J75" s="46">
        <f>G75*1%</f>
        <v>2143.6999999999998</v>
      </c>
      <c r="K75" s="46">
        <f>ROUND(G75*5%,)</f>
        <v>10719</v>
      </c>
      <c r="L75" s="46">
        <v>0</v>
      </c>
      <c r="M75" s="46"/>
      <c r="N75" s="46">
        <v>0</v>
      </c>
      <c r="O75" s="98">
        <f>H75</f>
        <v>38587</v>
      </c>
      <c r="P75" s="46">
        <v>0</v>
      </c>
      <c r="Q75" s="46"/>
      <c r="R75" s="30">
        <f>I75-J75-K75-L75-N75-O75-P75-Q75</f>
        <v>201507.3</v>
      </c>
      <c r="S75" s="31">
        <v>99000</v>
      </c>
      <c r="T75" s="47" t="s">
        <v>51</v>
      </c>
      <c r="U75" s="31">
        <f>SUM(R75:R80)-SUM(S75:S80)</f>
        <v>0.29999999998835847</v>
      </c>
    </row>
    <row r="76" spans="1:61" x14ac:dyDescent="0.25">
      <c r="A76" s="25">
        <v>58999</v>
      </c>
      <c r="B76" s="31" t="s">
        <v>20</v>
      </c>
      <c r="C76" s="141">
        <v>45210</v>
      </c>
      <c r="D76" s="45">
        <v>22</v>
      </c>
      <c r="E76" s="46">
        <v>38587</v>
      </c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97">
        <f>E76</f>
        <v>38587</v>
      </c>
      <c r="S76" s="31">
        <v>102507</v>
      </c>
      <c r="T76" s="47" t="s">
        <v>52</v>
      </c>
      <c r="U76" s="31"/>
    </row>
    <row r="77" spans="1:61" x14ac:dyDescent="0.25">
      <c r="A77" s="25">
        <v>58999</v>
      </c>
      <c r="B77" s="31" t="s">
        <v>53</v>
      </c>
      <c r="C77" s="141">
        <v>45229</v>
      </c>
      <c r="D77" s="45">
        <v>38</v>
      </c>
      <c r="E77" s="46">
        <v>11000</v>
      </c>
      <c r="F77" s="46"/>
      <c r="G77" s="46">
        <f>E77-F77</f>
        <v>11000</v>
      </c>
      <c r="H77" s="46">
        <f>G77*18%</f>
        <v>1980</v>
      </c>
      <c r="I77" s="46">
        <f>G77+H77</f>
        <v>12980</v>
      </c>
      <c r="J77" s="46">
        <f>G77*1%</f>
        <v>110</v>
      </c>
      <c r="K77" s="46">
        <f>G77*5%</f>
        <v>550</v>
      </c>
      <c r="L77" s="46"/>
      <c r="M77" s="46"/>
      <c r="N77" s="46"/>
      <c r="O77" s="98">
        <f>H77</f>
        <v>1980</v>
      </c>
      <c r="P77" s="46"/>
      <c r="Q77" s="46"/>
      <c r="R77" s="30">
        <f>I77-J77-K77-O77</f>
        <v>10340</v>
      </c>
      <c r="S77" s="31">
        <v>38587</v>
      </c>
      <c r="T77" s="47" t="s">
        <v>54</v>
      </c>
      <c r="U77" s="31"/>
    </row>
    <row r="78" spans="1:61" x14ac:dyDescent="0.25">
      <c r="A78" s="25">
        <v>58999</v>
      </c>
      <c r="B78" s="31" t="s">
        <v>53</v>
      </c>
      <c r="C78" s="141">
        <v>45229</v>
      </c>
      <c r="D78" s="45">
        <v>39</v>
      </c>
      <c r="E78" s="46">
        <v>92500</v>
      </c>
      <c r="F78" s="46"/>
      <c r="G78" s="46">
        <f>E78-F78</f>
        <v>92500</v>
      </c>
      <c r="H78" s="46">
        <f>G78*18%</f>
        <v>16650</v>
      </c>
      <c r="I78" s="46">
        <f>G78+H78</f>
        <v>109150</v>
      </c>
      <c r="J78" s="46">
        <f>G78*1%</f>
        <v>925</v>
      </c>
      <c r="K78" s="46">
        <f>G78*5%</f>
        <v>4625</v>
      </c>
      <c r="L78" s="46"/>
      <c r="M78" s="46"/>
      <c r="N78" s="46"/>
      <c r="O78" s="98">
        <f>H78</f>
        <v>16650</v>
      </c>
      <c r="P78" s="46"/>
      <c r="Q78" s="46"/>
      <c r="R78" s="30">
        <f>I78-J78-K78-O78</f>
        <v>86950</v>
      </c>
      <c r="S78" s="31">
        <v>97290</v>
      </c>
      <c r="T78" s="47" t="s">
        <v>55</v>
      </c>
      <c r="U78" s="31"/>
    </row>
    <row r="79" spans="1:61" x14ac:dyDescent="0.25">
      <c r="A79" s="25">
        <v>58999</v>
      </c>
      <c r="B79" s="31" t="s">
        <v>56</v>
      </c>
      <c r="C79" s="141">
        <v>45245</v>
      </c>
      <c r="D79" s="45" t="s">
        <v>57</v>
      </c>
      <c r="E79" s="46">
        <v>18630</v>
      </c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97">
        <f>E79</f>
        <v>18630</v>
      </c>
      <c r="S79" s="31">
        <v>18630</v>
      </c>
      <c r="T79" s="47" t="s">
        <v>58</v>
      </c>
      <c r="U79" s="31"/>
    </row>
    <row r="80" spans="1:61" x14ac:dyDescent="0.25">
      <c r="A80" s="25">
        <v>58999</v>
      </c>
      <c r="B80" s="31"/>
      <c r="C80" s="141"/>
      <c r="D80" s="45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30"/>
      <c r="S80" s="31"/>
      <c r="T80" s="47"/>
      <c r="U80" s="31"/>
    </row>
    <row r="81" spans="1:61" s="24" customFormat="1" x14ac:dyDescent="0.25">
      <c r="A81" s="33">
        <v>58739</v>
      </c>
      <c r="B81" s="34"/>
      <c r="C81" s="139"/>
      <c r="D81" s="35"/>
      <c r="E81" s="36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8"/>
      <c r="S81" s="34"/>
      <c r="T81" s="39"/>
      <c r="U81" s="34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1:61" x14ac:dyDescent="0.25">
      <c r="A82" s="48">
        <v>58739</v>
      </c>
      <c r="B82" s="49" t="s">
        <v>59</v>
      </c>
      <c r="C82" s="141">
        <v>45154</v>
      </c>
      <c r="D82" s="45">
        <v>13</v>
      </c>
      <c r="E82" s="46">
        <v>584740</v>
      </c>
      <c r="F82" s="46">
        <v>61040</v>
      </c>
      <c r="G82" s="46">
        <f>ROUND(E82-F82,)</f>
        <v>523700</v>
      </c>
      <c r="H82" s="46">
        <f>ROUND(G82*18%,)</f>
        <v>94266</v>
      </c>
      <c r="I82" s="46">
        <f>G82+H82</f>
        <v>617966</v>
      </c>
      <c r="J82" s="46">
        <f>G82*1%</f>
        <v>5237</v>
      </c>
      <c r="K82" s="46">
        <f>ROUND(G82*5%,)</f>
        <v>26185</v>
      </c>
      <c r="L82" s="46">
        <f t="shared" ref="L82" si="0">ROUND(G82*10%,)</f>
        <v>52370</v>
      </c>
      <c r="M82" s="46"/>
      <c r="N82" s="46">
        <f>ROUND(G82*10%,)</f>
        <v>52370</v>
      </c>
      <c r="O82" s="98">
        <f>H82</f>
        <v>94266</v>
      </c>
      <c r="P82" s="46">
        <v>0</v>
      </c>
      <c r="Q82" s="46">
        <v>322740</v>
      </c>
      <c r="R82" s="30">
        <f>I82-J82-K82-L82-N82-O82-P82-Q82</f>
        <v>64798</v>
      </c>
      <c r="S82" s="41">
        <v>148500</v>
      </c>
      <c r="T82" s="47" t="s">
        <v>60</v>
      </c>
      <c r="U82" s="41">
        <f>SUM(R82:R89)-SUM(S82:S89)</f>
        <v>-276550.74</v>
      </c>
    </row>
    <row r="83" spans="1:61" x14ac:dyDescent="0.25">
      <c r="A83" s="48">
        <v>58739</v>
      </c>
      <c r="B83" s="49" t="s">
        <v>20</v>
      </c>
      <c r="C83" s="141">
        <v>45187</v>
      </c>
      <c r="D83" s="45">
        <v>13</v>
      </c>
      <c r="E83" s="46">
        <v>94266</v>
      </c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97">
        <f>E83</f>
        <v>94266</v>
      </c>
      <c r="S83" s="41">
        <v>74818</v>
      </c>
      <c r="T83" s="47" t="s">
        <v>61</v>
      </c>
      <c r="U83" s="41"/>
    </row>
    <row r="84" spans="1:61" ht="16.5" x14ac:dyDescent="0.25">
      <c r="A84" s="50">
        <v>58739</v>
      </c>
      <c r="B84" s="49" t="s">
        <v>59</v>
      </c>
      <c r="C84" s="141">
        <v>45173</v>
      </c>
      <c r="D84" s="45">
        <v>21</v>
      </c>
      <c r="E84" s="46">
        <v>85074</v>
      </c>
      <c r="F84" s="46">
        <v>0</v>
      </c>
      <c r="G84" s="46">
        <f>ROUND(E84-F84,)</f>
        <v>85074</v>
      </c>
      <c r="H84" s="46">
        <f>ROUND(G84*18%,)</f>
        <v>15313</v>
      </c>
      <c r="I84" s="46">
        <f>G84+H84</f>
        <v>100387</v>
      </c>
      <c r="J84" s="46">
        <f>G84*1%</f>
        <v>850.74</v>
      </c>
      <c r="K84" s="46">
        <f>ROUND(G84*5%,)</f>
        <v>4254</v>
      </c>
      <c r="L84" s="46"/>
      <c r="M84" s="46"/>
      <c r="N84" s="46"/>
      <c r="O84" s="98">
        <f>H84</f>
        <v>15313</v>
      </c>
      <c r="P84" s="46">
        <v>0</v>
      </c>
      <c r="Q84" s="46">
        <v>0</v>
      </c>
      <c r="R84" s="30">
        <f>I84-J84-K84-L84-N84-O84-P84-Q84</f>
        <v>79969.259999999995</v>
      </c>
      <c r="S84" s="41">
        <v>94266</v>
      </c>
      <c r="T84" s="47" t="s">
        <v>62</v>
      </c>
      <c r="U84" s="41"/>
    </row>
    <row r="85" spans="1:61" x14ac:dyDescent="0.25">
      <c r="A85" s="25">
        <v>58739</v>
      </c>
      <c r="B85" s="51" t="s">
        <v>20</v>
      </c>
      <c r="C85" s="141">
        <v>45210</v>
      </c>
      <c r="D85" s="45">
        <v>21</v>
      </c>
      <c r="E85" s="46">
        <v>15313</v>
      </c>
      <c r="F85" s="28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97">
        <f>E85</f>
        <v>15313</v>
      </c>
      <c r="S85" s="41">
        <v>15313</v>
      </c>
      <c r="T85" s="47" t="s">
        <v>63</v>
      </c>
      <c r="U85" s="41"/>
    </row>
    <row r="86" spans="1:61" x14ac:dyDescent="0.25">
      <c r="A86" s="25">
        <v>58739</v>
      </c>
      <c r="B86" s="31"/>
      <c r="C86" s="140"/>
      <c r="D86" s="40"/>
      <c r="E86" s="28"/>
      <c r="F86" s="28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30"/>
      <c r="S86" s="41">
        <v>99000</v>
      </c>
      <c r="T86" s="47" t="s">
        <v>64</v>
      </c>
      <c r="U86" s="41"/>
    </row>
    <row r="87" spans="1:61" x14ac:dyDescent="0.25">
      <c r="A87" s="25">
        <v>58739</v>
      </c>
      <c r="B87" s="31"/>
      <c r="C87" s="140"/>
      <c r="D87" s="40"/>
      <c r="E87" s="28"/>
      <c r="F87" s="28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30"/>
      <c r="S87" s="41">
        <v>99000</v>
      </c>
      <c r="T87" s="47" t="s">
        <v>144</v>
      </c>
      <c r="U87" s="41"/>
    </row>
    <row r="88" spans="1:61" x14ac:dyDescent="0.25">
      <c r="A88" s="25">
        <v>58739</v>
      </c>
      <c r="B88" s="31"/>
      <c r="C88" s="140"/>
      <c r="D88" s="40"/>
      <c r="E88" s="28"/>
      <c r="F88" s="28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30"/>
      <c r="S88" s="41"/>
      <c r="T88" s="47"/>
      <c r="U88" s="41"/>
    </row>
    <row r="89" spans="1:61" x14ac:dyDescent="0.25">
      <c r="A89" s="25">
        <v>58739</v>
      </c>
      <c r="B89" s="31"/>
      <c r="C89" s="140"/>
      <c r="D89" s="40"/>
      <c r="E89" s="28"/>
      <c r="F89" s="28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30"/>
      <c r="S89" s="41"/>
      <c r="T89" s="47"/>
      <c r="U89" s="41"/>
    </row>
    <row r="90" spans="1:61" s="24" customFormat="1" x14ac:dyDescent="0.25">
      <c r="A90" s="33">
        <v>58744</v>
      </c>
      <c r="B90" s="34"/>
      <c r="C90" s="139"/>
      <c r="D90" s="35"/>
      <c r="E90" s="36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8"/>
      <c r="S90" s="34"/>
      <c r="T90" s="39"/>
      <c r="U90" s="34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x14ac:dyDescent="0.25">
      <c r="A91" s="25">
        <v>58744</v>
      </c>
      <c r="B91" s="49" t="s">
        <v>192</v>
      </c>
      <c r="C91" s="141">
        <v>45173</v>
      </c>
      <c r="D91" s="45">
        <v>19</v>
      </c>
      <c r="E91" s="46">
        <v>411675</v>
      </c>
      <c r="F91" s="46">
        <v>76300</v>
      </c>
      <c r="G91" s="46">
        <f>ROUND(E91-F91,)</f>
        <v>335375</v>
      </c>
      <c r="H91" s="46">
        <f>ROUND(G91*18%,)</f>
        <v>60368</v>
      </c>
      <c r="I91" s="46">
        <f>G91+H91</f>
        <v>395743</v>
      </c>
      <c r="J91" s="46">
        <f>G91*1%</f>
        <v>3353.75</v>
      </c>
      <c r="K91" s="46">
        <f>ROUND(G91*5%,)</f>
        <v>16769</v>
      </c>
      <c r="L91" s="46">
        <v>0</v>
      </c>
      <c r="M91" s="46"/>
      <c r="N91" s="46">
        <v>0</v>
      </c>
      <c r="O91" s="98">
        <f>H91</f>
        <v>60368</v>
      </c>
      <c r="P91" s="28"/>
      <c r="Q91" s="28"/>
      <c r="R91" s="30">
        <f>I91-J91-K91-L91-N91-O91-P91-Q91</f>
        <v>315252.25</v>
      </c>
      <c r="S91" s="41">
        <v>99000</v>
      </c>
      <c r="T91" s="47" t="s">
        <v>65</v>
      </c>
      <c r="U91" s="41">
        <f>SUM(R91:R99)-SUM(S91:S99)</f>
        <v>-161290.62</v>
      </c>
    </row>
    <row r="92" spans="1:61" x14ac:dyDescent="0.25">
      <c r="A92" s="25">
        <v>58744</v>
      </c>
      <c r="B92" s="49" t="s">
        <v>192</v>
      </c>
      <c r="C92" s="141">
        <v>45198</v>
      </c>
      <c r="D92" s="45">
        <v>24</v>
      </c>
      <c r="E92" s="46">
        <v>461274</v>
      </c>
      <c r="F92" s="46">
        <v>0</v>
      </c>
      <c r="G92" s="46">
        <f>ROUND(E92-F92,)</f>
        <v>461274</v>
      </c>
      <c r="H92" s="46">
        <f>ROUND(G92*18%,)</f>
        <v>83029</v>
      </c>
      <c r="I92" s="46">
        <f>G92+H92</f>
        <v>544303</v>
      </c>
      <c r="J92" s="46">
        <f>G92*1%</f>
        <v>4612.74</v>
      </c>
      <c r="K92" s="46">
        <f>ROUND(G92*5%,)</f>
        <v>23064</v>
      </c>
      <c r="L92" s="46">
        <v>0</v>
      </c>
      <c r="M92" s="46">
        <f>G92*M6</f>
        <v>46127.4</v>
      </c>
      <c r="N92" s="46">
        <f>G92*N6</f>
        <v>46127.4</v>
      </c>
      <c r="O92" s="98">
        <f>H92</f>
        <v>83029</v>
      </c>
      <c r="P92" s="28"/>
      <c r="Q92" s="28">
        <v>137172</v>
      </c>
      <c r="R92" s="30">
        <f>I92-J92-K92-L92-M92-N92-O92-P92-Q92</f>
        <v>204170.45999999996</v>
      </c>
      <c r="S92" s="41">
        <v>216249</v>
      </c>
      <c r="T92" s="47" t="s">
        <v>66</v>
      </c>
      <c r="U92" s="41"/>
    </row>
    <row r="93" spans="1:61" x14ac:dyDescent="0.25">
      <c r="A93" s="25">
        <v>58744</v>
      </c>
      <c r="B93" s="31" t="s">
        <v>20</v>
      </c>
      <c r="C93" s="140">
        <v>45217</v>
      </c>
      <c r="D93" s="40">
        <v>19</v>
      </c>
      <c r="E93" s="28">
        <v>60367</v>
      </c>
      <c r="F93" s="28"/>
      <c r="G93" s="28"/>
      <c r="H93" s="28"/>
      <c r="I93" s="28"/>
      <c r="J93" s="28" t="s">
        <v>67</v>
      </c>
      <c r="K93" s="28"/>
      <c r="L93" s="28"/>
      <c r="M93" s="28"/>
      <c r="N93" s="28"/>
      <c r="O93" s="28"/>
      <c r="P93" s="28"/>
      <c r="Q93" s="28"/>
      <c r="R93" s="97">
        <f>E93</f>
        <v>60367</v>
      </c>
      <c r="S93" s="41">
        <v>99000</v>
      </c>
      <c r="T93" s="47" t="s">
        <v>68</v>
      </c>
      <c r="U93" s="41"/>
    </row>
    <row r="94" spans="1:61" x14ac:dyDescent="0.25">
      <c r="A94" s="25">
        <v>58744</v>
      </c>
      <c r="B94" s="31" t="s">
        <v>20</v>
      </c>
      <c r="C94" s="140"/>
      <c r="D94" s="40">
        <v>24</v>
      </c>
      <c r="E94" s="28">
        <f>H92</f>
        <v>83029</v>
      </c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97">
        <f>E94</f>
        <v>83029</v>
      </c>
      <c r="S94" s="41">
        <v>105171</v>
      </c>
      <c r="T94" s="47" t="s">
        <v>69</v>
      </c>
      <c r="U94" s="41"/>
    </row>
    <row r="95" spans="1:61" x14ac:dyDescent="0.25">
      <c r="A95" s="25">
        <v>58744</v>
      </c>
      <c r="B95" s="49" t="s">
        <v>192</v>
      </c>
      <c r="C95" s="141">
        <v>45629</v>
      </c>
      <c r="D95" s="45">
        <v>5</v>
      </c>
      <c r="E95" s="46">
        <v>67483</v>
      </c>
      <c r="F95" s="46">
        <v>0</v>
      </c>
      <c r="G95" s="46">
        <f>ROUND(E95-F95,)</f>
        <v>67483</v>
      </c>
      <c r="H95" s="46">
        <f>ROUND(G95*18%,)</f>
        <v>12147</v>
      </c>
      <c r="I95" s="46">
        <f>G95+H95</f>
        <v>79630</v>
      </c>
      <c r="J95" s="46">
        <f>G95*1%</f>
        <v>674.83</v>
      </c>
      <c r="K95" s="46">
        <f>ROUND(G95*5%,)</f>
        <v>3374</v>
      </c>
      <c r="L95" s="46">
        <v>0</v>
      </c>
      <c r="M95" s="46">
        <f>G95*M9</f>
        <v>0</v>
      </c>
      <c r="N95" s="46">
        <f>G95*N9</f>
        <v>0</v>
      </c>
      <c r="O95" s="98">
        <f>H95</f>
        <v>12147</v>
      </c>
      <c r="P95" s="28"/>
      <c r="Q95" s="28">
        <v>0</v>
      </c>
      <c r="R95" s="30">
        <f>I95-J95-K95-L95-M95-N95-O95-P95-Q95</f>
        <v>63434.17</v>
      </c>
      <c r="S95" s="41">
        <v>60367</v>
      </c>
      <c r="T95" s="47" t="s">
        <v>70</v>
      </c>
      <c r="U95" s="41"/>
    </row>
    <row r="96" spans="1:61" ht="30" x14ac:dyDescent="0.25">
      <c r="A96" s="25">
        <v>58744</v>
      </c>
      <c r="B96" s="49" t="s">
        <v>228</v>
      </c>
      <c r="C96" s="141">
        <v>45630</v>
      </c>
      <c r="D96" s="45">
        <v>6</v>
      </c>
      <c r="E96" s="46">
        <v>11550</v>
      </c>
      <c r="F96" s="46">
        <v>0</v>
      </c>
      <c r="G96" s="46">
        <f>ROUND(E96-F96,)</f>
        <v>11550</v>
      </c>
      <c r="H96" s="46">
        <f>ROUND(G96*18%,)</f>
        <v>2079</v>
      </c>
      <c r="I96" s="46">
        <f>G96+H96</f>
        <v>13629</v>
      </c>
      <c r="J96" s="46">
        <f>G96*1%</f>
        <v>115.5</v>
      </c>
      <c r="K96" s="46">
        <f>ROUND(G96*5%,)</f>
        <v>578</v>
      </c>
      <c r="L96" s="46">
        <v>0</v>
      </c>
      <c r="M96" s="46">
        <f>G96*10%</f>
        <v>1155</v>
      </c>
      <c r="N96" s="46">
        <f>G96*10%</f>
        <v>1155</v>
      </c>
      <c r="O96" s="98">
        <f>H96</f>
        <v>2079</v>
      </c>
      <c r="P96" s="28"/>
      <c r="Q96" s="28">
        <v>0</v>
      </c>
      <c r="R96" s="30">
        <f>I96-J96-K96-L96-M96-N96-O96-P96-Q96</f>
        <v>8546.5</v>
      </c>
      <c r="S96" s="41">
        <v>83029</v>
      </c>
      <c r="T96" s="47" t="s">
        <v>71</v>
      </c>
      <c r="U96" s="41"/>
    </row>
    <row r="97" spans="1:61" x14ac:dyDescent="0.25">
      <c r="A97" s="25">
        <v>58744</v>
      </c>
      <c r="B97" s="31" t="s">
        <v>20</v>
      </c>
      <c r="C97" s="140"/>
      <c r="D97" s="40" t="s">
        <v>171</v>
      </c>
      <c r="E97" s="28">
        <f>O95+O96</f>
        <v>14226</v>
      </c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97">
        <f>E97</f>
        <v>14226</v>
      </c>
      <c r="S97" s="41">
        <v>99000</v>
      </c>
      <c r="T97" s="47" t="s">
        <v>143</v>
      </c>
      <c r="U97" s="41"/>
    </row>
    <row r="98" spans="1:61" x14ac:dyDescent="0.25">
      <c r="A98" s="25">
        <v>58744</v>
      </c>
      <c r="B98" s="31"/>
      <c r="C98" s="140"/>
      <c r="D98" s="40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30"/>
      <c r="S98" s="41">
        <v>49500</v>
      </c>
      <c r="T98" s="47" t="s">
        <v>163</v>
      </c>
      <c r="U98" s="41"/>
    </row>
    <row r="99" spans="1:61" x14ac:dyDescent="0.15">
      <c r="A99" s="25">
        <v>58744</v>
      </c>
      <c r="B99" s="31"/>
      <c r="C99" s="140"/>
      <c r="D99" s="40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30"/>
      <c r="S99" s="41">
        <v>99000</v>
      </c>
      <c r="T99" s="114" t="s">
        <v>187</v>
      </c>
      <c r="U99" s="41"/>
    </row>
    <row r="100" spans="1:61" s="24" customFormat="1" x14ac:dyDescent="0.25">
      <c r="A100" s="33">
        <v>58874</v>
      </c>
      <c r="B100" s="34"/>
      <c r="C100" s="139"/>
      <c r="D100" s="35"/>
      <c r="E100" s="36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8"/>
      <c r="S100" s="34"/>
      <c r="T100" s="39"/>
      <c r="U100" s="34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1:61" x14ac:dyDescent="0.25">
      <c r="A101" s="25">
        <v>58874</v>
      </c>
      <c r="B101" s="31" t="s">
        <v>229</v>
      </c>
      <c r="C101" s="140">
        <v>45148</v>
      </c>
      <c r="D101" s="40">
        <v>12</v>
      </c>
      <c r="E101" s="28">
        <v>410001</v>
      </c>
      <c r="F101" s="46">
        <v>22890</v>
      </c>
      <c r="G101" s="46">
        <f>ROUND(E101-F101,)</f>
        <v>387111</v>
      </c>
      <c r="H101" s="46">
        <f>ROUND(G101*18%,)</f>
        <v>69680</v>
      </c>
      <c r="I101" s="46">
        <f>G101+H101</f>
        <v>456791</v>
      </c>
      <c r="J101" s="46">
        <f>G101*1%</f>
        <v>3871.11</v>
      </c>
      <c r="K101" s="46">
        <f>ROUND(G101*5%,)</f>
        <v>19356</v>
      </c>
      <c r="L101" s="46">
        <v>0</v>
      </c>
      <c r="M101" s="46"/>
      <c r="N101" s="46">
        <v>0</v>
      </c>
      <c r="O101" s="98">
        <f>H101</f>
        <v>69680</v>
      </c>
      <c r="P101" s="28"/>
      <c r="Q101" s="28"/>
      <c r="R101" s="30">
        <f>I101-J101-K101-L101-N101-O101-P101-Q101</f>
        <v>363883.89</v>
      </c>
      <c r="S101" s="41">
        <v>363896</v>
      </c>
      <c r="T101" s="47" t="s">
        <v>72</v>
      </c>
      <c r="U101" s="41">
        <f>SUM(R101:R106)-SUM(S101:S106)</f>
        <v>1058.109999999986</v>
      </c>
    </row>
    <row r="102" spans="1:61" x14ac:dyDescent="0.25">
      <c r="A102" s="25">
        <v>58874</v>
      </c>
      <c r="B102" s="31" t="s">
        <v>20</v>
      </c>
      <c r="C102" s="140">
        <v>45187</v>
      </c>
      <c r="D102" s="40">
        <v>12</v>
      </c>
      <c r="E102" s="28">
        <v>69682</v>
      </c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28"/>
      <c r="Q102" s="28"/>
      <c r="R102" s="97">
        <f>E102</f>
        <v>69682</v>
      </c>
      <c r="S102" s="41">
        <v>69682</v>
      </c>
      <c r="T102" s="47" t="s">
        <v>73</v>
      </c>
      <c r="U102" s="41"/>
    </row>
    <row r="103" spans="1:61" x14ac:dyDescent="0.25">
      <c r="A103" s="25">
        <v>58874</v>
      </c>
      <c r="B103" s="31" t="s">
        <v>229</v>
      </c>
      <c r="C103" s="140">
        <v>45173</v>
      </c>
      <c r="D103" s="40">
        <v>20</v>
      </c>
      <c r="E103" s="28">
        <v>450780</v>
      </c>
      <c r="F103" s="46">
        <v>83938</v>
      </c>
      <c r="G103" s="46">
        <f>ROUND(E103-F103,)</f>
        <v>366842</v>
      </c>
      <c r="H103" s="46">
        <f>ROUND(G103*18%,)</f>
        <v>66032</v>
      </c>
      <c r="I103" s="46">
        <f>G103+H103</f>
        <v>432874</v>
      </c>
      <c r="J103" s="46">
        <f>G103*1%</f>
        <v>3668.42</v>
      </c>
      <c r="K103" s="46">
        <f>ROUND(G103*5%,)</f>
        <v>18342</v>
      </c>
      <c r="L103" s="46">
        <v>0</v>
      </c>
      <c r="M103" s="46"/>
      <c r="N103" s="46">
        <v>0</v>
      </c>
      <c r="O103" s="98">
        <f>H103</f>
        <v>66032</v>
      </c>
      <c r="P103" s="28"/>
      <c r="Q103" s="28"/>
      <c r="R103" s="30">
        <f>I103-J103-K103-L103-N103-O103-P103-Q103</f>
        <v>344831.58</v>
      </c>
      <c r="S103" s="41">
        <v>344836</v>
      </c>
      <c r="T103" s="47" t="s">
        <v>74</v>
      </c>
      <c r="U103" s="41"/>
    </row>
    <row r="104" spans="1:61" x14ac:dyDescent="0.25">
      <c r="A104" s="25">
        <v>58874</v>
      </c>
      <c r="B104" s="31" t="s">
        <v>20</v>
      </c>
      <c r="C104" s="140">
        <v>45210</v>
      </c>
      <c r="D104" s="40">
        <v>20</v>
      </c>
      <c r="E104" s="28">
        <v>66032</v>
      </c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28"/>
      <c r="Q104" s="28"/>
      <c r="R104" s="97">
        <f>E104</f>
        <v>66032</v>
      </c>
      <c r="S104" s="41">
        <v>66032</v>
      </c>
      <c r="T104" s="47" t="s">
        <v>75</v>
      </c>
      <c r="U104" s="41"/>
    </row>
    <row r="105" spans="1:61" x14ac:dyDescent="0.25">
      <c r="A105" s="25">
        <v>58874</v>
      </c>
      <c r="B105" s="31" t="s">
        <v>229</v>
      </c>
      <c r="C105" s="140">
        <v>45299</v>
      </c>
      <c r="D105" s="40">
        <v>53</v>
      </c>
      <c r="E105" s="28">
        <v>49516</v>
      </c>
      <c r="F105" s="46"/>
      <c r="G105" s="46">
        <f>ROUND(E105-F105,)</f>
        <v>49516</v>
      </c>
      <c r="H105" s="46">
        <f>ROUND(G105*18%,)</f>
        <v>8913</v>
      </c>
      <c r="I105" s="46">
        <f>G105+H105</f>
        <v>58429</v>
      </c>
      <c r="J105" s="46">
        <f>G105*1%</f>
        <v>495.16</v>
      </c>
      <c r="K105" s="46">
        <f>ROUND(G105*5%,)</f>
        <v>2476</v>
      </c>
      <c r="L105" s="46"/>
      <c r="M105" s="46">
        <f>G105*M6</f>
        <v>4951.6000000000004</v>
      </c>
      <c r="N105" s="46">
        <f>G105*N6</f>
        <v>4951.6000000000004</v>
      </c>
      <c r="O105" s="98">
        <f>H105</f>
        <v>8913</v>
      </c>
      <c r="P105" s="28"/>
      <c r="Q105" s="28">
        <v>44480</v>
      </c>
      <c r="R105" s="30">
        <f>I105-J105-K105-L105-M105-N105-O105-P105-Q105</f>
        <v>-7838.3600000000006</v>
      </c>
      <c r="S105" s="41"/>
      <c r="T105" s="47"/>
      <c r="U105" s="41"/>
    </row>
    <row r="106" spans="1:61" x14ac:dyDescent="0.25">
      <c r="A106" s="25">
        <v>58874</v>
      </c>
      <c r="B106" s="31" t="s">
        <v>20</v>
      </c>
      <c r="C106" s="140"/>
      <c r="D106" s="40">
        <v>53</v>
      </c>
      <c r="E106" s="28">
        <f>O105</f>
        <v>8913</v>
      </c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28"/>
      <c r="Q106" s="28"/>
      <c r="R106" s="97">
        <f>E106</f>
        <v>8913</v>
      </c>
      <c r="S106" s="31"/>
      <c r="T106" s="47"/>
      <c r="U106" s="31"/>
    </row>
    <row r="107" spans="1:61" s="24" customFormat="1" x14ac:dyDescent="0.25">
      <c r="A107" s="33">
        <v>59350</v>
      </c>
      <c r="B107" s="34"/>
      <c r="C107" s="139"/>
      <c r="D107" s="35"/>
      <c r="E107" s="36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8"/>
      <c r="S107" s="34"/>
      <c r="T107" s="39"/>
      <c r="U107" s="34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x14ac:dyDescent="0.25">
      <c r="A108" s="25">
        <v>59350</v>
      </c>
      <c r="B108" s="49" t="s">
        <v>76</v>
      </c>
      <c r="C108" s="141">
        <v>45160</v>
      </c>
      <c r="D108" s="45">
        <v>17</v>
      </c>
      <c r="E108" s="46">
        <v>18000</v>
      </c>
      <c r="F108" s="46">
        <v>0</v>
      </c>
      <c r="G108" s="46">
        <f>ROUND(E108-F108,)</f>
        <v>18000</v>
      </c>
      <c r="H108" s="46">
        <f>ROUND(G108*18%,)</f>
        <v>3240</v>
      </c>
      <c r="I108" s="46">
        <f>G108+H108</f>
        <v>21240</v>
      </c>
      <c r="J108" s="46">
        <f>G108*1%</f>
        <v>180</v>
      </c>
      <c r="K108" s="46">
        <f>ROUND(G108*5%,)</f>
        <v>900</v>
      </c>
      <c r="L108" s="46">
        <v>0</v>
      </c>
      <c r="M108" s="46"/>
      <c r="N108" s="46">
        <v>0</v>
      </c>
      <c r="O108" s="98">
        <f>H108</f>
        <v>3240</v>
      </c>
      <c r="P108" s="28"/>
      <c r="Q108" s="28"/>
      <c r="R108" s="30">
        <f>I108-J108-K108-L108-N108-O108-P108-Q108</f>
        <v>16920</v>
      </c>
      <c r="S108" s="31">
        <v>16920</v>
      </c>
      <c r="T108" s="47" t="s">
        <v>77</v>
      </c>
      <c r="U108" s="31">
        <f>SUM(R108:R109)-SUM(S108:S109)</f>
        <v>0</v>
      </c>
    </row>
    <row r="109" spans="1:61" x14ac:dyDescent="0.25">
      <c r="A109" s="25">
        <v>59350</v>
      </c>
      <c r="B109" s="49"/>
      <c r="C109" s="141"/>
      <c r="D109" s="45">
        <v>17</v>
      </c>
      <c r="E109" s="46">
        <f>O108</f>
        <v>3240</v>
      </c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28"/>
      <c r="Q109" s="28"/>
      <c r="R109" s="97">
        <f>E109</f>
        <v>3240</v>
      </c>
      <c r="S109" s="31">
        <v>3240</v>
      </c>
      <c r="T109" s="47" t="s">
        <v>139</v>
      </c>
      <c r="U109" s="31"/>
    </row>
    <row r="110" spans="1:61" s="24" customFormat="1" x14ac:dyDescent="0.25">
      <c r="A110" s="33">
        <v>59292</v>
      </c>
      <c r="B110" s="34"/>
      <c r="C110" s="139"/>
      <c r="D110" s="35"/>
      <c r="E110" s="36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8"/>
      <c r="S110" s="34"/>
      <c r="T110" s="39"/>
      <c r="U110" s="34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x14ac:dyDescent="0.25">
      <c r="A111" s="25">
        <v>59292</v>
      </c>
      <c r="B111" s="49" t="s">
        <v>78</v>
      </c>
      <c r="C111" s="141">
        <v>45189</v>
      </c>
      <c r="D111" s="45">
        <v>23</v>
      </c>
      <c r="E111" s="46">
        <v>75198</v>
      </c>
      <c r="F111" s="46">
        <v>0</v>
      </c>
      <c r="G111" s="46">
        <f>ROUND(E111-F111,)</f>
        <v>75198</v>
      </c>
      <c r="H111" s="46">
        <f>ROUND(G111*18%,)</f>
        <v>13536</v>
      </c>
      <c r="I111" s="46">
        <f>G111+H111</f>
        <v>88734</v>
      </c>
      <c r="J111" s="46">
        <f>G111*1%</f>
        <v>751.98</v>
      </c>
      <c r="K111" s="46">
        <f>ROUND(G111*5%,)</f>
        <v>3760</v>
      </c>
      <c r="L111" s="46">
        <v>0</v>
      </c>
      <c r="M111" s="46"/>
      <c r="N111" s="46">
        <v>0</v>
      </c>
      <c r="O111" s="98">
        <f>H111</f>
        <v>13536</v>
      </c>
      <c r="P111" s="28"/>
      <c r="Q111" s="28"/>
      <c r="R111" s="30">
        <f>I111-J111-K111-L111-N111-O111-P111-Q111</f>
        <v>70686.02</v>
      </c>
      <c r="S111" s="31">
        <v>70685</v>
      </c>
      <c r="T111" s="47" t="s">
        <v>79</v>
      </c>
      <c r="U111" s="31">
        <f>SUM(R111:R113)-SUM(S111:S113)</f>
        <v>2.0200000000040745</v>
      </c>
    </row>
    <row r="112" spans="1:61" x14ac:dyDescent="0.25">
      <c r="A112" s="25">
        <v>59292</v>
      </c>
      <c r="B112" s="49" t="s">
        <v>20</v>
      </c>
      <c r="C112" s="141">
        <v>45210</v>
      </c>
      <c r="D112" s="45">
        <v>23</v>
      </c>
      <c r="E112" s="46">
        <f>H111</f>
        <v>13536</v>
      </c>
      <c r="F112" s="28"/>
      <c r="G112" s="46">
        <v>0</v>
      </c>
      <c r="H112" s="46">
        <v>0</v>
      </c>
      <c r="I112" s="46">
        <f>H112+G112</f>
        <v>0</v>
      </c>
      <c r="J112" s="46">
        <v>0</v>
      </c>
      <c r="K112" s="46">
        <v>0</v>
      </c>
      <c r="L112" s="46">
        <f>K112</f>
        <v>0</v>
      </c>
      <c r="M112" s="46">
        <v>0</v>
      </c>
      <c r="N112" s="46"/>
      <c r="O112" s="46">
        <f>I112-J112-K112-L112-M112-N112</f>
        <v>0</v>
      </c>
      <c r="P112" s="28"/>
      <c r="Q112" s="28"/>
      <c r="R112" s="97">
        <f>E112</f>
        <v>13536</v>
      </c>
      <c r="S112" s="31">
        <v>13535</v>
      </c>
      <c r="T112" s="47" t="s">
        <v>80</v>
      </c>
      <c r="U112" s="31"/>
    </row>
    <row r="113" spans="1:61" x14ac:dyDescent="0.15">
      <c r="A113" s="25">
        <v>59292</v>
      </c>
      <c r="B113" s="49"/>
      <c r="C113" s="141"/>
      <c r="D113" s="45"/>
      <c r="E113" s="46"/>
      <c r="F113" s="28"/>
      <c r="G113" s="46"/>
      <c r="H113" s="46"/>
      <c r="I113" s="46"/>
      <c r="J113" s="46"/>
      <c r="K113" s="46"/>
      <c r="L113" s="46"/>
      <c r="M113" s="46"/>
      <c r="N113" s="46"/>
      <c r="O113" s="46"/>
      <c r="P113" s="28"/>
      <c r="Q113" s="28"/>
      <c r="R113" s="30"/>
      <c r="S113" s="31"/>
      <c r="T113" s="52"/>
      <c r="U113" s="31"/>
    </row>
    <row r="114" spans="1:61" s="24" customFormat="1" x14ac:dyDescent="0.25">
      <c r="A114" s="33">
        <v>59176</v>
      </c>
      <c r="B114" s="34"/>
      <c r="C114" s="139"/>
      <c r="D114" s="35"/>
      <c r="E114" s="36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8"/>
      <c r="S114" s="34"/>
      <c r="T114" s="39"/>
      <c r="U114" s="34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1:61" x14ac:dyDescent="0.25">
      <c r="A115" s="25">
        <v>59176</v>
      </c>
      <c r="B115" s="49" t="s">
        <v>81</v>
      </c>
      <c r="C115" s="141">
        <v>45200</v>
      </c>
      <c r="D115" s="45">
        <v>29</v>
      </c>
      <c r="E115" s="46">
        <v>190500</v>
      </c>
      <c r="F115" s="46">
        <v>0</v>
      </c>
      <c r="G115" s="46">
        <f>ROUND(E115-F115,)</f>
        <v>190500</v>
      </c>
      <c r="H115" s="46">
        <f>ROUND(G115*18%,)</f>
        <v>34290</v>
      </c>
      <c r="I115" s="46">
        <f>G115+H115</f>
        <v>224790</v>
      </c>
      <c r="J115" s="46">
        <f>G115*1%</f>
        <v>1905</v>
      </c>
      <c r="K115" s="46">
        <f>ROUND(G115*5%,)</f>
        <v>9525</v>
      </c>
      <c r="L115" s="46">
        <v>0</v>
      </c>
      <c r="M115" s="46">
        <v>0</v>
      </c>
      <c r="N115" s="46">
        <v>0</v>
      </c>
      <c r="O115" s="98">
        <f>H115</f>
        <v>34290</v>
      </c>
      <c r="P115" s="28"/>
      <c r="Q115" s="28">
        <v>30520</v>
      </c>
      <c r="R115" s="30">
        <f>I115-J115-K115-L115-M115-N115-O115-P115-Q115</f>
        <v>148550</v>
      </c>
      <c r="S115" s="31">
        <v>99000</v>
      </c>
      <c r="T115" s="32" t="s">
        <v>82</v>
      </c>
      <c r="U115" s="31">
        <f>SUM(R115:R119)-SUM(S115:S119)</f>
        <v>0.5</v>
      </c>
    </row>
    <row r="116" spans="1:61" x14ac:dyDescent="0.25">
      <c r="A116" s="25">
        <v>59176</v>
      </c>
      <c r="B116" s="49" t="s">
        <v>20</v>
      </c>
      <c r="C116" s="141">
        <v>45245</v>
      </c>
      <c r="D116" s="45">
        <v>29</v>
      </c>
      <c r="E116" s="46">
        <f>H115</f>
        <v>34290</v>
      </c>
      <c r="F116" s="28"/>
      <c r="G116" s="46"/>
      <c r="H116" s="46"/>
      <c r="I116" s="46"/>
      <c r="J116" s="46"/>
      <c r="K116" s="46"/>
      <c r="L116" s="46"/>
      <c r="M116" s="46"/>
      <c r="N116" s="46"/>
      <c r="O116" s="46"/>
      <c r="P116" s="28"/>
      <c r="Q116" s="28"/>
      <c r="R116" s="97">
        <f>E116</f>
        <v>34290</v>
      </c>
      <c r="S116" s="31">
        <v>49550</v>
      </c>
      <c r="T116" s="32" t="s">
        <v>83</v>
      </c>
      <c r="U116" s="31"/>
    </row>
    <row r="117" spans="1:61" ht="30" x14ac:dyDescent="0.25">
      <c r="A117" s="25">
        <v>59176</v>
      </c>
      <c r="B117" s="49" t="s">
        <v>193</v>
      </c>
      <c r="C117" s="141">
        <v>45285</v>
      </c>
      <c r="D117" s="45">
        <v>47</v>
      </c>
      <c r="E117" s="46">
        <v>133350</v>
      </c>
      <c r="F117" s="46">
        <v>0</v>
      </c>
      <c r="G117" s="46">
        <f>ROUND(E117-F117,)</f>
        <v>133350</v>
      </c>
      <c r="H117" s="46">
        <f>ROUND(G117*18%,)</f>
        <v>24003</v>
      </c>
      <c r="I117" s="46">
        <f>G117+H117</f>
        <v>157353</v>
      </c>
      <c r="J117" s="46">
        <f>G117*1%</f>
        <v>1333.5</v>
      </c>
      <c r="K117" s="46">
        <f>ROUND(G117*5%,)</f>
        <v>6668</v>
      </c>
      <c r="L117" s="46">
        <v>0</v>
      </c>
      <c r="M117" s="46">
        <v>0</v>
      </c>
      <c r="N117" s="46">
        <v>0</v>
      </c>
      <c r="O117" s="98">
        <f>H117</f>
        <v>24003</v>
      </c>
      <c r="P117" s="28"/>
      <c r="Q117" s="28"/>
      <c r="R117" s="30">
        <f>I117-J117-K117-L117-M117-N117-O117-P117-Q117</f>
        <v>125348.5</v>
      </c>
      <c r="S117" s="31">
        <v>34290</v>
      </c>
      <c r="T117" s="32" t="s">
        <v>84</v>
      </c>
      <c r="U117" s="31"/>
    </row>
    <row r="118" spans="1:61" x14ac:dyDescent="0.25">
      <c r="A118" s="25">
        <v>59176</v>
      </c>
      <c r="B118" s="49" t="s">
        <v>20</v>
      </c>
      <c r="C118" s="141"/>
      <c r="D118" s="45">
        <v>47</v>
      </c>
      <c r="E118" s="46">
        <f>O117</f>
        <v>24003</v>
      </c>
      <c r="F118" s="28"/>
      <c r="G118" s="46"/>
      <c r="H118" s="46"/>
      <c r="I118" s="46"/>
      <c r="J118" s="46"/>
      <c r="K118" s="46"/>
      <c r="L118" s="46"/>
      <c r="M118" s="46"/>
      <c r="N118" s="46"/>
      <c r="O118" s="46"/>
      <c r="P118" s="28"/>
      <c r="Q118" s="28"/>
      <c r="R118" s="97">
        <f>E118</f>
        <v>24003</v>
      </c>
      <c r="S118" s="31">
        <v>125348</v>
      </c>
      <c r="T118" s="32" t="s">
        <v>85</v>
      </c>
      <c r="U118" s="31"/>
    </row>
    <row r="119" spans="1:61" x14ac:dyDescent="0.25">
      <c r="A119" s="25">
        <v>59176</v>
      </c>
      <c r="B119" s="49"/>
      <c r="C119" s="141"/>
      <c r="D119" s="45"/>
      <c r="E119" s="46"/>
      <c r="F119" s="28"/>
      <c r="G119" s="46"/>
      <c r="H119" s="46"/>
      <c r="I119" s="46"/>
      <c r="J119" s="46"/>
      <c r="K119" s="46"/>
      <c r="L119" s="46"/>
      <c r="M119" s="46"/>
      <c r="N119" s="46"/>
      <c r="O119" s="46"/>
      <c r="P119" s="28"/>
      <c r="Q119" s="28"/>
      <c r="R119" s="30"/>
      <c r="S119" s="31">
        <v>24003</v>
      </c>
      <c r="T119" s="32" t="s">
        <v>86</v>
      </c>
      <c r="U119" s="31"/>
    </row>
    <row r="120" spans="1:61" s="24" customFormat="1" x14ac:dyDescent="0.25">
      <c r="A120" s="33">
        <v>59177</v>
      </c>
      <c r="B120" s="34"/>
      <c r="C120" s="139"/>
      <c r="D120" s="35"/>
      <c r="E120" s="36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8"/>
      <c r="S120" s="34"/>
      <c r="T120" s="39"/>
      <c r="U120" s="34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1:61" ht="30" x14ac:dyDescent="0.25">
      <c r="A121" s="25">
        <v>59177</v>
      </c>
      <c r="B121" s="49" t="s">
        <v>193</v>
      </c>
      <c r="C121" s="141">
        <v>45200</v>
      </c>
      <c r="D121" s="45">
        <v>30</v>
      </c>
      <c r="E121" s="46">
        <v>190500</v>
      </c>
      <c r="F121" s="46">
        <v>0</v>
      </c>
      <c r="G121" s="46">
        <f>ROUND(E121-F121,)</f>
        <v>190500</v>
      </c>
      <c r="H121" s="46">
        <f>ROUND(G121*18%,)</f>
        <v>34290</v>
      </c>
      <c r="I121" s="46">
        <f>G121+H121</f>
        <v>224790</v>
      </c>
      <c r="J121" s="46">
        <f>G121*1%</f>
        <v>1905</v>
      </c>
      <c r="K121" s="46">
        <f>ROUND(G121*5%,)</f>
        <v>9525</v>
      </c>
      <c r="L121" s="46">
        <v>0</v>
      </c>
      <c r="M121" s="46">
        <v>0</v>
      </c>
      <c r="N121" s="46">
        <v>0</v>
      </c>
      <c r="O121" s="98">
        <f>H121</f>
        <v>34290</v>
      </c>
      <c r="P121" s="28"/>
      <c r="Q121" s="28"/>
      <c r="R121" s="30">
        <f>I121-J121-K121-L121-M121-N121-O121-P121-Q121</f>
        <v>179070</v>
      </c>
      <c r="S121" s="31">
        <v>179070</v>
      </c>
      <c r="T121" s="32" t="s">
        <v>87</v>
      </c>
      <c r="U121" s="31">
        <f>SUM(R121:R124)-SUM(S121:S124)</f>
        <v>0.5</v>
      </c>
    </row>
    <row r="122" spans="1:61" x14ac:dyDescent="0.25">
      <c r="A122" s="25">
        <v>59177</v>
      </c>
      <c r="B122" s="49" t="s">
        <v>20</v>
      </c>
      <c r="C122" s="141">
        <v>45245</v>
      </c>
      <c r="D122" s="45">
        <v>30</v>
      </c>
      <c r="E122" s="46">
        <v>34290</v>
      </c>
      <c r="F122" s="28"/>
      <c r="G122" s="46"/>
      <c r="H122" s="46"/>
      <c r="I122" s="46"/>
      <c r="J122" s="46"/>
      <c r="K122" s="46"/>
      <c r="L122" s="46"/>
      <c r="M122" s="46"/>
      <c r="N122" s="46"/>
      <c r="O122" s="46"/>
      <c r="P122" s="28"/>
      <c r="Q122" s="28"/>
      <c r="R122" s="97">
        <f>E122</f>
        <v>34290</v>
      </c>
      <c r="S122" s="31">
        <v>34290</v>
      </c>
      <c r="T122" s="32" t="s">
        <v>88</v>
      </c>
      <c r="U122" s="31"/>
    </row>
    <row r="123" spans="1:61" ht="30" x14ac:dyDescent="0.25">
      <c r="A123" s="25">
        <v>59177</v>
      </c>
      <c r="B123" s="49" t="s">
        <v>193</v>
      </c>
      <c r="C123" s="141">
        <v>45285</v>
      </c>
      <c r="D123" s="45">
        <v>46</v>
      </c>
      <c r="E123" s="46">
        <v>133350</v>
      </c>
      <c r="F123" s="46">
        <v>0</v>
      </c>
      <c r="G123" s="46">
        <f>ROUND(E123-F123,)</f>
        <v>133350</v>
      </c>
      <c r="H123" s="46">
        <f>ROUND(G123*18%,)</f>
        <v>24003</v>
      </c>
      <c r="I123" s="46">
        <f>G123+H123</f>
        <v>157353</v>
      </c>
      <c r="J123" s="46">
        <f>G123*1%</f>
        <v>1333.5</v>
      </c>
      <c r="K123" s="46">
        <f>ROUND(G123*5%,)</f>
        <v>6668</v>
      </c>
      <c r="L123" s="46">
        <v>0</v>
      </c>
      <c r="M123" s="46">
        <v>0</v>
      </c>
      <c r="N123" s="46">
        <v>0</v>
      </c>
      <c r="O123" s="98">
        <f>H123</f>
        <v>24003</v>
      </c>
      <c r="P123" s="28"/>
      <c r="Q123" s="28"/>
      <c r="R123" s="30">
        <f>I123-J123-K123-L123-M123-N123-O123-P123-Q123</f>
        <v>125348.5</v>
      </c>
      <c r="S123" s="31">
        <v>125348</v>
      </c>
      <c r="T123" s="32" t="s">
        <v>89</v>
      </c>
      <c r="U123" s="31"/>
    </row>
    <row r="124" spans="1:61" x14ac:dyDescent="0.25">
      <c r="A124" s="25">
        <v>59177</v>
      </c>
      <c r="B124" s="49" t="s">
        <v>20</v>
      </c>
      <c r="C124" s="141"/>
      <c r="D124" s="45">
        <v>46</v>
      </c>
      <c r="E124" s="46">
        <f>O123</f>
        <v>24003</v>
      </c>
      <c r="F124" s="28"/>
      <c r="G124" s="46"/>
      <c r="H124" s="46"/>
      <c r="I124" s="46"/>
      <c r="J124" s="46"/>
      <c r="K124" s="46"/>
      <c r="L124" s="46"/>
      <c r="M124" s="46"/>
      <c r="N124" s="46"/>
      <c r="O124" s="46"/>
      <c r="P124" s="28"/>
      <c r="Q124" s="28"/>
      <c r="R124" s="97">
        <f>E124</f>
        <v>24003</v>
      </c>
      <c r="S124" s="31">
        <v>24003</v>
      </c>
      <c r="T124" s="32" t="s">
        <v>90</v>
      </c>
      <c r="U124" s="31"/>
    </row>
    <row r="125" spans="1:61" s="24" customFormat="1" x14ac:dyDescent="0.25">
      <c r="A125" s="33">
        <v>59178</v>
      </c>
      <c r="B125" s="34"/>
      <c r="C125" s="139"/>
      <c r="D125" s="35"/>
      <c r="E125" s="36" t="s">
        <v>91</v>
      </c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8"/>
      <c r="S125" s="34"/>
      <c r="T125" s="39"/>
      <c r="U125" s="34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ht="30" x14ac:dyDescent="0.25">
      <c r="A126" s="25">
        <v>59178</v>
      </c>
      <c r="B126" s="49" t="s">
        <v>230</v>
      </c>
      <c r="C126" s="141">
        <v>45200</v>
      </c>
      <c r="D126" s="45">
        <v>26</v>
      </c>
      <c r="E126" s="46">
        <v>243977</v>
      </c>
      <c r="F126" s="46">
        <v>0</v>
      </c>
      <c r="G126" s="46">
        <f>ROUND(E126-F126,)</f>
        <v>243977</v>
      </c>
      <c r="H126" s="46">
        <f>ROUND(G126*18%,)</f>
        <v>43916</v>
      </c>
      <c r="I126" s="46">
        <f>G126+H126</f>
        <v>287893</v>
      </c>
      <c r="J126" s="46">
        <f>G126*1%</f>
        <v>2439.77</v>
      </c>
      <c r="K126" s="46">
        <f>ROUND(G126*5%,)</f>
        <v>12199</v>
      </c>
      <c r="L126" s="46">
        <v>0</v>
      </c>
      <c r="M126" s="46">
        <f>G126*10%</f>
        <v>24397.7</v>
      </c>
      <c r="N126" s="46">
        <f>G126*10%</f>
        <v>24397.7</v>
      </c>
      <c r="O126" s="98">
        <f>H126</f>
        <v>43916</v>
      </c>
      <c r="P126" s="28"/>
      <c r="Q126" s="28"/>
      <c r="R126" s="30">
        <f>I126-J126-K126-L126-M126-N126-O126-P126-Q126</f>
        <v>180542.82999999996</v>
      </c>
      <c r="S126" s="31">
        <v>180541</v>
      </c>
      <c r="T126" s="32" t="s">
        <v>92</v>
      </c>
      <c r="U126" s="31">
        <f>SUM(R126:R129)-SUM(S126:S129)</f>
        <v>20720.309999999939</v>
      </c>
    </row>
    <row r="127" spans="1:61" x14ac:dyDescent="0.25">
      <c r="A127" s="25">
        <v>59178</v>
      </c>
      <c r="B127" s="53" t="s">
        <v>56</v>
      </c>
      <c r="C127" s="138">
        <v>45245</v>
      </c>
      <c r="D127" s="44">
        <v>26</v>
      </c>
      <c r="E127" s="28">
        <v>43915.68</v>
      </c>
      <c r="F127" s="28"/>
      <c r="G127" s="28"/>
      <c r="H127" s="28"/>
      <c r="I127" s="28"/>
      <c r="J127" s="28"/>
      <c r="K127" s="28"/>
      <c r="L127" s="28"/>
      <c r="M127" s="28"/>
      <c r="N127" s="28"/>
      <c r="O127" s="30"/>
      <c r="P127" s="28"/>
      <c r="Q127" s="28"/>
      <c r="R127" s="97">
        <f>E127</f>
        <v>43915.68</v>
      </c>
      <c r="S127" s="31">
        <v>43916</v>
      </c>
      <c r="T127" s="32" t="s">
        <v>93</v>
      </c>
      <c r="U127" s="31"/>
    </row>
    <row r="128" spans="1:61" ht="30" x14ac:dyDescent="0.25">
      <c r="A128" s="25">
        <v>59178</v>
      </c>
      <c r="B128" s="49" t="s">
        <v>230</v>
      </c>
      <c r="C128" s="141">
        <v>45615</v>
      </c>
      <c r="D128" s="45">
        <v>2</v>
      </c>
      <c r="E128" s="46">
        <v>22520</v>
      </c>
      <c r="F128" s="46">
        <v>0</v>
      </c>
      <c r="G128" s="46">
        <f>ROUND(E128-F128,)</f>
        <v>22520</v>
      </c>
      <c r="H128" s="46">
        <f>ROUND(G128*18%,)</f>
        <v>4054</v>
      </c>
      <c r="I128" s="46">
        <f>G128+H128</f>
        <v>26574</v>
      </c>
      <c r="J128" s="46">
        <f>G128*1%</f>
        <v>225.20000000000002</v>
      </c>
      <c r="K128" s="46">
        <f>ROUND(G128*5%,)</f>
        <v>1126</v>
      </c>
      <c r="L128" s="46">
        <v>0</v>
      </c>
      <c r="M128" s="46">
        <f>G128*10%</f>
        <v>2252</v>
      </c>
      <c r="N128" s="46">
        <f>G128*10%</f>
        <v>2252</v>
      </c>
      <c r="O128" s="98">
        <f>H128</f>
        <v>4054</v>
      </c>
      <c r="P128" s="28"/>
      <c r="Q128" s="28"/>
      <c r="R128" s="30">
        <f>I128-J128-K128-L128-M128-N128-O128-P128-Q128</f>
        <v>16664.8</v>
      </c>
      <c r="S128" s="31"/>
      <c r="T128" s="32"/>
      <c r="U128" s="31"/>
    </row>
    <row r="129" spans="1:61" x14ac:dyDescent="0.25">
      <c r="A129" s="25">
        <v>59178</v>
      </c>
      <c r="B129" s="53" t="s">
        <v>56</v>
      </c>
      <c r="C129" s="138">
        <v>0</v>
      </c>
      <c r="D129" s="44">
        <v>2</v>
      </c>
      <c r="E129" s="28">
        <f>O128</f>
        <v>4054</v>
      </c>
      <c r="F129" s="28"/>
      <c r="G129" s="28"/>
      <c r="H129" s="28"/>
      <c r="I129" s="28"/>
      <c r="J129" s="28"/>
      <c r="K129" s="28"/>
      <c r="L129" s="28"/>
      <c r="M129" s="28"/>
      <c r="N129" s="28"/>
      <c r="O129" s="30"/>
      <c r="P129" s="28"/>
      <c r="Q129" s="28"/>
      <c r="R129" s="97">
        <f>E129</f>
        <v>4054</v>
      </c>
      <c r="S129" s="31"/>
      <c r="T129" s="32"/>
      <c r="U129" s="31"/>
    </row>
    <row r="130" spans="1:61" s="24" customFormat="1" x14ac:dyDescent="0.25">
      <c r="A130" s="33">
        <v>59179</v>
      </c>
      <c r="B130" s="34"/>
      <c r="C130" s="139"/>
      <c r="D130" s="35"/>
      <c r="E130" s="36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8"/>
      <c r="S130" s="34"/>
      <c r="T130" s="39"/>
      <c r="U130" s="34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x14ac:dyDescent="0.25">
      <c r="A131" s="25">
        <v>59179</v>
      </c>
      <c r="B131" s="49" t="s">
        <v>231</v>
      </c>
      <c r="C131" s="141">
        <v>45200</v>
      </c>
      <c r="D131" s="45">
        <v>28</v>
      </c>
      <c r="E131" s="46">
        <v>190500</v>
      </c>
      <c r="F131" s="46">
        <v>0</v>
      </c>
      <c r="G131" s="46">
        <f>ROUND(E131-F131,)</f>
        <v>190500</v>
      </c>
      <c r="H131" s="46">
        <f>ROUND(G131*18%,)</f>
        <v>34290</v>
      </c>
      <c r="I131" s="46">
        <f>G131+H131</f>
        <v>224790</v>
      </c>
      <c r="J131" s="46">
        <f>G131*1%</f>
        <v>1905</v>
      </c>
      <c r="K131" s="46">
        <f>ROUND(G131*5%,)</f>
        <v>9525</v>
      </c>
      <c r="L131" s="46">
        <v>0</v>
      </c>
      <c r="M131" s="46"/>
      <c r="N131" s="46"/>
      <c r="O131" s="98">
        <f>H131</f>
        <v>34290</v>
      </c>
      <c r="P131" s="28"/>
      <c r="Q131" s="28">
        <v>0</v>
      </c>
      <c r="R131" s="30">
        <f>I131-J131-K131-L131-M131-N131-O131-P131-Q131</f>
        <v>179070</v>
      </c>
      <c r="S131" s="31">
        <v>99000</v>
      </c>
      <c r="T131" s="47" t="s">
        <v>94</v>
      </c>
      <c r="U131" s="31">
        <f>SUM(R131:R136)-SUM(S131:S136)</f>
        <v>1</v>
      </c>
    </row>
    <row r="132" spans="1:61" x14ac:dyDescent="0.25">
      <c r="A132" s="25">
        <v>59179</v>
      </c>
      <c r="B132" s="49"/>
      <c r="C132" s="141">
        <v>45229</v>
      </c>
      <c r="D132" s="45">
        <v>41</v>
      </c>
      <c r="E132" s="46">
        <v>133350</v>
      </c>
      <c r="F132" s="46"/>
      <c r="G132" s="46">
        <f>E132-F132</f>
        <v>133350</v>
      </c>
      <c r="H132" s="46">
        <f>G132*18%</f>
        <v>24003</v>
      </c>
      <c r="I132" s="46">
        <f>G132+H132</f>
        <v>157353</v>
      </c>
      <c r="J132" s="46">
        <f>G132*1%</f>
        <v>1333.5</v>
      </c>
      <c r="K132" s="46">
        <f>G132*5%</f>
        <v>6667.5</v>
      </c>
      <c r="L132" s="46"/>
      <c r="M132" s="46"/>
      <c r="N132" s="46"/>
      <c r="O132" s="98">
        <f>H132</f>
        <v>24003</v>
      </c>
      <c r="P132" s="46"/>
      <c r="Q132" s="46"/>
      <c r="R132" s="30">
        <f>I132-J132-K132-O132</f>
        <v>125349</v>
      </c>
      <c r="S132" s="31">
        <v>80070</v>
      </c>
      <c r="T132" s="47" t="s">
        <v>95</v>
      </c>
      <c r="U132" s="31"/>
    </row>
    <row r="133" spans="1:61" x14ac:dyDescent="0.25">
      <c r="A133" s="25">
        <v>59179</v>
      </c>
      <c r="B133" s="49" t="s">
        <v>56</v>
      </c>
      <c r="C133" s="141">
        <v>45245</v>
      </c>
      <c r="D133" s="45">
        <v>28</v>
      </c>
      <c r="E133" s="46">
        <v>34290</v>
      </c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28"/>
      <c r="Q133" s="28"/>
      <c r="R133" s="97">
        <f>E133</f>
        <v>34290</v>
      </c>
      <c r="S133" s="31">
        <v>125348</v>
      </c>
      <c r="T133" s="47" t="s">
        <v>96</v>
      </c>
      <c r="U133" s="31"/>
    </row>
    <row r="134" spans="1:61" x14ac:dyDescent="0.25">
      <c r="A134" s="25">
        <v>59179</v>
      </c>
      <c r="B134" s="49" t="s">
        <v>56</v>
      </c>
      <c r="C134" s="141">
        <v>45245</v>
      </c>
      <c r="D134" s="45">
        <v>41</v>
      </c>
      <c r="E134" s="46">
        <v>24003</v>
      </c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28"/>
      <c r="Q134" s="28"/>
      <c r="R134" s="97">
        <f>E134</f>
        <v>24003</v>
      </c>
      <c r="S134" s="31">
        <v>58293</v>
      </c>
      <c r="T134" s="47" t="s">
        <v>97</v>
      </c>
      <c r="U134" s="31"/>
    </row>
    <row r="135" spans="1:61" x14ac:dyDescent="0.25">
      <c r="A135" s="25">
        <v>59179</v>
      </c>
      <c r="B135" s="49"/>
      <c r="C135" s="141"/>
      <c r="D135" s="45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28"/>
      <c r="Q135" s="28"/>
      <c r="R135" s="30"/>
      <c r="S135" s="31"/>
      <c r="T135" s="47"/>
      <c r="U135" s="31"/>
    </row>
    <row r="136" spans="1:61" x14ac:dyDescent="0.25">
      <c r="A136" s="25">
        <v>59179</v>
      </c>
      <c r="B136" s="49"/>
      <c r="C136" s="141"/>
      <c r="D136" s="45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28"/>
      <c r="Q136" s="28"/>
      <c r="R136" s="30"/>
      <c r="S136" s="31"/>
      <c r="T136" s="47"/>
      <c r="U136" s="31"/>
    </row>
    <row r="137" spans="1:61" s="24" customFormat="1" x14ac:dyDescent="0.25">
      <c r="A137" s="33">
        <v>59108</v>
      </c>
      <c r="B137" s="34"/>
      <c r="C137" s="139"/>
      <c r="D137" s="35"/>
      <c r="E137" s="36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8"/>
      <c r="S137" s="34"/>
      <c r="T137" s="39"/>
      <c r="U137" s="34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1:61" x14ac:dyDescent="0.25">
      <c r="A138" s="33">
        <v>59108</v>
      </c>
      <c r="B138" s="49" t="s">
        <v>98</v>
      </c>
      <c r="C138" s="141">
        <v>45218</v>
      </c>
      <c r="D138" s="45">
        <v>32</v>
      </c>
      <c r="E138" s="46">
        <v>11000</v>
      </c>
      <c r="F138" s="46">
        <v>0</v>
      </c>
      <c r="G138" s="46">
        <f>ROUND(E138-F138,)</f>
        <v>11000</v>
      </c>
      <c r="H138" s="46">
        <f>ROUND(G138*18%,)</f>
        <v>1980</v>
      </c>
      <c r="I138" s="46">
        <f>G138+H138</f>
        <v>12980</v>
      </c>
      <c r="J138" s="46">
        <f>G138*1%</f>
        <v>110</v>
      </c>
      <c r="K138" s="46">
        <f>ROUND(G138*5%,)</f>
        <v>550</v>
      </c>
      <c r="L138" s="46">
        <v>0</v>
      </c>
      <c r="M138" s="46"/>
      <c r="N138" s="46"/>
      <c r="O138" s="98">
        <f>H138</f>
        <v>1980</v>
      </c>
      <c r="P138" s="28"/>
      <c r="Q138" s="28">
        <v>0</v>
      </c>
      <c r="R138" s="30">
        <f>I138-J138-K138-L138-M138-N138-O138-P138-Q138</f>
        <v>10340</v>
      </c>
      <c r="S138" s="31">
        <v>99000</v>
      </c>
      <c r="T138" s="47" t="s">
        <v>99</v>
      </c>
      <c r="U138" s="31">
        <f>SUM(R137:R142)-SUM(S137:S142)</f>
        <v>0</v>
      </c>
    </row>
    <row r="139" spans="1:61" x14ac:dyDescent="0.25">
      <c r="A139" s="33">
        <v>59108</v>
      </c>
      <c r="B139" s="49" t="s">
        <v>98</v>
      </c>
      <c r="C139" s="141">
        <v>45218</v>
      </c>
      <c r="D139" s="45">
        <v>33</v>
      </c>
      <c r="E139" s="46">
        <v>296000</v>
      </c>
      <c r="F139" s="46">
        <v>0</v>
      </c>
      <c r="G139" s="46">
        <f>ROUND(E139-F139,)</f>
        <v>296000</v>
      </c>
      <c r="H139" s="46">
        <f>ROUND(G139*18%,)</f>
        <v>53280</v>
      </c>
      <c r="I139" s="46">
        <f>G139+H139</f>
        <v>349280</v>
      </c>
      <c r="J139" s="46">
        <f>G139*1%</f>
        <v>2960</v>
      </c>
      <c r="K139" s="46">
        <f>ROUND(G139*5%,)</f>
        <v>14800</v>
      </c>
      <c r="L139" s="46">
        <v>0</v>
      </c>
      <c r="M139" s="46"/>
      <c r="N139" s="46"/>
      <c r="O139" s="98">
        <f>H139</f>
        <v>53280</v>
      </c>
      <c r="P139" s="28"/>
      <c r="Q139" s="28">
        <v>0</v>
      </c>
      <c r="R139" s="30">
        <f>I139-J139-K139-L139-M139-N139-O139-P139-Q139</f>
        <v>278240</v>
      </c>
      <c r="S139" s="31">
        <v>189580</v>
      </c>
      <c r="T139" s="47" t="s">
        <v>100</v>
      </c>
      <c r="U139" s="31"/>
    </row>
    <row r="140" spans="1:61" x14ac:dyDescent="0.25">
      <c r="A140" s="33">
        <v>59108</v>
      </c>
      <c r="B140" s="49" t="s">
        <v>56</v>
      </c>
      <c r="C140" s="141">
        <v>45245</v>
      </c>
      <c r="D140" s="45" t="s">
        <v>101</v>
      </c>
      <c r="E140" s="46">
        <v>55260</v>
      </c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28"/>
      <c r="Q140" s="28"/>
      <c r="R140" s="97">
        <f>E140</f>
        <v>55260</v>
      </c>
      <c r="S140" s="55">
        <v>55260</v>
      </c>
      <c r="T140" s="47" t="s">
        <v>102</v>
      </c>
      <c r="U140" s="55"/>
    </row>
    <row r="141" spans="1:61" x14ac:dyDescent="0.25">
      <c r="A141" s="33">
        <v>59108</v>
      </c>
      <c r="B141" s="49"/>
      <c r="C141" s="141"/>
      <c r="D141" s="45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28"/>
      <c r="Q141" s="28"/>
      <c r="R141" s="54"/>
      <c r="S141" s="55"/>
      <c r="T141" s="47"/>
      <c r="U141" s="55"/>
    </row>
    <row r="142" spans="1:61" x14ac:dyDescent="0.25">
      <c r="A142" s="33">
        <v>59108</v>
      </c>
      <c r="B142" s="49"/>
      <c r="C142" s="141"/>
      <c r="D142" s="45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28"/>
      <c r="Q142" s="28"/>
      <c r="R142" s="30"/>
      <c r="S142" s="31"/>
      <c r="T142" s="47"/>
      <c r="U142" s="31"/>
    </row>
    <row r="143" spans="1:61" s="24" customFormat="1" x14ac:dyDescent="0.25">
      <c r="A143" s="33">
        <v>59680</v>
      </c>
      <c r="B143" s="34"/>
      <c r="C143" s="139"/>
      <c r="D143" s="35"/>
      <c r="E143" s="36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8"/>
      <c r="S143" s="34"/>
      <c r="T143" s="39"/>
      <c r="U143" s="34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ht="30" x14ac:dyDescent="0.25">
      <c r="A144" s="33">
        <v>59680</v>
      </c>
      <c r="B144" s="49" t="s">
        <v>232</v>
      </c>
      <c r="C144" s="141">
        <v>45204</v>
      </c>
      <c r="D144" s="45">
        <v>27</v>
      </c>
      <c r="E144" s="46">
        <v>190500</v>
      </c>
      <c r="F144" s="46">
        <v>0</v>
      </c>
      <c r="G144" s="46">
        <f>ROUND(E144-F144,)</f>
        <v>190500</v>
      </c>
      <c r="H144" s="46">
        <f>ROUND(G144*18%,)</f>
        <v>34290</v>
      </c>
      <c r="I144" s="46">
        <f>G144+H144</f>
        <v>224790</v>
      </c>
      <c r="J144" s="46">
        <f>G144*1%</f>
        <v>1905</v>
      </c>
      <c r="K144" s="46">
        <f>ROUND(G144*5%,)</f>
        <v>9525</v>
      </c>
      <c r="L144" s="46">
        <v>0</v>
      </c>
      <c r="M144" s="46"/>
      <c r="N144" s="46"/>
      <c r="O144" s="98">
        <f>H144</f>
        <v>34290</v>
      </c>
      <c r="P144" s="28"/>
      <c r="Q144" s="28">
        <v>0</v>
      </c>
      <c r="R144" s="30">
        <f>I144-J144-K144-L144-M144-N144-O144-P144-Q144</f>
        <v>179070</v>
      </c>
      <c r="S144" s="31">
        <v>179070</v>
      </c>
      <c r="T144" s="47" t="s">
        <v>103</v>
      </c>
      <c r="U144" s="31">
        <f>SUM(R144:R149)-SUM(S144:S149)</f>
        <v>64009</v>
      </c>
    </row>
    <row r="145" spans="1:61" x14ac:dyDescent="0.25">
      <c r="A145" s="33">
        <v>59680</v>
      </c>
      <c r="B145" s="49"/>
      <c r="C145" s="142">
        <v>45229</v>
      </c>
      <c r="D145" s="58">
        <v>40</v>
      </c>
      <c r="E145" s="46">
        <v>133350</v>
      </c>
      <c r="F145" s="46"/>
      <c r="G145" s="46">
        <f>E145-F145</f>
        <v>133350</v>
      </c>
      <c r="H145" s="46">
        <f>G145*18%</f>
        <v>24003</v>
      </c>
      <c r="I145" s="46">
        <f>G145+H145</f>
        <v>157353</v>
      </c>
      <c r="J145" s="46">
        <f>G145*1%</f>
        <v>1333.5</v>
      </c>
      <c r="K145" s="46">
        <f>G145*5%</f>
        <v>6667.5</v>
      </c>
      <c r="L145" s="46"/>
      <c r="M145" s="46"/>
      <c r="N145" s="46"/>
      <c r="O145" s="98">
        <f>H145</f>
        <v>24003</v>
      </c>
      <c r="P145" s="46"/>
      <c r="Q145" s="46"/>
      <c r="R145" s="30">
        <f>I145-J145-K145-O145</f>
        <v>125349</v>
      </c>
      <c r="S145" s="59">
        <v>125348</v>
      </c>
      <c r="T145" s="47" t="s">
        <v>104</v>
      </c>
      <c r="U145" s="59"/>
    </row>
    <row r="146" spans="1:61" x14ac:dyDescent="0.25">
      <c r="A146" s="33">
        <v>59680</v>
      </c>
      <c r="B146" s="57" t="s">
        <v>56</v>
      </c>
      <c r="C146" s="142">
        <v>45245</v>
      </c>
      <c r="D146" s="58">
        <v>27</v>
      </c>
      <c r="E146" s="60">
        <v>34290</v>
      </c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1"/>
      <c r="Q146" s="61"/>
      <c r="R146" s="99">
        <f>E146</f>
        <v>34290</v>
      </c>
      <c r="S146" s="59">
        <v>58293</v>
      </c>
      <c r="T146" s="63" t="s">
        <v>105</v>
      </c>
      <c r="U146" s="59"/>
    </row>
    <row r="147" spans="1:61" x14ac:dyDescent="0.25">
      <c r="A147" s="33">
        <v>59680</v>
      </c>
      <c r="B147" s="57" t="s">
        <v>56</v>
      </c>
      <c r="C147" s="142">
        <v>45245</v>
      </c>
      <c r="D147" s="58">
        <v>40</v>
      </c>
      <c r="E147" s="60">
        <v>24003</v>
      </c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1"/>
      <c r="Q147" s="61"/>
      <c r="R147" s="99">
        <f>E147</f>
        <v>24003</v>
      </c>
      <c r="S147" s="59"/>
      <c r="T147" s="63"/>
      <c r="U147" s="59"/>
    </row>
    <row r="148" spans="1:61" x14ac:dyDescent="0.25">
      <c r="A148" s="33">
        <v>59680</v>
      </c>
      <c r="B148" s="49"/>
      <c r="C148" s="142">
        <v>45695</v>
      </c>
      <c r="D148" s="58">
        <v>14</v>
      </c>
      <c r="E148" s="46">
        <v>57150</v>
      </c>
      <c r="F148" s="46"/>
      <c r="G148" s="46">
        <f>E148-F148</f>
        <v>57150</v>
      </c>
      <c r="H148" s="46">
        <f>G148*18%</f>
        <v>10287</v>
      </c>
      <c r="I148" s="46">
        <f>G148+H148</f>
        <v>67437</v>
      </c>
      <c r="J148" s="46">
        <f>G148*1%</f>
        <v>571.5</v>
      </c>
      <c r="K148" s="46">
        <f>G148*5%</f>
        <v>2857.5</v>
      </c>
      <c r="L148" s="46"/>
      <c r="M148" s="46"/>
      <c r="N148" s="46"/>
      <c r="O148" s="98">
        <f>H148</f>
        <v>10287</v>
      </c>
      <c r="P148" s="46"/>
      <c r="Q148" s="46"/>
      <c r="R148" s="30">
        <f>I148-J148-K148-O148</f>
        <v>53721</v>
      </c>
      <c r="S148" s="59"/>
      <c r="T148" s="63"/>
      <c r="U148" s="59"/>
    </row>
    <row r="149" spans="1:61" x14ac:dyDescent="0.25">
      <c r="A149" s="33">
        <v>59680</v>
      </c>
      <c r="B149" s="49" t="s">
        <v>56</v>
      </c>
      <c r="C149" s="142"/>
      <c r="D149" s="58">
        <v>14</v>
      </c>
      <c r="E149" s="46">
        <f>O148</f>
        <v>10287</v>
      </c>
      <c r="F149" s="46"/>
      <c r="G149" s="46"/>
      <c r="H149" s="46"/>
      <c r="I149" s="46"/>
      <c r="J149" s="46"/>
      <c r="K149" s="46"/>
      <c r="L149" s="46"/>
      <c r="M149" s="46"/>
      <c r="N149" s="46"/>
      <c r="O149" s="104"/>
      <c r="P149" s="46"/>
      <c r="Q149" s="46"/>
      <c r="R149" s="97">
        <f>E149</f>
        <v>10287</v>
      </c>
      <c r="S149" s="59"/>
      <c r="T149" s="63"/>
      <c r="U149" s="59"/>
    </row>
    <row r="150" spans="1:61" s="24" customFormat="1" x14ac:dyDescent="0.25">
      <c r="A150" s="33">
        <v>59908</v>
      </c>
      <c r="B150" s="34"/>
      <c r="C150" s="139"/>
      <c r="D150" s="35"/>
      <c r="E150" s="36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8"/>
      <c r="S150" s="34"/>
      <c r="T150" s="39"/>
      <c r="U150" s="34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ht="30" x14ac:dyDescent="0.25">
      <c r="A151" s="56">
        <v>59908</v>
      </c>
      <c r="B151" s="57" t="s">
        <v>194</v>
      </c>
      <c r="C151" s="142">
        <v>45229</v>
      </c>
      <c r="D151" s="58">
        <v>34</v>
      </c>
      <c r="E151" s="60">
        <v>438900</v>
      </c>
      <c r="F151" s="60"/>
      <c r="G151" s="60">
        <f>E151-F151</f>
        <v>438900</v>
      </c>
      <c r="H151" s="60">
        <f>G151*18%</f>
        <v>79002</v>
      </c>
      <c r="I151" s="60">
        <f>G151+H151</f>
        <v>517902</v>
      </c>
      <c r="J151" s="60">
        <f>G151*1%</f>
        <v>4389</v>
      </c>
      <c r="K151" s="60">
        <f>G151*5%</f>
        <v>21945</v>
      </c>
      <c r="L151" s="60"/>
      <c r="M151" s="60"/>
      <c r="N151" s="60"/>
      <c r="O151" s="100">
        <f>H151</f>
        <v>79002</v>
      </c>
      <c r="P151" s="61">
        <f>G151*10%</f>
        <v>43890</v>
      </c>
      <c r="Q151" s="61"/>
      <c r="R151" s="62">
        <f>I151-J151-K151-O151-P151</f>
        <v>368676</v>
      </c>
      <c r="S151" s="59">
        <v>99000</v>
      </c>
      <c r="T151" s="63" t="s">
        <v>106</v>
      </c>
      <c r="U151" s="59">
        <f>SUM(R151:R154)-SUM(S151:S154)</f>
        <v>0</v>
      </c>
    </row>
    <row r="152" spans="1:61" x14ac:dyDescent="0.25">
      <c r="A152" s="56">
        <v>59908</v>
      </c>
      <c r="B152" s="57" t="s">
        <v>56</v>
      </c>
      <c r="C152" s="142">
        <v>45245</v>
      </c>
      <c r="D152" s="58">
        <v>34</v>
      </c>
      <c r="E152" s="60">
        <v>79002</v>
      </c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1"/>
      <c r="Q152" s="61"/>
      <c r="R152" s="99">
        <f>E152</f>
        <v>79002</v>
      </c>
      <c r="S152" s="59">
        <v>69300</v>
      </c>
      <c r="T152" s="63" t="s">
        <v>107</v>
      </c>
      <c r="U152" s="59"/>
    </row>
    <row r="153" spans="1:61" x14ac:dyDescent="0.25">
      <c r="A153" s="56">
        <v>59908</v>
      </c>
      <c r="B153" s="57"/>
      <c r="C153" s="142"/>
      <c r="D153" s="58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1"/>
      <c r="Q153" s="61"/>
      <c r="R153" s="62"/>
      <c r="S153" s="59">
        <v>200376</v>
      </c>
      <c r="T153" s="63" t="s">
        <v>108</v>
      </c>
      <c r="U153" s="59"/>
    </row>
    <row r="154" spans="1:61" x14ac:dyDescent="0.25">
      <c r="A154" s="56">
        <v>59908</v>
      </c>
      <c r="B154" s="57"/>
      <c r="C154" s="142"/>
      <c r="D154" s="58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1"/>
      <c r="Q154" s="61"/>
      <c r="R154" s="62"/>
      <c r="S154" s="59">
        <v>79002</v>
      </c>
      <c r="T154" s="63" t="s">
        <v>109</v>
      </c>
      <c r="U154" s="59"/>
    </row>
    <row r="155" spans="1:61" s="24" customFormat="1" x14ac:dyDescent="0.25">
      <c r="A155" s="64">
        <v>60323</v>
      </c>
      <c r="B155" s="65"/>
      <c r="C155" s="143"/>
      <c r="D155" s="66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8"/>
      <c r="Q155" s="68"/>
      <c r="R155" s="69"/>
      <c r="S155" s="70"/>
      <c r="T155" s="71"/>
      <c r="U155" s="70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1:61" x14ac:dyDescent="0.25">
      <c r="A156" s="64">
        <v>60323</v>
      </c>
      <c r="B156" s="57" t="s">
        <v>110</v>
      </c>
      <c r="C156" s="142">
        <v>45255</v>
      </c>
      <c r="D156" s="58">
        <v>42</v>
      </c>
      <c r="E156" s="60">
        <v>395500</v>
      </c>
      <c r="F156" s="60">
        <v>27468</v>
      </c>
      <c r="G156" s="60">
        <f>E156-F156</f>
        <v>368032</v>
      </c>
      <c r="H156" s="60">
        <f>G156*18%</f>
        <v>66245.759999999995</v>
      </c>
      <c r="I156" s="60">
        <f>G156+H156</f>
        <v>434277.76</v>
      </c>
      <c r="J156" s="60">
        <f>G156*1%</f>
        <v>3680.32</v>
      </c>
      <c r="K156" s="60">
        <f>G156*5%</f>
        <v>18401.600000000002</v>
      </c>
      <c r="L156" s="60"/>
      <c r="M156" s="60"/>
      <c r="N156" s="60"/>
      <c r="O156" s="100">
        <f>H156</f>
        <v>66245.759999999995</v>
      </c>
      <c r="P156" s="61">
        <f>G156*10%</f>
        <v>36803.200000000004</v>
      </c>
      <c r="Q156" s="61"/>
      <c r="R156" s="62">
        <f>I156-J156-K156-O156-P156</f>
        <v>309146.88</v>
      </c>
      <c r="S156" s="59">
        <v>309147</v>
      </c>
      <c r="T156" s="63" t="s">
        <v>111</v>
      </c>
      <c r="U156" s="59">
        <f>SUM(R156:R158)-SUM(S156:S158)</f>
        <v>-0.11999999999534339</v>
      </c>
    </row>
    <row r="157" spans="1:61" x14ac:dyDescent="0.25">
      <c r="A157" s="64">
        <v>60323</v>
      </c>
      <c r="B157" s="57" t="s">
        <v>56</v>
      </c>
      <c r="C157" s="142">
        <v>45276</v>
      </c>
      <c r="D157" s="58">
        <v>42</v>
      </c>
      <c r="E157" s="60">
        <v>66246</v>
      </c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1"/>
      <c r="Q157" s="61"/>
      <c r="R157" s="99">
        <f>E157</f>
        <v>66246</v>
      </c>
      <c r="S157" s="59">
        <v>66246</v>
      </c>
      <c r="T157" s="63" t="s">
        <v>112</v>
      </c>
      <c r="U157" s="59"/>
    </row>
    <row r="158" spans="1:61" x14ac:dyDescent="0.25">
      <c r="A158" s="64">
        <v>60323</v>
      </c>
      <c r="B158" s="57"/>
      <c r="C158" s="142"/>
      <c r="D158" s="58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1"/>
      <c r="Q158" s="61"/>
      <c r="R158" s="62"/>
      <c r="S158" s="59"/>
      <c r="T158" s="63"/>
      <c r="U158" s="59"/>
    </row>
    <row r="159" spans="1:61" x14ac:dyDescent="0.25">
      <c r="A159" s="64">
        <v>60690</v>
      </c>
      <c r="B159" s="65"/>
      <c r="C159" s="143"/>
      <c r="D159" s="66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8"/>
      <c r="Q159" s="68"/>
      <c r="R159" s="69"/>
      <c r="S159" s="70"/>
      <c r="T159" s="71"/>
      <c r="U159" s="70"/>
    </row>
    <row r="160" spans="1:61" ht="30" x14ac:dyDescent="0.25">
      <c r="A160" s="64">
        <v>60690</v>
      </c>
      <c r="B160" s="49" t="s">
        <v>233</v>
      </c>
      <c r="C160" s="141">
        <v>45267</v>
      </c>
      <c r="D160" s="45">
        <v>44</v>
      </c>
      <c r="E160" s="46">
        <v>185000</v>
      </c>
      <c r="F160" s="46">
        <v>30520</v>
      </c>
      <c r="G160" s="60">
        <f>E160-F160</f>
        <v>154480</v>
      </c>
      <c r="H160" s="60">
        <f>G160*18%</f>
        <v>27806.399999999998</v>
      </c>
      <c r="I160" s="60">
        <f>G160+H160</f>
        <v>182286.4</v>
      </c>
      <c r="J160" s="60">
        <f>G160*1%</f>
        <v>1544.8</v>
      </c>
      <c r="K160" s="60">
        <f>G160*5%</f>
        <v>7724</v>
      </c>
      <c r="L160" s="60"/>
      <c r="M160" s="60"/>
      <c r="N160" s="60"/>
      <c r="O160" s="100">
        <f>H160</f>
        <v>27806.399999999998</v>
      </c>
      <c r="P160" s="61">
        <v>0</v>
      </c>
      <c r="Q160" s="61"/>
      <c r="R160" s="62">
        <f>I160-J160-K160-O160-P160</f>
        <v>145211.20000000001</v>
      </c>
      <c r="S160" s="31">
        <v>132070</v>
      </c>
      <c r="T160" s="47" t="s">
        <v>113</v>
      </c>
      <c r="U160" s="31">
        <f>SUM(R160:R163)-SUM(S160:S163)</f>
        <v>0.59999999997671694</v>
      </c>
    </row>
    <row r="161" spans="1:61" ht="30" x14ac:dyDescent="0.25">
      <c r="A161" s="64">
        <v>60690</v>
      </c>
      <c r="B161" s="49" t="s">
        <v>233</v>
      </c>
      <c r="C161" s="141">
        <v>45290</v>
      </c>
      <c r="D161" s="45">
        <v>48</v>
      </c>
      <c r="E161" s="46">
        <v>129500</v>
      </c>
      <c r="F161" s="46">
        <v>0</v>
      </c>
      <c r="G161" s="60">
        <f>E161-F161</f>
        <v>129500</v>
      </c>
      <c r="H161" s="60">
        <f>G161*18%</f>
        <v>23310</v>
      </c>
      <c r="I161" s="60">
        <f>G161+H161</f>
        <v>152810</v>
      </c>
      <c r="J161" s="60">
        <f>G161*1%</f>
        <v>1295</v>
      </c>
      <c r="K161" s="60">
        <f>G161*5%</f>
        <v>6475</v>
      </c>
      <c r="L161" s="60"/>
      <c r="M161" s="60"/>
      <c r="N161" s="60"/>
      <c r="O161" s="100">
        <f>H161</f>
        <v>23310</v>
      </c>
      <c r="P161" s="61">
        <v>0</v>
      </c>
      <c r="Q161" s="61"/>
      <c r="R161" s="62">
        <f>I161-J161-K161-O161-P161</f>
        <v>121730</v>
      </c>
      <c r="S161" s="31">
        <v>145211</v>
      </c>
      <c r="T161" s="47" t="s">
        <v>114</v>
      </c>
      <c r="U161" s="31"/>
    </row>
    <row r="162" spans="1:61" ht="30" x14ac:dyDescent="0.25">
      <c r="A162" s="64">
        <v>60690</v>
      </c>
      <c r="B162" s="49" t="s">
        <v>233</v>
      </c>
      <c r="C162" s="141">
        <v>45291</v>
      </c>
      <c r="D162" s="45">
        <v>49</v>
      </c>
      <c r="E162" s="46">
        <v>11000</v>
      </c>
      <c r="F162" s="46">
        <v>0</v>
      </c>
      <c r="G162" s="60">
        <f>E162-F162</f>
        <v>11000</v>
      </c>
      <c r="H162" s="60">
        <f>G162*18%</f>
        <v>1980</v>
      </c>
      <c r="I162" s="60">
        <f>G162+H162</f>
        <v>12980</v>
      </c>
      <c r="J162" s="60">
        <f>G162*1%</f>
        <v>110</v>
      </c>
      <c r="K162" s="60">
        <f>G162*5%</f>
        <v>550</v>
      </c>
      <c r="L162" s="60"/>
      <c r="M162" s="60"/>
      <c r="N162" s="60"/>
      <c r="O162" s="100">
        <f>H162</f>
        <v>1980</v>
      </c>
      <c r="P162" s="61">
        <v>0</v>
      </c>
      <c r="Q162" s="61"/>
      <c r="R162" s="62">
        <f>I162-J162-K162-O162-P162</f>
        <v>10340</v>
      </c>
      <c r="S162" s="31">
        <v>53096</v>
      </c>
      <c r="T162" s="47" t="s">
        <v>115</v>
      </c>
      <c r="U162" s="31"/>
    </row>
    <row r="163" spans="1:61" x14ac:dyDescent="0.25">
      <c r="A163" s="64">
        <v>60690</v>
      </c>
      <c r="B163" s="49" t="s">
        <v>116</v>
      </c>
      <c r="C163" s="141"/>
      <c r="D163" s="45" t="s">
        <v>117</v>
      </c>
      <c r="E163" s="46">
        <f>O160+O161+O162</f>
        <v>53096.399999999994</v>
      </c>
      <c r="F163" s="46">
        <v>0</v>
      </c>
      <c r="G163" s="60"/>
      <c r="H163" s="60"/>
      <c r="I163" s="60"/>
      <c r="J163" s="60"/>
      <c r="K163" s="60"/>
      <c r="L163" s="60"/>
      <c r="M163" s="60"/>
      <c r="N163" s="60"/>
      <c r="O163" s="60"/>
      <c r="P163" s="61">
        <v>0</v>
      </c>
      <c r="Q163" s="61"/>
      <c r="R163" s="99">
        <f>E163</f>
        <v>53096.399999999994</v>
      </c>
      <c r="S163" s="59"/>
      <c r="T163" s="47"/>
      <c r="U163" s="59"/>
    </row>
    <row r="164" spans="1:61" x14ac:dyDescent="0.25">
      <c r="A164" s="64">
        <v>60690</v>
      </c>
      <c r="B164" s="57"/>
      <c r="C164" s="142"/>
      <c r="D164" s="58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1"/>
      <c r="Q164" s="61"/>
      <c r="R164" s="62"/>
      <c r="S164" s="59"/>
      <c r="T164" s="63"/>
      <c r="U164" s="59"/>
    </row>
    <row r="165" spans="1:61" s="24" customFormat="1" x14ac:dyDescent="0.25">
      <c r="A165" s="64">
        <v>60691</v>
      </c>
      <c r="B165" s="65"/>
      <c r="C165" s="143"/>
      <c r="D165" s="66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8"/>
      <c r="Q165" s="68"/>
      <c r="R165" s="69"/>
      <c r="S165" s="70"/>
      <c r="T165" s="71"/>
      <c r="U165" s="70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1:61" s="72" customFormat="1" ht="30" x14ac:dyDescent="0.25">
      <c r="A166" s="64">
        <v>60691</v>
      </c>
      <c r="B166" s="49" t="s">
        <v>118</v>
      </c>
      <c r="C166" s="141">
        <v>45267</v>
      </c>
      <c r="D166" s="45">
        <v>43</v>
      </c>
      <c r="E166" s="46">
        <v>376600</v>
      </c>
      <c r="F166" s="46">
        <v>22890</v>
      </c>
      <c r="G166" s="60">
        <f>E166-F166</f>
        <v>353710</v>
      </c>
      <c r="H166" s="60">
        <f>G166*18%</f>
        <v>63667.799999999996</v>
      </c>
      <c r="I166" s="60">
        <f>G166+H166</f>
        <v>417377.8</v>
      </c>
      <c r="J166" s="60">
        <f>G166*1%</f>
        <v>3537.1</v>
      </c>
      <c r="K166" s="60">
        <f>G166*5%</f>
        <v>17685.5</v>
      </c>
      <c r="L166" s="60"/>
      <c r="M166" s="60"/>
      <c r="N166" s="60"/>
      <c r="O166" s="100">
        <f>H166</f>
        <v>63667.799999999996</v>
      </c>
      <c r="P166" s="61">
        <f>G166*10%</f>
        <v>35371</v>
      </c>
      <c r="Q166" s="61"/>
      <c r="R166" s="62">
        <f>I166-J166-K166-O166-P166</f>
        <v>297116.40000000002</v>
      </c>
      <c r="S166" s="31">
        <v>297116</v>
      </c>
      <c r="T166" s="47" t="s">
        <v>119</v>
      </c>
      <c r="U166" s="31">
        <f>SUM(R166:R167)-SUM(S166:S167)</f>
        <v>0.20000000001164153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spans="1:61" s="72" customFormat="1" x14ac:dyDescent="0.25">
      <c r="A167" s="64">
        <v>60691</v>
      </c>
      <c r="B167" s="49" t="s">
        <v>20</v>
      </c>
      <c r="C167" s="141"/>
      <c r="D167" s="45">
        <v>43</v>
      </c>
      <c r="E167" s="46">
        <f>O166</f>
        <v>63667.799999999996</v>
      </c>
      <c r="F167" s="46"/>
      <c r="G167" s="60"/>
      <c r="H167" s="60"/>
      <c r="I167" s="60"/>
      <c r="J167" s="60"/>
      <c r="K167" s="60"/>
      <c r="L167" s="60"/>
      <c r="M167" s="60"/>
      <c r="N167" s="60"/>
      <c r="O167" s="60"/>
      <c r="P167" s="61"/>
      <c r="Q167" s="61"/>
      <c r="R167" s="99">
        <f>E167</f>
        <v>63667.799999999996</v>
      </c>
      <c r="S167" s="31">
        <v>63668</v>
      </c>
      <c r="T167" s="47" t="s">
        <v>120</v>
      </c>
      <c r="U167" s="31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spans="1:61" s="77" customFormat="1" x14ac:dyDescent="0.25">
      <c r="A168" s="33">
        <v>60942</v>
      </c>
      <c r="B168" s="73"/>
      <c r="C168" s="144"/>
      <c r="D168" s="74"/>
      <c r="E168" s="75"/>
      <c r="F168" s="75"/>
      <c r="G168" s="67"/>
      <c r="H168" s="67"/>
      <c r="I168" s="67"/>
      <c r="J168" s="67"/>
      <c r="K168" s="67"/>
      <c r="L168" s="67"/>
      <c r="M168" s="67"/>
      <c r="N168" s="67"/>
      <c r="O168" s="67"/>
      <c r="P168" s="68"/>
      <c r="Q168" s="68"/>
      <c r="R168" s="69"/>
      <c r="S168" s="34"/>
      <c r="T168" s="76"/>
      <c r="U168" s="34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</row>
    <row r="169" spans="1:61" s="72" customFormat="1" ht="30" x14ac:dyDescent="0.25">
      <c r="A169" s="33">
        <v>60942</v>
      </c>
      <c r="B169" s="49" t="s">
        <v>234</v>
      </c>
      <c r="C169" s="141">
        <v>45272</v>
      </c>
      <c r="D169" s="45">
        <v>10</v>
      </c>
      <c r="E169" s="46">
        <v>323850</v>
      </c>
      <c r="F169" s="46">
        <v>0</v>
      </c>
      <c r="G169" s="60">
        <f>E169-F169</f>
        <v>323850</v>
      </c>
      <c r="H169" s="60">
        <f>G169*18%</f>
        <v>58293</v>
      </c>
      <c r="I169" s="60">
        <f>G169+H169</f>
        <v>382143</v>
      </c>
      <c r="J169" s="60">
        <f>G169*1%</f>
        <v>3238.5</v>
      </c>
      <c r="K169" s="60">
        <f>G169*5%</f>
        <v>16192.5</v>
      </c>
      <c r="L169" s="60"/>
      <c r="M169" s="60"/>
      <c r="N169" s="60"/>
      <c r="O169" s="100">
        <f>H169</f>
        <v>58293</v>
      </c>
      <c r="P169" s="61">
        <v>0</v>
      </c>
      <c r="Q169" s="61"/>
      <c r="R169" s="62">
        <f>I169-J169-K169-O169-P169</f>
        <v>304419</v>
      </c>
      <c r="S169" s="31">
        <v>304418</v>
      </c>
      <c r="T169" s="78" t="s">
        <v>121</v>
      </c>
      <c r="U169" s="31">
        <f>SUM(R169:R170)-SUM(S169:S170)</f>
        <v>1</v>
      </c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61" s="79" customFormat="1" x14ac:dyDescent="0.25">
      <c r="A170" s="33">
        <v>60942</v>
      </c>
      <c r="B170" s="49" t="s">
        <v>20</v>
      </c>
      <c r="C170" s="141"/>
      <c r="D170" s="45">
        <v>10</v>
      </c>
      <c r="E170" s="46">
        <f>O169</f>
        <v>58293</v>
      </c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28"/>
      <c r="Q170" s="28"/>
      <c r="R170" s="97">
        <f>E170</f>
        <v>58293</v>
      </c>
      <c r="S170" s="31">
        <v>58293</v>
      </c>
      <c r="T170" s="78" t="s">
        <v>122</v>
      </c>
      <c r="U170" s="31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spans="1:61" s="80" customFormat="1" x14ac:dyDescent="0.25">
      <c r="A171" s="33">
        <v>60997</v>
      </c>
      <c r="B171" s="73"/>
      <c r="C171" s="144"/>
      <c r="D171" s="74"/>
      <c r="E171" s="75"/>
      <c r="F171" s="75"/>
      <c r="G171" s="67"/>
      <c r="H171" s="67"/>
      <c r="I171" s="67"/>
      <c r="J171" s="67"/>
      <c r="K171" s="67"/>
      <c r="L171" s="67"/>
      <c r="M171" s="67"/>
      <c r="N171" s="67"/>
      <c r="O171" s="67"/>
      <c r="P171" s="68"/>
      <c r="Q171" s="68"/>
      <c r="R171" s="69"/>
      <c r="S171" s="34"/>
      <c r="T171" s="76"/>
      <c r="U171" s="34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</row>
    <row r="172" spans="1:61" s="79" customFormat="1" ht="30" x14ac:dyDescent="0.25">
      <c r="A172" s="33">
        <v>60997</v>
      </c>
      <c r="B172" s="49" t="s">
        <v>235</v>
      </c>
      <c r="C172" s="141">
        <v>45273</v>
      </c>
      <c r="D172" s="45">
        <v>45</v>
      </c>
      <c r="E172" s="46">
        <v>459200</v>
      </c>
      <c r="F172" s="46">
        <v>0</v>
      </c>
      <c r="G172" s="60">
        <f>E172-F172</f>
        <v>459200</v>
      </c>
      <c r="H172" s="60">
        <f>G172*18%</f>
        <v>82656</v>
      </c>
      <c r="I172" s="60">
        <f>G172+H172</f>
        <v>541856</v>
      </c>
      <c r="J172" s="60">
        <f>G172*1%</f>
        <v>4592</v>
      </c>
      <c r="K172" s="60">
        <f>G172*5%</f>
        <v>22960</v>
      </c>
      <c r="L172" s="60"/>
      <c r="M172" s="60"/>
      <c r="N172" s="60"/>
      <c r="O172" s="100">
        <f>H172</f>
        <v>82656</v>
      </c>
      <c r="P172" s="61">
        <f>G172*10%</f>
        <v>45920</v>
      </c>
      <c r="Q172" s="61">
        <v>120173</v>
      </c>
      <c r="R172" s="81">
        <f>I172-J172-K172-O172-P172-Q172</f>
        <v>265555</v>
      </c>
      <c r="S172" s="31">
        <v>198000</v>
      </c>
      <c r="T172" s="78" t="s">
        <v>123</v>
      </c>
      <c r="U172" s="31">
        <f>SUM(R172:R175)-SUM(S172:S175)</f>
        <v>-99000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1:61" x14ac:dyDescent="0.25">
      <c r="A173" s="33">
        <v>60997</v>
      </c>
      <c r="B173" s="49" t="s">
        <v>20</v>
      </c>
      <c r="C173" s="141"/>
      <c r="D173" s="45">
        <v>5</v>
      </c>
      <c r="E173" s="46">
        <f>O172</f>
        <v>82656</v>
      </c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28"/>
      <c r="Q173" s="28"/>
      <c r="R173" s="101">
        <f>E173</f>
        <v>82656</v>
      </c>
      <c r="S173" s="31">
        <v>67555</v>
      </c>
      <c r="T173" s="78" t="s">
        <v>124</v>
      </c>
      <c r="U173" s="31"/>
    </row>
    <row r="174" spans="1:61" x14ac:dyDescent="0.25">
      <c r="A174" s="33">
        <v>60997</v>
      </c>
      <c r="B174" s="49"/>
      <c r="C174" s="141"/>
      <c r="D174" s="45"/>
      <c r="E174" s="46"/>
      <c r="F174" s="46"/>
      <c r="G174" s="60"/>
      <c r="H174" s="60"/>
      <c r="I174" s="60"/>
      <c r="J174" s="60"/>
      <c r="K174" s="60"/>
      <c r="L174" s="60"/>
      <c r="M174" s="60"/>
      <c r="N174" s="60"/>
      <c r="O174" s="60"/>
      <c r="P174" s="61"/>
      <c r="Q174" s="61"/>
      <c r="R174" s="62"/>
      <c r="S174" s="31">
        <v>82656</v>
      </c>
      <c r="T174" s="78" t="s">
        <v>125</v>
      </c>
      <c r="U174" s="31"/>
    </row>
    <row r="175" spans="1:61" x14ac:dyDescent="0.25">
      <c r="A175" s="33">
        <v>60997</v>
      </c>
      <c r="B175" s="49"/>
      <c r="C175" s="141"/>
      <c r="D175" s="45"/>
      <c r="E175" s="46"/>
      <c r="F175" s="46"/>
      <c r="G175" s="60"/>
      <c r="H175" s="60"/>
      <c r="I175" s="60"/>
      <c r="J175" s="60"/>
      <c r="K175" s="60"/>
      <c r="L175" s="60"/>
      <c r="M175" s="60"/>
      <c r="N175" s="60"/>
      <c r="O175" s="60"/>
      <c r="P175" s="61"/>
      <c r="Q175" s="61"/>
      <c r="R175" s="62"/>
      <c r="S175" s="31">
        <v>99000</v>
      </c>
      <c r="T175" s="78" t="s">
        <v>147</v>
      </c>
      <c r="U175" s="31"/>
    </row>
    <row r="176" spans="1:61" s="80" customFormat="1" x14ac:dyDescent="0.25">
      <c r="A176" s="33">
        <v>61238</v>
      </c>
      <c r="B176" s="73"/>
      <c r="C176" s="144"/>
      <c r="D176" s="74"/>
      <c r="E176" s="75"/>
      <c r="F176" s="75"/>
      <c r="G176" s="67"/>
      <c r="H176" s="67"/>
      <c r="I176" s="67"/>
      <c r="J176" s="67"/>
      <c r="K176" s="67"/>
      <c r="L176" s="67"/>
      <c r="M176" s="67"/>
      <c r="N176" s="67"/>
      <c r="O176" s="67"/>
      <c r="P176" s="68"/>
      <c r="Q176" s="68"/>
      <c r="R176" s="69"/>
      <c r="S176" s="34"/>
      <c r="T176" s="76"/>
      <c r="U176" s="34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</row>
    <row r="177" spans="1:61" x14ac:dyDescent="0.25">
      <c r="A177" s="33">
        <v>61238</v>
      </c>
      <c r="B177" s="49" t="s">
        <v>236</v>
      </c>
      <c r="C177" s="141">
        <v>45283</v>
      </c>
      <c r="D177" s="45">
        <v>3</v>
      </c>
      <c r="E177" s="46">
        <v>234622</v>
      </c>
      <c r="F177" s="46">
        <v>152600</v>
      </c>
      <c r="G177" s="60">
        <f>E177-F177</f>
        <v>82022</v>
      </c>
      <c r="H177" s="60">
        <f>G177*18%</f>
        <v>14763.96</v>
      </c>
      <c r="I177" s="60">
        <f>G177+H177</f>
        <v>96785.959999999992</v>
      </c>
      <c r="J177" s="60">
        <f>G177*1%</f>
        <v>820.22</v>
      </c>
      <c r="K177" s="60">
        <f>G177*5%</f>
        <v>4101.1000000000004</v>
      </c>
      <c r="L177" s="60"/>
      <c r="M177" s="60">
        <f>G177*10%</f>
        <v>8202.2000000000007</v>
      </c>
      <c r="N177" s="60">
        <f>G177*10%</f>
        <v>8202.2000000000007</v>
      </c>
      <c r="O177" s="100">
        <f>H177</f>
        <v>14763.96</v>
      </c>
      <c r="P177" s="61"/>
      <c r="Q177" s="61"/>
      <c r="R177" s="81">
        <f>I177-SUM(J177:Q177)</f>
        <v>60696.279999999992</v>
      </c>
      <c r="S177" s="31">
        <v>60698</v>
      </c>
      <c r="T177" s="78" t="s">
        <v>148</v>
      </c>
      <c r="U177" s="31">
        <f>SUM(R177:R180)-SUM(S177:S180)</f>
        <v>-2.7600000000093132</v>
      </c>
    </row>
    <row r="178" spans="1:61" x14ac:dyDescent="0.25">
      <c r="A178" s="33">
        <v>61238</v>
      </c>
      <c r="B178" s="49"/>
      <c r="C178" s="141"/>
      <c r="D178" s="45">
        <v>3</v>
      </c>
      <c r="E178" s="46">
        <f>O177</f>
        <v>14763.96</v>
      </c>
      <c r="F178" s="46"/>
      <c r="G178" s="60"/>
      <c r="H178" s="60"/>
      <c r="I178" s="60"/>
      <c r="J178" s="60"/>
      <c r="K178" s="60"/>
      <c r="L178" s="60"/>
      <c r="M178" s="60"/>
      <c r="N178" s="60"/>
      <c r="O178" s="60"/>
      <c r="P178" s="61"/>
      <c r="Q178" s="61"/>
      <c r="R178" s="99">
        <f>E178</f>
        <v>14763.96</v>
      </c>
      <c r="S178" s="31">
        <v>14765</v>
      </c>
      <c r="T178" s="78" t="s">
        <v>149</v>
      </c>
      <c r="U178" s="31"/>
    </row>
    <row r="179" spans="1:61" x14ac:dyDescent="0.25">
      <c r="A179" s="33">
        <v>61238</v>
      </c>
      <c r="B179" s="49"/>
      <c r="C179" s="141"/>
      <c r="D179" s="45"/>
      <c r="E179" s="46"/>
      <c r="F179" s="46"/>
      <c r="G179" s="60"/>
      <c r="H179" s="60"/>
      <c r="I179" s="60"/>
      <c r="J179" s="60"/>
      <c r="K179" s="60"/>
      <c r="L179" s="60"/>
      <c r="M179" s="60"/>
      <c r="N179" s="60"/>
      <c r="O179" s="60"/>
      <c r="P179" s="61"/>
      <c r="Q179" s="61"/>
      <c r="R179" s="62"/>
      <c r="S179" s="31"/>
      <c r="T179" s="78"/>
      <c r="U179" s="31"/>
    </row>
    <row r="180" spans="1:61" x14ac:dyDescent="0.25">
      <c r="A180" s="33">
        <v>61238</v>
      </c>
      <c r="B180" s="49"/>
      <c r="C180" s="141"/>
      <c r="D180" s="45"/>
      <c r="E180" s="46"/>
      <c r="F180" s="46"/>
      <c r="G180" s="60"/>
      <c r="H180" s="60"/>
      <c r="I180" s="60"/>
      <c r="J180" s="60"/>
      <c r="K180" s="60"/>
      <c r="L180" s="60"/>
      <c r="M180" s="60"/>
      <c r="N180" s="60"/>
      <c r="O180" s="60"/>
      <c r="P180" s="61"/>
      <c r="Q180" s="61"/>
      <c r="R180" s="62"/>
      <c r="S180" s="31"/>
      <c r="T180" s="78"/>
      <c r="U180" s="31"/>
    </row>
    <row r="181" spans="1:61" s="24" customFormat="1" x14ac:dyDescent="0.25">
      <c r="A181" s="33">
        <v>61477</v>
      </c>
      <c r="B181" s="73"/>
      <c r="C181" s="144"/>
      <c r="D181" s="74"/>
      <c r="E181" s="75"/>
      <c r="F181" s="75"/>
      <c r="G181" s="67"/>
      <c r="H181" s="67"/>
      <c r="I181" s="67"/>
      <c r="J181" s="67"/>
      <c r="K181" s="67"/>
      <c r="L181" s="67"/>
      <c r="M181" s="67"/>
      <c r="N181" s="67"/>
      <c r="O181" s="67"/>
      <c r="P181" s="68"/>
      <c r="Q181" s="68"/>
      <c r="R181" s="69"/>
      <c r="S181" s="34"/>
      <c r="T181" s="76"/>
      <c r="U181" s="34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</row>
    <row r="182" spans="1:61" ht="30" x14ac:dyDescent="0.25">
      <c r="A182" s="33">
        <v>61477</v>
      </c>
      <c r="B182" s="49" t="s">
        <v>237</v>
      </c>
      <c r="C182" s="141">
        <v>45290</v>
      </c>
      <c r="D182" s="45">
        <v>50</v>
      </c>
      <c r="E182" s="46">
        <v>315000</v>
      </c>
      <c r="F182" s="46">
        <v>120172</v>
      </c>
      <c r="G182" s="60">
        <f>E182-F182</f>
        <v>194828</v>
      </c>
      <c r="H182" s="60">
        <f>G182*18%</f>
        <v>35069.040000000001</v>
      </c>
      <c r="I182" s="60">
        <f>G182+H182</f>
        <v>229897.04</v>
      </c>
      <c r="J182" s="60">
        <f>G182*1%</f>
        <v>1948.28</v>
      </c>
      <c r="K182" s="60">
        <f>G182*5%</f>
        <v>9741.4</v>
      </c>
      <c r="L182" s="60"/>
      <c r="M182" s="60"/>
      <c r="N182" s="60"/>
      <c r="O182" s="100">
        <f>H182</f>
        <v>35069.040000000001</v>
      </c>
      <c r="P182" s="61">
        <f>G182*15%</f>
        <v>29224.2</v>
      </c>
      <c r="Q182" s="61">
        <v>0</v>
      </c>
      <c r="R182" s="81">
        <f>I182-J182-K182-O182-P182-Q182</f>
        <v>153914.12</v>
      </c>
      <c r="S182" s="31">
        <v>153914</v>
      </c>
      <c r="T182" s="78" t="s">
        <v>126</v>
      </c>
      <c r="U182" s="31">
        <f>SUM(R182:R183)-SUM(S182:S183)</f>
        <v>0.16000000000349246</v>
      </c>
    </row>
    <row r="183" spans="1:61" x14ac:dyDescent="0.25">
      <c r="A183" s="33">
        <v>61477</v>
      </c>
      <c r="B183" s="49" t="s">
        <v>20</v>
      </c>
      <c r="C183" s="141"/>
      <c r="D183" s="45">
        <v>50</v>
      </c>
      <c r="E183" s="46">
        <f>O182</f>
        <v>35069.040000000001</v>
      </c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28"/>
      <c r="Q183" s="28"/>
      <c r="R183" s="101">
        <f>E183</f>
        <v>35069.040000000001</v>
      </c>
      <c r="S183" s="31">
        <v>35069</v>
      </c>
      <c r="T183" s="78" t="s">
        <v>127</v>
      </c>
      <c r="U183" s="31"/>
    </row>
    <row r="184" spans="1:61" x14ac:dyDescent="0.25">
      <c r="A184" s="33">
        <v>61477</v>
      </c>
      <c r="B184" s="49"/>
      <c r="C184" s="141"/>
      <c r="D184" s="45"/>
      <c r="E184" s="46"/>
      <c r="F184" s="46"/>
      <c r="G184" s="60"/>
      <c r="H184" s="60"/>
      <c r="I184" s="60"/>
      <c r="J184" s="60"/>
      <c r="K184" s="60"/>
      <c r="L184" s="60"/>
      <c r="M184" s="60"/>
      <c r="N184" s="60"/>
      <c r="O184" s="60"/>
      <c r="P184" s="61"/>
      <c r="Q184" s="61"/>
      <c r="R184" s="112"/>
      <c r="S184" s="31"/>
      <c r="T184" s="78"/>
      <c r="U184" s="31"/>
    </row>
    <row r="185" spans="1:61" s="24" customFormat="1" x14ac:dyDescent="0.25">
      <c r="A185" s="33">
        <v>61706</v>
      </c>
      <c r="B185" s="73"/>
      <c r="C185" s="144"/>
      <c r="D185" s="74"/>
      <c r="E185" s="75"/>
      <c r="F185" s="75"/>
      <c r="G185" s="67"/>
      <c r="H185" s="67"/>
      <c r="I185" s="67"/>
      <c r="J185" s="67"/>
      <c r="K185" s="67"/>
      <c r="L185" s="67"/>
      <c r="M185" s="67"/>
      <c r="N185" s="67"/>
      <c r="O185" s="67"/>
      <c r="P185" s="68"/>
      <c r="Q185" s="68"/>
      <c r="R185" s="69"/>
      <c r="S185" s="34"/>
      <c r="T185" s="76"/>
      <c r="U185" s="34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</row>
    <row r="186" spans="1:61" ht="30" x14ac:dyDescent="0.25">
      <c r="A186" s="33">
        <v>61706</v>
      </c>
      <c r="B186" s="49" t="s">
        <v>238</v>
      </c>
      <c r="C186" s="141">
        <v>45299</v>
      </c>
      <c r="D186" s="45">
        <v>52</v>
      </c>
      <c r="E186" s="46">
        <v>424200</v>
      </c>
      <c r="F186" s="46">
        <v>19075</v>
      </c>
      <c r="G186" s="60">
        <f>E186-F186</f>
        <v>405125</v>
      </c>
      <c r="H186" s="60">
        <f>G186*18%</f>
        <v>72922.5</v>
      </c>
      <c r="I186" s="60">
        <f>G186+H186</f>
        <v>478047.5</v>
      </c>
      <c r="J186" s="60">
        <f>G186*1%</f>
        <v>4051.25</v>
      </c>
      <c r="K186" s="60">
        <f>G186*5%</f>
        <v>20256.25</v>
      </c>
      <c r="L186" s="60"/>
      <c r="M186" s="60"/>
      <c r="N186" s="60"/>
      <c r="O186" s="100">
        <f>H186</f>
        <v>72922.5</v>
      </c>
      <c r="P186" s="61">
        <f>G186*15%</f>
        <v>60768.75</v>
      </c>
      <c r="Q186" s="61">
        <v>0</v>
      </c>
      <c r="R186" s="81">
        <f>I186-J186-K186-O186-P186-Q186</f>
        <v>320048.75</v>
      </c>
      <c r="S186" s="31">
        <v>320049</v>
      </c>
      <c r="T186" s="78" t="s">
        <v>128</v>
      </c>
      <c r="U186" s="31">
        <f>SUM(R186:R188)-SUM(S186:S188)</f>
        <v>-0.75</v>
      </c>
    </row>
    <row r="187" spans="1:61" x14ac:dyDescent="0.25">
      <c r="A187" s="33">
        <v>61706</v>
      </c>
      <c r="B187" s="49" t="s">
        <v>20</v>
      </c>
      <c r="C187" s="141"/>
      <c r="D187" s="45">
        <v>52</v>
      </c>
      <c r="E187" s="46">
        <f>O186</f>
        <v>72922.5</v>
      </c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28"/>
      <c r="Q187" s="28"/>
      <c r="R187" s="101">
        <f>E187</f>
        <v>72922.5</v>
      </c>
      <c r="S187" s="31">
        <v>72923</v>
      </c>
      <c r="T187" s="78" t="s">
        <v>129</v>
      </c>
      <c r="U187" s="31"/>
    </row>
    <row r="188" spans="1:61" x14ac:dyDescent="0.25">
      <c r="A188" s="33">
        <v>61706</v>
      </c>
      <c r="B188" s="49"/>
      <c r="C188" s="141"/>
      <c r="D188" s="45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28"/>
      <c r="Q188" s="28"/>
      <c r="R188" s="30"/>
      <c r="S188" s="31"/>
      <c r="T188" s="78"/>
      <c r="U188" s="31"/>
    </row>
    <row r="189" spans="1:61" x14ac:dyDescent="0.25">
      <c r="A189" s="33">
        <v>62833</v>
      </c>
      <c r="B189" s="73"/>
      <c r="C189" s="144"/>
      <c r="D189" s="74"/>
      <c r="E189" s="75"/>
      <c r="F189" s="75"/>
      <c r="G189" s="67"/>
      <c r="H189" s="67"/>
      <c r="I189" s="67"/>
      <c r="J189" s="67"/>
      <c r="K189" s="67"/>
      <c r="L189" s="67"/>
      <c r="M189" s="67"/>
      <c r="N189" s="67"/>
      <c r="O189" s="67"/>
      <c r="P189" s="68"/>
      <c r="Q189" s="68"/>
      <c r="R189" s="69"/>
      <c r="S189" s="34"/>
      <c r="T189" s="76"/>
      <c r="U189" s="34"/>
    </row>
    <row r="190" spans="1:61" s="24" customFormat="1" ht="30" x14ac:dyDescent="0.25">
      <c r="A190" s="33">
        <v>62833</v>
      </c>
      <c r="B190" s="49" t="s">
        <v>239</v>
      </c>
      <c r="C190" s="141">
        <v>45364</v>
      </c>
      <c r="D190" s="45">
        <v>55</v>
      </c>
      <c r="E190" s="46">
        <v>363812</v>
      </c>
      <c r="F190" s="46">
        <v>0</v>
      </c>
      <c r="G190" s="60">
        <f>E190-F190</f>
        <v>363812</v>
      </c>
      <c r="H190" s="60">
        <f>G190*18%</f>
        <v>65486.159999999996</v>
      </c>
      <c r="I190" s="60">
        <f>G190+H190</f>
        <v>429298.16</v>
      </c>
      <c r="J190" s="60">
        <f>G190*1%</f>
        <v>3638.12</v>
      </c>
      <c r="K190" s="60">
        <f>G190*5%</f>
        <v>18190.600000000002</v>
      </c>
      <c r="L190" s="60"/>
      <c r="M190" s="60"/>
      <c r="N190" s="60"/>
      <c r="O190" s="100">
        <f>H190</f>
        <v>65486.159999999996</v>
      </c>
      <c r="P190" s="61">
        <f>G190*10%</f>
        <v>36381.200000000004</v>
      </c>
      <c r="Q190" s="61">
        <v>30065</v>
      </c>
      <c r="R190" s="81">
        <f>I190-J190-K190-O190-P190-Q190</f>
        <v>275537.08</v>
      </c>
      <c r="S190" s="31">
        <v>150000</v>
      </c>
      <c r="T190" s="78" t="s">
        <v>130</v>
      </c>
      <c r="U190" s="31">
        <f>SUM(R190:R193)-SUM(S190:S193)</f>
        <v>-49500.760000000009</v>
      </c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</row>
    <row r="191" spans="1:61" s="24" customFormat="1" x14ac:dyDescent="0.25">
      <c r="A191" s="33">
        <v>62833</v>
      </c>
      <c r="B191" s="49" t="s">
        <v>20</v>
      </c>
      <c r="C191" s="141"/>
      <c r="D191" s="45">
        <v>55</v>
      </c>
      <c r="E191" s="46">
        <f>O190</f>
        <v>65486.159999999996</v>
      </c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28"/>
      <c r="Q191" s="28"/>
      <c r="R191" s="101">
        <f>E191</f>
        <v>65486.159999999996</v>
      </c>
      <c r="S191" s="31">
        <v>125538</v>
      </c>
      <c r="T191" s="78" t="s">
        <v>136</v>
      </c>
      <c r="U191" s="31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1:61" s="24" customFormat="1" x14ac:dyDescent="0.25">
      <c r="A192" s="33">
        <v>62833</v>
      </c>
      <c r="B192" s="49"/>
      <c r="C192" s="141"/>
      <c r="D192" s="45"/>
      <c r="E192" s="46"/>
      <c r="F192" s="46"/>
      <c r="G192" s="60"/>
      <c r="H192" s="60"/>
      <c r="I192" s="60"/>
      <c r="J192" s="60"/>
      <c r="K192" s="60"/>
      <c r="L192" s="60"/>
      <c r="M192" s="60"/>
      <c r="N192" s="60"/>
      <c r="O192" s="60"/>
      <c r="P192" s="61"/>
      <c r="Q192" s="61"/>
      <c r="R192" s="95"/>
      <c r="S192" s="31">
        <v>49500</v>
      </c>
      <c r="T192" s="78" t="s">
        <v>137</v>
      </c>
      <c r="U192" s="31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</row>
    <row r="193" spans="1:61" s="24" customFormat="1" x14ac:dyDescent="0.25">
      <c r="A193" s="33">
        <v>62833</v>
      </c>
      <c r="B193" s="49"/>
      <c r="C193" s="141"/>
      <c r="D193" s="45"/>
      <c r="E193" s="46"/>
      <c r="F193" s="46"/>
      <c r="G193" s="60"/>
      <c r="H193" s="60"/>
      <c r="I193" s="60"/>
      <c r="J193" s="60"/>
      <c r="K193" s="60"/>
      <c r="L193" s="60"/>
      <c r="M193" s="60"/>
      <c r="N193" s="60"/>
      <c r="O193" s="60"/>
      <c r="P193" s="61"/>
      <c r="Q193" s="61"/>
      <c r="R193" s="95"/>
      <c r="S193" s="31">
        <v>65486</v>
      </c>
      <c r="T193" s="78" t="s">
        <v>138</v>
      </c>
      <c r="U193" s="31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</row>
    <row r="194" spans="1:61" x14ac:dyDescent="0.25">
      <c r="A194" s="33">
        <v>65915</v>
      </c>
      <c r="B194" s="73"/>
      <c r="C194" s="144"/>
      <c r="D194" s="74"/>
      <c r="E194" s="75"/>
      <c r="F194" s="75"/>
      <c r="G194" s="67"/>
      <c r="H194" s="67"/>
      <c r="I194" s="67"/>
      <c r="J194" s="67"/>
      <c r="K194" s="67"/>
      <c r="L194" s="67"/>
      <c r="M194" s="67"/>
      <c r="N194" s="67"/>
      <c r="O194" s="67"/>
      <c r="P194" s="68"/>
      <c r="Q194" s="68"/>
      <c r="R194" s="69"/>
      <c r="S194" s="34"/>
      <c r="T194" s="76"/>
      <c r="U194" s="34"/>
    </row>
    <row r="195" spans="1:61" s="109" customFormat="1" x14ac:dyDescent="0.25">
      <c r="A195" s="33">
        <v>65915</v>
      </c>
      <c r="B195" s="102" t="s">
        <v>240</v>
      </c>
      <c r="C195" s="141">
        <v>45629</v>
      </c>
      <c r="D195" s="45">
        <v>4</v>
      </c>
      <c r="E195" s="46">
        <v>421280</v>
      </c>
      <c r="F195" s="46">
        <v>137340</v>
      </c>
      <c r="G195" s="60">
        <f>E195-F195</f>
        <v>283940</v>
      </c>
      <c r="H195" s="60">
        <f>G195*18%</f>
        <v>51109.2</v>
      </c>
      <c r="I195" s="60">
        <f>G195+H195</f>
        <v>335049.2</v>
      </c>
      <c r="J195" s="60">
        <f>G195*1%</f>
        <v>2839.4</v>
      </c>
      <c r="K195" s="60">
        <f>G195*5%</f>
        <v>14197</v>
      </c>
      <c r="L195" s="60"/>
      <c r="M195" s="60">
        <f>G195*10%</f>
        <v>28394</v>
      </c>
      <c r="N195" s="60">
        <f>G195*10%</f>
        <v>28394</v>
      </c>
      <c r="O195" s="100">
        <f>H195</f>
        <v>51109.2</v>
      </c>
      <c r="P195" s="61">
        <v>0</v>
      </c>
      <c r="Q195" s="61">
        <v>0</v>
      </c>
      <c r="R195" s="81">
        <f>I195-J195-K195-O195-P195-Q195-M195-N195</f>
        <v>210115.59999999998</v>
      </c>
      <c r="S195" s="108">
        <v>64350</v>
      </c>
      <c r="T195" s="78" t="s">
        <v>145</v>
      </c>
      <c r="U195" s="108">
        <f>SUM(R195:R198)-SUM(S195:S198)</f>
        <v>53016.799999999988</v>
      </c>
    </row>
    <row r="196" spans="1:61" s="109" customFormat="1" x14ac:dyDescent="0.25">
      <c r="A196" s="33">
        <v>65915</v>
      </c>
      <c r="B196" s="49" t="s">
        <v>20</v>
      </c>
      <c r="C196" s="141"/>
      <c r="D196" s="45">
        <v>4</v>
      </c>
      <c r="E196" s="46">
        <f>O195</f>
        <v>51109.2</v>
      </c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28"/>
      <c r="Q196" s="28"/>
      <c r="R196" s="101">
        <f>E196</f>
        <v>51109.2</v>
      </c>
      <c r="S196" s="108">
        <v>148500</v>
      </c>
      <c r="T196" s="78" t="s">
        <v>156</v>
      </c>
      <c r="U196" s="108"/>
    </row>
    <row r="197" spans="1:61" s="109" customFormat="1" x14ac:dyDescent="0.25">
      <c r="A197" s="33">
        <v>65915</v>
      </c>
      <c r="B197" s="102" t="s">
        <v>241</v>
      </c>
      <c r="C197" s="141">
        <v>45742</v>
      </c>
      <c r="D197" s="45">
        <v>19</v>
      </c>
      <c r="E197" s="46">
        <v>58850</v>
      </c>
      <c r="F197" s="46">
        <v>0</v>
      </c>
      <c r="G197" s="60">
        <f>E197-F197</f>
        <v>58850</v>
      </c>
      <c r="H197" s="60">
        <f>G197*18%</f>
        <v>10593</v>
      </c>
      <c r="I197" s="60">
        <f>G197+H197</f>
        <v>69443</v>
      </c>
      <c r="J197" s="60">
        <f>G197*1%</f>
        <v>588.5</v>
      </c>
      <c r="K197" s="60">
        <f>G197*5%</f>
        <v>2942.5</v>
      </c>
      <c r="L197" s="60"/>
      <c r="M197" s="60">
        <f>G197*10%</f>
        <v>5885</v>
      </c>
      <c r="N197" s="60">
        <f>G197*10%</f>
        <v>5885</v>
      </c>
      <c r="O197" s="100">
        <f>H197</f>
        <v>10593</v>
      </c>
      <c r="P197" s="61">
        <v>0</v>
      </c>
      <c r="Q197" s="61">
        <v>0</v>
      </c>
      <c r="R197" s="81">
        <f>I197-J197-K197-O197-P197-Q197-M197-N197</f>
        <v>43549</v>
      </c>
      <c r="S197" s="108">
        <v>49500</v>
      </c>
      <c r="T197" s="78" t="s">
        <v>177</v>
      </c>
      <c r="U197" s="108"/>
    </row>
    <row r="198" spans="1:61" s="109" customFormat="1" x14ac:dyDescent="0.25">
      <c r="A198" s="33">
        <v>65915</v>
      </c>
      <c r="B198" s="49" t="s">
        <v>20</v>
      </c>
      <c r="C198" s="141"/>
      <c r="D198" s="45">
        <v>19</v>
      </c>
      <c r="E198" s="46">
        <f>O197</f>
        <v>10593</v>
      </c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28"/>
      <c r="Q198" s="28"/>
      <c r="R198" s="101">
        <f>E198</f>
        <v>10593</v>
      </c>
      <c r="S198" s="108"/>
      <c r="T198" s="78"/>
      <c r="U198" s="108"/>
    </row>
    <row r="199" spans="1:61" x14ac:dyDescent="0.25">
      <c r="A199" s="33">
        <v>65916</v>
      </c>
      <c r="B199" s="73"/>
      <c r="C199" s="144"/>
      <c r="D199" s="74"/>
      <c r="E199" s="75"/>
      <c r="F199" s="75"/>
      <c r="G199" s="67"/>
      <c r="H199" s="67"/>
      <c r="I199" s="67"/>
      <c r="J199" s="67"/>
      <c r="K199" s="67"/>
      <c r="L199" s="67"/>
      <c r="M199" s="67"/>
      <c r="N199" s="67"/>
      <c r="O199" s="67"/>
      <c r="P199" s="68"/>
      <c r="Q199" s="68"/>
      <c r="R199" s="69"/>
      <c r="S199" s="34"/>
      <c r="T199" s="76"/>
      <c r="U199" s="34"/>
    </row>
    <row r="200" spans="1:61" s="109" customFormat="1" x14ac:dyDescent="0.25">
      <c r="A200" s="33">
        <v>65916</v>
      </c>
      <c r="B200" s="102" t="s">
        <v>242</v>
      </c>
      <c r="C200" s="141">
        <v>45639</v>
      </c>
      <c r="D200" s="45">
        <v>8</v>
      </c>
      <c r="E200" s="46">
        <v>575134</v>
      </c>
      <c r="F200" s="46">
        <v>0</v>
      </c>
      <c r="G200" s="60">
        <f>E200-F200</f>
        <v>575134</v>
      </c>
      <c r="H200" s="60">
        <f>G200*18%</f>
        <v>103524.12</v>
      </c>
      <c r="I200" s="60">
        <f>G200+H200</f>
        <v>678658.12</v>
      </c>
      <c r="J200" s="60">
        <f>G200*1%</f>
        <v>5751.34</v>
      </c>
      <c r="K200" s="60">
        <f>G200*5%</f>
        <v>28756.7</v>
      </c>
      <c r="L200" s="60"/>
      <c r="M200" s="60">
        <f>G200*10%</f>
        <v>57513.4</v>
      </c>
      <c r="N200" s="60">
        <f>G200*10%</f>
        <v>57513.4</v>
      </c>
      <c r="O200" s="100">
        <f>H200</f>
        <v>103524.12</v>
      </c>
      <c r="P200" s="61">
        <v>0</v>
      </c>
      <c r="Q200" s="61">
        <v>0</v>
      </c>
      <c r="R200" s="81">
        <f>I200-J200-K200-O200-P200-Q200-M200-N200</f>
        <v>425599.16000000003</v>
      </c>
      <c r="S200" s="108">
        <v>59400</v>
      </c>
      <c r="T200" s="78" t="s">
        <v>146</v>
      </c>
      <c r="U200" s="108">
        <f>SUM(R200:R207)-SUM(S200:S207)</f>
        <v>6098.3200000000652</v>
      </c>
    </row>
    <row r="201" spans="1:61" s="109" customFormat="1" x14ac:dyDescent="0.25">
      <c r="A201" s="33">
        <v>65916</v>
      </c>
      <c r="B201" s="102" t="s">
        <v>242</v>
      </c>
      <c r="C201" s="141">
        <v>45640</v>
      </c>
      <c r="D201" s="45">
        <v>11</v>
      </c>
      <c r="E201" s="46">
        <v>303817</v>
      </c>
      <c r="F201" s="46">
        <v>0</v>
      </c>
      <c r="G201" s="60">
        <f>E201-F201</f>
        <v>303817</v>
      </c>
      <c r="H201" s="60">
        <f>G201*18%</f>
        <v>54687.06</v>
      </c>
      <c r="I201" s="60">
        <f>G201+H201</f>
        <v>358504.06</v>
      </c>
      <c r="J201" s="60">
        <f>G201*1%</f>
        <v>3038.17</v>
      </c>
      <c r="K201" s="60">
        <f>G201*5%</f>
        <v>15190.85</v>
      </c>
      <c r="L201" s="60"/>
      <c r="M201" s="60">
        <v>0</v>
      </c>
      <c r="N201" s="60">
        <v>0</v>
      </c>
      <c r="O201" s="100">
        <f>H201</f>
        <v>54687.06</v>
      </c>
      <c r="P201" s="61">
        <v>0</v>
      </c>
      <c r="Q201" s="61">
        <v>0</v>
      </c>
      <c r="R201" s="81">
        <f>I201-J201-K201-O201-P201-Q201-M201-N201</f>
        <v>285587.98000000004</v>
      </c>
      <c r="S201" s="108">
        <v>74250</v>
      </c>
      <c r="T201" s="78" t="s">
        <v>150</v>
      </c>
      <c r="U201" s="108"/>
    </row>
    <row r="202" spans="1:61" s="109" customFormat="1" x14ac:dyDescent="0.25">
      <c r="A202" s="33">
        <v>65916</v>
      </c>
      <c r="B202" s="49" t="s">
        <v>20</v>
      </c>
      <c r="C202" s="141"/>
      <c r="D202" s="45" t="s">
        <v>169</v>
      </c>
      <c r="E202" s="46">
        <f>O201+O200</f>
        <v>158211.18</v>
      </c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28"/>
      <c r="Q202" s="28"/>
      <c r="R202" s="101">
        <f>E202</f>
        <v>158211.18</v>
      </c>
      <c r="S202" s="108">
        <v>99000</v>
      </c>
      <c r="T202" s="78" t="s">
        <v>152</v>
      </c>
      <c r="U202" s="108"/>
    </row>
    <row r="203" spans="1:61" s="109" customFormat="1" x14ac:dyDescent="0.25">
      <c r="A203" s="33">
        <v>65916</v>
      </c>
      <c r="B203" s="102"/>
      <c r="C203" s="145"/>
      <c r="D203" s="103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10"/>
      <c r="Q203" s="110"/>
      <c r="R203" s="111"/>
      <c r="S203" s="108">
        <v>74250</v>
      </c>
      <c r="T203" s="78" t="s">
        <v>155</v>
      </c>
      <c r="U203" s="108"/>
    </row>
    <row r="204" spans="1:61" s="109" customFormat="1" x14ac:dyDescent="0.25">
      <c r="A204" s="33">
        <v>65916</v>
      </c>
      <c r="B204" s="102"/>
      <c r="C204" s="145"/>
      <c r="D204" s="103"/>
      <c r="E204" s="104"/>
      <c r="F204" s="104"/>
      <c r="G204" s="105"/>
      <c r="H204" s="105"/>
      <c r="I204" s="105"/>
      <c r="J204" s="105"/>
      <c r="K204" s="105"/>
      <c r="L204" s="105"/>
      <c r="M204" s="105"/>
      <c r="N204" s="105"/>
      <c r="O204" s="105"/>
      <c r="P204" s="106"/>
      <c r="Q204" s="106"/>
      <c r="R204" s="107"/>
      <c r="S204" s="108">
        <v>79200</v>
      </c>
      <c r="T204" s="78" t="s">
        <v>158</v>
      </c>
      <c r="U204" s="108"/>
    </row>
    <row r="205" spans="1:61" s="109" customFormat="1" x14ac:dyDescent="0.25">
      <c r="A205" s="33">
        <v>65916</v>
      </c>
      <c r="B205" s="102"/>
      <c r="C205" s="145"/>
      <c r="D205" s="103"/>
      <c r="E205" s="104"/>
      <c r="F205" s="104"/>
      <c r="G205" s="105"/>
      <c r="H205" s="105"/>
      <c r="I205" s="105"/>
      <c r="J205" s="105"/>
      <c r="K205" s="105"/>
      <c r="L205" s="105"/>
      <c r="M205" s="105"/>
      <c r="N205" s="105"/>
      <c r="O205" s="105"/>
      <c r="P205" s="106"/>
      <c r="Q205" s="106"/>
      <c r="R205" s="107"/>
      <c r="S205" s="108">
        <v>99000</v>
      </c>
      <c r="T205" s="78" t="s">
        <v>166</v>
      </c>
      <c r="U205" s="108"/>
    </row>
    <row r="206" spans="1:61" s="109" customFormat="1" x14ac:dyDescent="0.25">
      <c r="A206" s="33">
        <v>65916</v>
      </c>
      <c r="B206" s="102"/>
      <c r="C206" s="145"/>
      <c r="D206" s="103"/>
      <c r="E206" s="104"/>
      <c r="F206" s="104"/>
      <c r="G206" s="105"/>
      <c r="H206" s="105"/>
      <c r="I206" s="105"/>
      <c r="J206" s="105"/>
      <c r="K206" s="105"/>
      <c r="L206" s="105"/>
      <c r="M206" s="105"/>
      <c r="N206" s="105"/>
      <c r="O206" s="105"/>
      <c r="P206" s="106"/>
      <c r="Q206" s="106"/>
      <c r="R206" s="107"/>
      <c r="S206" s="108">
        <v>200000</v>
      </c>
      <c r="T206" s="78" t="s">
        <v>173</v>
      </c>
      <c r="U206" s="108"/>
    </row>
    <row r="207" spans="1:61" s="109" customFormat="1" x14ac:dyDescent="0.25">
      <c r="A207" s="33">
        <v>65916</v>
      </c>
      <c r="B207" s="102"/>
      <c r="C207" s="145"/>
      <c r="D207" s="103"/>
      <c r="E207" s="104"/>
      <c r="F207" s="104"/>
      <c r="G207" s="105"/>
      <c r="H207" s="105"/>
      <c r="I207" s="105"/>
      <c r="J207" s="105"/>
      <c r="K207" s="105"/>
      <c r="L207" s="105"/>
      <c r="M207" s="105"/>
      <c r="N207" s="105"/>
      <c r="O207" s="105"/>
      <c r="P207" s="106"/>
      <c r="Q207" s="106"/>
      <c r="R207" s="107"/>
      <c r="S207" s="108">
        <v>178200</v>
      </c>
      <c r="T207" s="78" t="s">
        <v>185</v>
      </c>
      <c r="U207" s="108"/>
    </row>
    <row r="208" spans="1:61" x14ac:dyDescent="0.25">
      <c r="A208" s="33">
        <v>66225</v>
      </c>
      <c r="B208" s="73"/>
      <c r="C208" s="144"/>
      <c r="D208" s="74"/>
      <c r="E208" s="75"/>
      <c r="F208" s="75"/>
      <c r="G208" s="67"/>
      <c r="H208" s="67"/>
      <c r="I208" s="67"/>
      <c r="J208" s="67"/>
      <c r="K208" s="67"/>
      <c r="L208" s="67"/>
      <c r="M208" s="67"/>
      <c r="N208" s="67"/>
      <c r="O208" s="67"/>
      <c r="P208" s="68"/>
      <c r="Q208" s="68"/>
      <c r="R208" s="69"/>
      <c r="S208" s="34"/>
      <c r="T208" s="76"/>
      <c r="U208" s="34"/>
    </row>
    <row r="209" spans="1:21" s="109" customFormat="1" ht="30" x14ac:dyDescent="0.25">
      <c r="A209" s="33">
        <v>66225</v>
      </c>
      <c r="B209" s="102" t="s">
        <v>243</v>
      </c>
      <c r="C209" s="141">
        <v>45639</v>
      </c>
      <c r="D209" s="45">
        <v>10</v>
      </c>
      <c r="E209" s="46">
        <v>28565</v>
      </c>
      <c r="F209" s="46">
        <v>0</v>
      </c>
      <c r="G209" s="60">
        <f>E209-F209</f>
        <v>28565</v>
      </c>
      <c r="H209" s="60">
        <f>G209*18%</f>
        <v>5141.7</v>
      </c>
      <c r="I209" s="60">
        <f>G209+H209</f>
        <v>33706.699999999997</v>
      </c>
      <c r="J209" s="60">
        <f>G209*1%</f>
        <v>285.65000000000003</v>
      </c>
      <c r="K209" s="60">
        <f>G209*5%</f>
        <v>1428.25</v>
      </c>
      <c r="L209" s="60"/>
      <c r="M209" s="60">
        <v>0</v>
      </c>
      <c r="N209" s="60">
        <v>0</v>
      </c>
      <c r="O209" s="100">
        <f>H209</f>
        <v>5141.7</v>
      </c>
      <c r="P209" s="61">
        <v>0</v>
      </c>
      <c r="Q209" s="61">
        <v>0</v>
      </c>
      <c r="R209" s="81">
        <f>I209-J209-K209-O209-P209-Q209-M209-N209</f>
        <v>26851.099999999995</v>
      </c>
      <c r="S209" s="108">
        <v>79200</v>
      </c>
      <c r="T209" s="78" t="s">
        <v>157</v>
      </c>
      <c r="U209" s="108">
        <f>SUM(R209:R211)-SUM(S209:S211)</f>
        <v>-146207.20000000001</v>
      </c>
    </row>
    <row r="210" spans="1:21" s="109" customFormat="1" x14ac:dyDescent="0.25">
      <c r="A210" s="33">
        <v>66225</v>
      </c>
      <c r="B210" s="49" t="s">
        <v>20</v>
      </c>
      <c r="C210" s="141"/>
      <c r="D210" s="45">
        <v>10</v>
      </c>
      <c r="E210" s="46">
        <f>O209</f>
        <v>5141.7</v>
      </c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28"/>
      <c r="Q210" s="28"/>
      <c r="R210" s="101">
        <f>E210</f>
        <v>5141.7</v>
      </c>
      <c r="S210" s="108">
        <v>99000</v>
      </c>
      <c r="T210" s="78" t="s">
        <v>159</v>
      </c>
      <c r="U210" s="108"/>
    </row>
    <row r="211" spans="1:21" s="109" customFormat="1" x14ac:dyDescent="0.25">
      <c r="A211" s="33">
        <v>66225</v>
      </c>
      <c r="B211" s="102"/>
      <c r="C211" s="145"/>
      <c r="D211" s="103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10"/>
      <c r="Q211" s="110"/>
      <c r="R211" s="111"/>
      <c r="S211" s="108"/>
      <c r="T211" s="78"/>
      <c r="U211" s="108"/>
    </row>
    <row r="212" spans="1:21" x14ac:dyDescent="0.25">
      <c r="A212" s="33">
        <v>66403</v>
      </c>
      <c r="B212" s="73"/>
      <c r="C212" s="144"/>
      <c r="D212" s="74"/>
      <c r="E212" s="75"/>
      <c r="F212" s="75"/>
      <c r="G212" s="67"/>
      <c r="H212" s="67"/>
      <c r="I212" s="67"/>
      <c r="J212" s="67"/>
      <c r="K212" s="67"/>
      <c r="L212" s="67"/>
      <c r="M212" s="67"/>
      <c r="N212" s="67"/>
      <c r="O212" s="67"/>
      <c r="P212" s="68"/>
      <c r="Q212" s="68"/>
      <c r="R212" s="69"/>
      <c r="S212" s="34"/>
      <c r="T212" s="76"/>
      <c r="U212" s="34"/>
    </row>
    <row r="213" spans="1:21" s="109" customFormat="1" ht="30" x14ac:dyDescent="0.25">
      <c r="A213" s="33">
        <v>66403</v>
      </c>
      <c r="B213" s="102" t="s">
        <v>244</v>
      </c>
      <c r="C213" s="141">
        <v>45615</v>
      </c>
      <c r="D213" s="45">
        <v>3</v>
      </c>
      <c r="E213" s="46">
        <v>371191</v>
      </c>
      <c r="F213" s="46">
        <v>0</v>
      </c>
      <c r="G213" s="60">
        <f>E213-F213</f>
        <v>371191</v>
      </c>
      <c r="H213" s="60">
        <f>G213*18%</f>
        <v>66814.38</v>
      </c>
      <c r="I213" s="60">
        <f>G213+H213</f>
        <v>438005.38</v>
      </c>
      <c r="J213" s="60">
        <f>G213*1%</f>
        <v>3711.91</v>
      </c>
      <c r="K213" s="60">
        <f>G213*5%</f>
        <v>18559.55</v>
      </c>
      <c r="L213" s="60"/>
      <c r="M213" s="60"/>
      <c r="N213" s="60"/>
      <c r="O213" s="100">
        <f>H213</f>
        <v>66814.38</v>
      </c>
      <c r="P213" s="61">
        <v>0</v>
      </c>
      <c r="Q213" s="61">
        <v>16695</v>
      </c>
      <c r="R213" s="81">
        <f>I213-J213-K213-O213-P213-Q213</f>
        <v>332224.54000000004</v>
      </c>
      <c r="S213" s="108">
        <v>148500</v>
      </c>
      <c r="T213" s="78" t="s">
        <v>160</v>
      </c>
      <c r="U213" s="108">
        <f>SUM(R213:R215)-SUM(S213:S215)</f>
        <v>0.92000000004190952</v>
      </c>
    </row>
    <row r="214" spans="1:21" s="109" customFormat="1" x14ac:dyDescent="0.25">
      <c r="A214" s="33">
        <v>66403</v>
      </c>
      <c r="B214" s="49" t="s">
        <v>20</v>
      </c>
      <c r="C214" s="141"/>
      <c r="D214" s="45">
        <v>3</v>
      </c>
      <c r="E214" s="46">
        <f>O213</f>
        <v>66814.38</v>
      </c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28"/>
      <c r="Q214" s="28"/>
      <c r="R214" s="101">
        <f>E214</f>
        <v>66814.38</v>
      </c>
      <c r="S214" s="108">
        <v>250538</v>
      </c>
      <c r="T214" s="78" t="s">
        <v>176</v>
      </c>
      <c r="U214" s="108"/>
    </row>
    <row r="215" spans="1:21" s="109" customFormat="1" x14ac:dyDescent="0.25">
      <c r="A215" s="33">
        <v>66403</v>
      </c>
      <c r="B215" s="102"/>
      <c r="C215" s="145"/>
      <c r="D215" s="103"/>
      <c r="E215" s="104"/>
      <c r="F215" s="104"/>
      <c r="G215" s="105"/>
      <c r="H215" s="105"/>
      <c r="I215" s="105"/>
      <c r="J215" s="105"/>
      <c r="K215" s="105"/>
      <c r="L215" s="105"/>
      <c r="M215" s="105"/>
      <c r="N215" s="105"/>
      <c r="O215" s="105"/>
      <c r="P215" s="106"/>
      <c r="Q215" s="106"/>
      <c r="R215" s="107"/>
      <c r="S215" s="108"/>
      <c r="T215" s="78"/>
      <c r="U215" s="108"/>
    </row>
    <row r="216" spans="1:21" s="109" customFormat="1" x14ac:dyDescent="0.25">
      <c r="A216" s="33">
        <v>66591</v>
      </c>
      <c r="B216" s="73"/>
      <c r="C216" s="144"/>
      <c r="D216" s="74"/>
      <c r="E216" s="75"/>
      <c r="F216" s="75"/>
      <c r="G216" s="67"/>
      <c r="H216" s="67"/>
      <c r="I216" s="67"/>
      <c r="J216" s="67"/>
      <c r="K216" s="67"/>
      <c r="L216" s="67"/>
      <c r="M216" s="67"/>
      <c r="N216" s="67"/>
      <c r="O216" s="67"/>
      <c r="P216" s="68"/>
      <c r="Q216" s="68"/>
      <c r="R216" s="69"/>
      <c r="S216" s="34"/>
      <c r="T216" s="76"/>
      <c r="U216" s="34"/>
    </row>
    <row r="217" spans="1:21" s="109" customFormat="1" ht="30" x14ac:dyDescent="0.25">
      <c r="A217" s="33">
        <v>66591</v>
      </c>
      <c r="B217" s="102" t="s">
        <v>245</v>
      </c>
      <c r="C217" s="141">
        <v>45639</v>
      </c>
      <c r="D217" s="45">
        <v>7</v>
      </c>
      <c r="E217" s="46">
        <v>694770</v>
      </c>
      <c r="F217" s="46">
        <v>57225</v>
      </c>
      <c r="G217" s="60">
        <f>E217-F217</f>
        <v>637545</v>
      </c>
      <c r="H217" s="60">
        <f>G217*18%</f>
        <v>114758.09999999999</v>
      </c>
      <c r="I217" s="60">
        <f>G217+H217</f>
        <v>752303.1</v>
      </c>
      <c r="J217" s="60">
        <f>G217*1%</f>
        <v>6375.45</v>
      </c>
      <c r="K217" s="60">
        <f>G217*5%</f>
        <v>31877.25</v>
      </c>
      <c r="L217" s="60"/>
      <c r="M217" s="60">
        <f>G217*10%</f>
        <v>63754.5</v>
      </c>
      <c r="N217" s="60">
        <f>G217*10%</f>
        <v>63754.5</v>
      </c>
      <c r="O217" s="100">
        <f>H217</f>
        <v>114758.09999999999</v>
      </c>
      <c r="P217" s="61">
        <v>0</v>
      </c>
      <c r="Q217" s="61">
        <v>0</v>
      </c>
      <c r="R217" s="81">
        <f>I217-J217-K217-O217-P217-Q217-M217-N217</f>
        <v>471783.30000000005</v>
      </c>
      <c r="S217" s="108">
        <v>198000</v>
      </c>
      <c r="T217" s="78" t="s">
        <v>161</v>
      </c>
      <c r="U217" s="108">
        <f>SUM(R217:R224)-SUM(S217:S224)</f>
        <v>-4256.2000000000698</v>
      </c>
    </row>
    <row r="218" spans="1:21" ht="30" x14ac:dyDescent="0.25">
      <c r="A218" s="33">
        <v>66591</v>
      </c>
      <c r="B218" s="102" t="s">
        <v>245</v>
      </c>
      <c r="C218" s="141">
        <v>45640</v>
      </c>
      <c r="D218" s="45">
        <v>12</v>
      </c>
      <c r="E218" s="46">
        <v>270270</v>
      </c>
      <c r="F218" s="46">
        <v>0</v>
      </c>
      <c r="G218" s="60">
        <f>E218-F218</f>
        <v>270270</v>
      </c>
      <c r="H218" s="60">
        <f>G218*18%</f>
        <v>48648.6</v>
      </c>
      <c r="I218" s="60">
        <f>G218+H218</f>
        <v>318918.59999999998</v>
      </c>
      <c r="J218" s="60">
        <f>G218*1%</f>
        <v>2702.7000000000003</v>
      </c>
      <c r="K218" s="60">
        <f>G218*5%</f>
        <v>13513.5</v>
      </c>
      <c r="L218" s="60"/>
      <c r="M218" s="60">
        <v>0</v>
      </c>
      <c r="N218" s="60">
        <v>0</v>
      </c>
      <c r="O218" s="100">
        <f>H218</f>
        <v>48648.6</v>
      </c>
      <c r="P218" s="61">
        <v>0</v>
      </c>
      <c r="Q218" s="61">
        <v>0</v>
      </c>
      <c r="R218" s="81">
        <f>I218-J218-K218-O218-P218-Q218-M218-N218</f>
        <v>254053.79999999996</v>
      </c>
      <c r="S218" s="108">
        <v>99000</v>
      </c>
      <c r="T218" s="78" t="s">
        <v>165</v>
      </c>
      <c r="U218" s="108"/>
    </row>
    <row r="219" spans="1:21" x14ac:dyDescent="0.25">
      <c r="A219" s="33">
        <v>66591</v>
      </c>
      <c r="B219" s="49" t="s">
        <v>20</v>
      </c>
      <c r="C219" s="141"/>
      <c r="D219" s="45" t="s">
        <v>170</v>
      </c>
      <c r="E219" s="46">
        <f>O218+O217</f>
        <v>163406.69999999998</v>
      </c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28"/>
      <c r="Q219" s="28"/>
      <c r="R219" s="101">
        <f>E219</f>
        <v>163406.69999999998</v>
      </c>
      <c r="S219" s="108">
        <v>148500</v>
      </c>
      <c r="T219" s="78" t="s">
        <v>167</v>
      </c>
      <c r="U219" s="108"/>
    </row>
    <row r="220" spans="1:21" s="109" customFormat="1" x14ac:dyDescent="0.25">
      <c r="A220" s="33">
        <v>66591</v>
      </c>
      <c r="B220" s="102"/>
      <c r="C220" s="145"/>
      <c r="D220" s="103"/>
      <c r="E220" s="104"/>
      <c r="F220" s="104"/>
      <c r="G220" s="105"/>
      <c r="H220" s="105"/>
      <c r="I220" s="105"/>
      <c r="J220" s="105"/>
      <c r="K220" s="105"/>
      <c r="L220" s="105"/>
      <c r="M220" s="105"/>
      <c r="N220" s="105"/>
      <c r="O220" s="105"/>
      <c r="P220" s="106"/>
      <c r="Q220" s="106"/>
      <c r="R220" s="107"/>
      <c r="S220" s="108">
        <v>50000</v>
      </c>
      <c r="T220" s="78" t="s">
        <v>168</v>
      </c>
      <c r="U220" s="108"/>
    </row>
    <row r="221" spans="1:21" s="109" customFormat="1" x14ac:dyDescent="0.25">
      <c r="A221" s="33">
        <v>66591</v>
      </c>
      <c r="B221" s="102"/>
      <c r="C221" s="145"/>
      <c r="D221" s="103"/>
      <c r="E221" s="104"/>
      <c r="F221" s="104"/>
      <c r="G221" s="105"/>
      <c r="H221" s="105"/>
      <c r="I221" s="105"/>
      <c r="J221" s="105"/>
      <c r="K221" s="105"/>
      <c r="L221" s="105"/>
      <c r="M221" s="105"/>
      <c r="N221" s="105"/>
      <c r="O221" s="105"/>
      <c r="P221" s="106"/>
      <c r="Q221" s="106"/>
      <c r="R221" s="107"/>
      <c r="S221" s="108">
        <v>200000</v>
      </c>
      <c r="T221" s="78" t="s">
        <v>174</v>
      </c>
      <c r="U221" s="108"/>
    </row>
    <row r="222" spans="1:21" s="109" customFormat="1" x14ac:dyDescent="0.25">
      <c r="A222" s="33">
        <v>66591</v>
      </c>
      <c r="B222" s="102"/>
      <c r="C222" s="145"/>
      <c r="D222" s="103"/>
      <c r="E222" s="104"/>
      <c r="F222" s="104"/>
      <c r="G222" s="105"/>
      <c r="H222" s="105"/>
      <c r="I222" s="105"/>
      <c r="J222" s="105"/>
      <c r="K222" s="105"/>
      <c r="L222" s="105"/>
      <c r="M222" s="105"/>
      <c r="N222" s="105"/>
      <c r="O222" s="105"/>
      <c r="P222" s="106"/>
      <c r="Q222" s="106"/>
      <c r="R222" s="107"/>
      <c r="S222" s="108">
        <v>49500</v>
      </c>
      <c r="T222" s="78" t="s">
        <v>175</v>
      </c>
      <c r="U222" s="108"/>
    </row>
    <row r="223" spans="1:21" s="109" customFormat="1" x14ac:dyDescent="0.25">
      <c r="A223" s="33">
        <v>66591</v>
      </c>
      <c r="B223" s="102"/>
      <c r="C223" s="145"/>
      <c r="D223" s="103"/>
      <c r="E223" s="104"/>
      <c r="F223" s="104"/>
      <c r="G223" s="105"/>
      <c r="H223" s="105"/>
      <c r="I223" s="105"/>
      <c r="J223" s="105"/>
      <c r="K223" s="105"/>
      <c r="L223" s="105"/>
      <c r="M223" s="105"/>
      <c r="N223" s="105"/>
      <c r="O223" s="105"/>
      <c r="P223" s="106"/>
      <c r="Q223" s="106"/>
      <c r="R223" s="107"/>
      <c r="S223" s="108">
        <v>99000</v>
      </c>
      <c r="T223" s="78" t="s">
        <v>178</v>
      </c>
      <c r="U223" s="108"/>
    </row>
    <row r="224" spans="1:21" s="109" customFormat="1" x14ac:dyDescent="0.25">
      <c r="A224" s="33">
        <v>66591</v>
      </c>
      <c r="B224" s="102"/>
      <c r="C224" s="145"/>
      <c r="D224" s="103"/>
      <c r="E224" s="104"/>
      <c r="F224" s="104"/>
      <c r="G224" s="105"/>
      <c r="H224" s="105"/>
      <c r="I224" s="105"/>
      <c r="J224" s="105"/>
      <c r="K224" s="105"/>
      <c r="L224" s="105"/>
      <c r="M224" s="105"/>
      <c r="N224" s="105"/>
      <c r="O224" s="105"/>
      <c r="P224" s="106"/>
      <c r="Q224" s="106"/>
      <c r="R224" s="107"/>
      <c r="S224" s="108">
        <v>49500</v>
      </c>
      <c r="T224" s="78" t="s">
        <v>186</v>
      </c>
      <c r="U224" s="108"/>
    </row>
    <row r="225" spans="1:21" x14ac:dyDescent="0.25">
      <c r="A225" s="33">
        <v>66592</v>
      </c>
      <c r="B225" s="73"/>
      <c r="C225" s="144"/>
      <c r="D225" s="74"/>
      <c r="E225" s="75"/>
      <c r="F225" s="75"/>
      <c r="G225" s="67"/>
      <c r="H225" s="67"/>
      <c r="I225" s="67"/>
      <c r="J225" s="67"/>
      <c r="K225" s="67"/>
      <c r="L225" s="67"/>
      <c r="M225" s="67"/>
      <c r="N225" s="67"/>
      <c r="O225" s="67"/>
      <c r="P225" s="68"/>
      <c r="Q225" s="68"/>
      <c r="R225" s="69"/>
      <c r="S225" s="34"/>
      <c r="T225" s="76"/>
      <c r="U225" s="34"/>
    </row>
    <row r="226" spans="1:21" ht="45" x14ac:dyDescent="0.25">
      <c r="A226" s="33">
        <v>66592</v>
      </c>
      <c r="B226" s="102" t="s">
        <v>246</v>
      </c>
      <c r="C226" s="141">
        <v>45615</v>
      </c>
      <c r="D226" s="45">
        <v>1</v>
      </c>
      <c r="E226" s="46">
        <v>33481</v>
      </c>
      <c r="F226" s="46">
        <v>0</v>
      </c>
      <c r="G226" s="60">
        <f>E226-F226</f>
        <v>33481</v>
      </c>
      <c r="H226" s="60">
        <f>G226*18%</f>
        <v>6026.58</v>
      </c>
      <c r="I226" s="60">
        <f>G226+H226</f>
        <v>39507.58</v>
      </c>
      <c r="J226" s="60">
        <f>G226*1%</f>
        <v>334.81</v>
      </c>
      <c r="K226" s="60">
        <f>G226*5%</f>
        <v>1674.0500000000002</v>
      </c>
      <c r="L226" s="60"/>
      <c r="M226" s="60"/>
      <c r="N226" s="60"/>
      <c r="O226" s="100">
        <f>H226</f>
        <v>6026.58</v>
      </c>
      <c r="P226" s="61">
        <v>0</v>
      </c>
      <c r="Q226" s="61">
        <v>0</v>
      </c>
      <c r="R226" s="81">
        <f>I226-J226-K226-O226-P226-Q226</f>
        <v>31472.14</v>
      </c>
      <c r="S226" s="108"/>
      <c r="T226" s="78"/>
      <c r="U226" s="108">
        <f>SUM(R226:R227)-SUM(S226:S227)</f>
        <v>37498.720000000001</v>
      </c>
    </row>
    <row r="227" spans="1:21" x14ac:dyDescent="0.25">
      <c r="A227" s="33">
        <v>66592</v>
      </c>
      <c r="B227" s="49" t="s">
        <v>20</v>
      </c>
      <c r="C227" s="141"/>
      <c r="D227" s="45">
        <v>1</v>
      </c>
      <c r="E227" s="46">
        <f>O226</f>
        <v>6026.58</v>
      </c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28"/>
      <c r="Q227" s="28"/>
      <c r="R227" s="101">
        <f>E227</f>
        <v>6026.58</v>
      </c>
      <c r="S227" s="108"/>
      <c r="T227" s="78"/>
      <c r="U227" s="108"/>
    </row>
    <row r="228" spans="1:21" x14ac:dyDescent="0.25">
      <c r="A228" s="33">
        <v>66977</v>
      </c>
      <c r="B228" s="73"/>
      <c r="C228" s="144"/>
      <c r="D228" s="74"/>
      <c r="E228" s="75"/>
      <c r="F228" s="75"/>
      <c r="G228" s="67"/>
      <c r="H228" s="67"/>
      <c r="I228" s="67"/>
      <c r="J228" s="67"/>
      <c r="K228" s="67"/>
      <c r="L228" s="67"/>
      <c r="M228" s="67"/>
      <c r="N228" s="67"/>
      <c r="O228" s="67"/>
      <c r="P228" s="68"/>
      <c r="Q228" s="68"/>
      <c r="R228" s="69"/>
      <c r="S228" s="34"/>
      <c r="T228" s="76"/>
      <c r="U228" s="34"/>
    </row>
    <row r="229" spans="1:21" ht="30" x14ac:dyDescent="0.25">
      <c r="A229" s="33">
        <v>66977</v>
      </c>
      <c r="B229" s="102" t="s">
        <v>247</v>
      </c>
      <c r="C229" s="141">
        <v>45639</v>
      </c>
      <c r="D229" s="45">
        <v>9</v>
      </c>
      <c r="E229" s="46">
        <v>176137.5</v>
      </c>
      <c r="F229" s="46">
        <v>0</v>
      </c>
      <c r="G229" s="60">
        <f>E229-F229</f>
        <v>176137.5</v>
      </c>
      <c r="H229" s="60">
        <f>G229*18%</f>
        <v>31704.75</v>
      </c>
      <c r="I229" s="60">
        <f>G229+H229</f>
        <v>207842.25</v>
      </c>
      <c r="J229" s="60">
        <f>G229*1%</f>
        <v>1761.375</v>
      </c>
      <c r="K229" s="60">
        <f>G229*5%</f>
        <v>8806.875</v>
      </c>
      <c r="L229" s="60"/>
      <c r="M229" s="60">
        <v>0</v>
      </c>
      <c r="N229" s="60">
        <v>0</v>
      </c>
      <c r="O229" s="100">
        <f>H229</f>
        <v>31704.75</v>
      </c>
      <c r="P229" s="61">
        <v>0</v>
      </c>
      <c r="Q229" s="61">
        <v>0</v>
      </c>
      <c r="R229" s="81">
        <f>I229-J229-K229-O229-P229-Q229-M229-N229</f>
        <v>165569.25</v>
      </c>
      <c r="S229" s="108">
        <v>99000</v>
      </c>
      <c r="T229" s="78" t="s">
        <v>164</v>
      </c>
      <c r="U229" s="108">
        <f>SUM(R229:R235)-SUM(S229:S235)</f>
        <v>38123.319999999949</v>
      </c>
    </row>
    <row r="230" spans="1:21" x14ac:dyDescent="0.25">
      <c r="A230" s="33">
        <v>66977</v>
      </c>
      <c r="B230" s="49" t="s">
        <v>20</v>
      </c>
      <c r="C230" s="141"/>
      <c r="D230" s="45">
        <v>9</v>
      </c>
      <c r="E230" s="46">
        <f>O229</f>
        <v>31704.75</v>
      </c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28"/>
      <c r="Q230" s="28"/>
      <c r="R230" s="101">
        <f>E230</f>
        <v>31704.75</v>
      </c>
      <c r="S230" s="108">
        <v>50000</v>
      </c>
      <c r="T230" s="78" t="s">
        <v>172</v>
      </c>
      <c r="U230" s="108"/>
    </row>
    <row r="231" spans="1:21" x14ac:dyDescent="0.25">
      <c r="A231" s="33">
        <v>66977</v>
      </c>
      <c r="B231" s="102"/>
      <c r="C231" s="141">
        <v>45698</v>
      </c>
      <c r="D231" s="45">
        <v>15</v>
      </c>
      <c r="E231" s="46">
        <v>247908</v>
      </c>
      <c r="F231" s="46">
        <v>0</v>
      </c>
      <c r="G231" s="60">
        <f>E231-F231</f>
        <v>247908</v>
      </c>
      <c r="H231" s="60">
        <f>G231*18%</f>
        <v>44623.439999999995</v>
      </c>
      <c r="I231" s="60">
        <f>G231+H231</f>
        <v>292531.44</v>
      </c>
      <c r="J231" s="60">
        <f>G231*1%</f>
        <v>2479.08</v>
      </c>
      <c r="K231" s="60">
        <f>G231*5%</f>
        <v>12395.400000000001</v>
      </c>
      <c r="L231" s="60"/>
      <c r="M231" s="60">
        <v>0</v>
      </c>
      <c r="N231" s="60">
        <v>0</v>
      </c>
      <c r="O231" s="100">
        <f>H231</f>
        <v>44623.439999999995</v>
      </c>
      <c r="P231" s="61">
        <v>0</v>
      </c>
      <c r="Q231" s="61">
        <v>0</v>
      </c>
      <c r="R231" s="81">
        <f>I231-J231-K231-O231-P231-Q231-M231-N231</f>
        <v>233033.51999999996</v>
      </c>
      <c r="S231" s="108">
        <v>100000</v>
      </c>
      <c r="T231" s="78" t="s">
        <v>179</v>
      </c>
      <c r="U231" s="108"/>
    </row>
    <row r="232" spans="1:21" x14ac:dyDescent="0.25">
      <c r="A232" s="33">
        <v>66977</v>
      </c>
      <c r="B232" s="102"/>
      <c r="C232" s="141">
        <v>45698</v>
      </c>
      <c r="D232" s="45">
        <v>16</v>
      </c>
      <c r="E232" s="46">
        <v>343308</v>
      </c>
      <c r="F232" s="46">
        <v>0</v>
      </c>
      <c r="G232" s="60">
        <f>E232-F232</f>
        <v>343308</v>
      </c>
      <c r="H232" s="60">
        <f>G232*18%</f>
        <v>61795.439999999995</v>
      </c>
      <c r="I232" s="60">
        <f>G232+H232</f>
        <v>405103.44</v>
      </c>
      <c r="J232" s="60">
        <f>G232*1%</f>
        <v>3433.08</v>
      </c>
      <c r="K232" s="60">
        <f>G232*5%</f>
        <v>17165.400000000001</v>
      </c>
      <c r="L232" s="60"/>
      <c r="M232" s="60">
        <f>G232*10%</f>
        <v>34330.800000000003</v>
      </c>
      <c r="N232" s="60">
        <f>G232*10%</f>
        <v>34330.800000000003</v>
      </c>
      <c r="O232" s="100">
        <f>H232</f>
        <v>61795.439999999995</v>
      </c>
      <c r="P232" s="61">
        <v>0</v>
      </c>
      <c r="Q232" s="61">
        <v>0</v>
      </c>
      <c r="R232" s="81">
        <f>I232-J232-K232-O232-P232-Q232-M232-N232</f>
        <v>254047.91999999998</v>
      </c>
      <c r="S232" s="108">
        <v>100000</v>
      </c>
      <c r="T232" s="78" t="s">
        <v>180</v>
      </c>
      <c r="U232" s="108"/>
    </row>
    <row r="233" spans="1:21" x14ac:dyDescent="0.25">
      <c r="A233" s="33">
        <v>66977</v>
      </c>
      <c r="B233" s="102" t="s">
        <v>20</v>
      </c>
      <c r="C233" s="141"/>
      <c r="D233" s="45" t="s">
        <v>188</v>
      </c>
      <c r="E233" s="46">
        <f>O231+O232</f>
        <v>106418.87999999999</v>
      </c>
      <c r="F233" s="46"/>
      <c r="G233" s="60"/>
      <c r="H233" s="60"/>
      <c r="I233" s="60"/>
      <c r="J233" s="60"/>
      <c r="K233" s="60"/>
      <c r="L233" s="60"/>
      <c r="M233" s="60"/>
      <c r="N233" s="60"/>
      <c r="O233" s="105"/>
      <c r="P233" s="61"/>
      <c r="Q233" s="61"/>
      <c r="R233" s="112">
        <f>E233</f>
        <v>106418.87999999999</v>
      </c>
      <c r="S233" s="108">
        <v>100000</v>
      </c>
      <c r="T233" s="78" t="s">
        <v>181</v>
      </c>
      <c r="U233" s="108"/>
    </row>
    <row r="234" spans="1:21" x14ac:dyDescent="0.25">
      <c r="A234" s="33">
        <v>66977</v>
      </c>
      <c r="B234" s="102"/>
      <c r="C234" s="141"/>
      <c r="D234" s="45"/>
      <c r="E234" s="46"/>
      <c r="F234" s="46"/>
      <c r="G234" s="60"/>
      <c r="H234" s="60"/>
      <c r="I234" s="60"/>
      <c r="J234" s="60"/>
      <c r="K234" s="60"/>
      <c r="L234" s="60"/>
      <c r="M234" s="60"/>
      <c r="N234" s="60"/>
      <c r="O234" s="105"/>
      <c r="P234" s="61"/>
      <c r="Q234" s="61"/>
      <c r="R234" s="95"/>
      <c r="S234" s="108">
        <v>203651</v>
      </c>
      <c r="T234" s="78" t="s">
        <v>184</v>
      </c>
      <c r="U234" s="108"/>
    </row>
    <row r="235" spans="1:21" x14ac:dyDescent="0.25">
      <c r="A235" s="33">
        <v>66977</v>
      </c>
      <c r="B235" s="102"/>
      <c r="C235" s="141"/>
      <c r="D235" s="45"/>
      <c r="E235" s="46"/>
      <c r="F235" s="46"/>
      <c r="G235" s="60"/>
      <c r="H235" s="60"/>
      <c r="I235" s="60"/>
      <c r="J235" s="60"/>
      <c r="K235" s="60"/>
      <c r="L235" s="60"/>
      <c r="M235" s="60"/>
      <c r="N235" s="60"/>
      <c r="O235" s="105"/>
      <c r="P235" s="61"/>
      <c r="Q235" s="61"/>
      <c r="R235" s="95"/>
      <c r="S235" s="108">
        <v>100000</v>
      </c>
      <c r="T235" s="78" t="s">
        <v>189</v>
      </c>
      <c r="U235" s="108"/>
    </row>
    <row r="236" spans="1:21" x14ac:dyDescent="0.25">
      <c r="A236" s="33">
        <v>68183</v>
      </c>
      <c r="B236" s="73"/>
      <c r="C236" s="144"/>
      <c r="D236" s="74"/>
      <c r="E236" s="75"/>
      <c r="F236" s="75"/>
      <c r="G236" s="67"/>
      <c r="H236" s="67"/>
      <c r="I236" s="67"/>
      <c r="J236" s="67"/>
      <c r="K236" s="67"/>
      <c r="L236" s="67"/>
      <c r="M236" s="67"/>
      <c r="N236" s="67"/>
      <c r="O236" s="67"/>
      <c r="P236" s="68"/>
      <c r="Q236" s="68"/>
      <c r="R236" s="69"/>
      <c r="S236" s="34"/>
      <c r="T236" s="76"/>
      <c r="U236" s="34"/>
    </row>
    <row r="237" spans="1:21" ht="45" x14ac:dyDescent="0.25">
      <c r="A237" s="33">
        <v>68183</v>
      </c>
      <c r="B237" s="102" t="s">
        <v>248</v>
      </c>
      <c r="C237" s="141">
        <v>45705</v>
      </c>
      <c r="D237" s="45">
        <v>17</v>
      </c>
      <c r="E237" s="46">
        <v>173679</v>
      </c>
      <c r="F237" s="46">
        <v>133526</v>
      </c>
      <c r="G237" s="60">
        <f>E237-F237</f>
        <v>40153</v>
      </c>
      <c r="H237" s="60">
        <f>G237*18%</f>
        <v>7227.54</v>
      </c>
      <c r="I237" s="60">
        <f>G237+H237</f>
        <v>47380.54</v>
      </c>
      <c r="J237" s="60">
        <f>G237*1%</f>
        <v>401.53000000000003</v>
      </c>
      <c r="K237" s="60">
        <f>G237*5%</f>
        <v>2007.65</v>
      </c>
      <c r="L237" s="60"/>
      <c r="M237" s="60">
        <f>G237*10%</f>
        <v>4015.3</v>
      </c>
      <c r="N237" s="60">
        <f>G237*10%</f>
        <v>4015.3</v>
      </c>
      <c r="O237" s="100">
        <f>H237</f>
        <v>7227.54</v>
      </c>
      <c r="P237" s="61">
        <v>0</v>
      </c>
      <c r="Q237" s="61">
        <v>0</v>
      </c>
      <c r="R237" s="81">
        <f>I237-J237-K237-O237-P237-Q237-L237-M237-N237</f>
        <v>29713.219999999998</v>
      </c>
      <c r="S237" s="108"/>
      <c r="T237" s="78"/>
      <c r="U237" s="108">
        <f>SUM(R237:R238)-SUM(S237:S238)</f>
        <v>36940.759999999995</v>
      </c>
    </row>
    <row r="238" spans="1:21" x14ac:dyDescent="0.25">
      <c r="A238" s="33">
        <v>68183</v>
      </c>
      <c r="B238" s="49" t="s">
        <v>20</v>
      </c>
      <c r="C238" s="141"/>
      <c r="D238" s="45">
        <v>17</v>
      </c>
      <c r="E238" s="46">
        <f>O237</f>
        <v>7227.54</v>
      </c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28"/>
      <c r="Q238" s="28"/>
      <c r="R238" s="101">
        <f>E238</f>
        <v>7227.54</v>
      </c>
      <c r="S238" s="108"/>
      <c r="T238" s="78"/>
      <c r="U238" s="108"/>
    </row>
    <row r="239" spans="1:21" x14ac:dyDescent="0.25">
      <c r="A239" s="33">
        <v>68183</v>
      </c>
      <c r="B239" s="49"/>
      <c r="C239" s="141"/>
      <c r="D239" s="45"/>
      <c r="E239" s="46"/>
      <c r="F239" s="46"/>
      <c r="G239" s="60"/>
      <c r="H239" s="60"/>
      <c r="I239" s="60"/>
      <c r="J239" s="60"/>
      <c r="K239" s="60"/>
      <c r="L239" s="60"/>
      <c r="M239" s="60"/>
      <c r="N239" s="60"/>
      <c r="O239" s="60"/>
      <c r="P239" s="61"/>
      <c r="Q239" s="61"/>
      <c r="R239" s="112"/>
      <c r="S239" s="108"/>
      <c r="T239" s="78"/>
      <c r="U239" s="108"/>
    </row>
    <row r="240" spans="1:21" x14ac:dyDescent="0.25">
      <c r="A240" s="33">
        <v>68381</v>
      </c>
      <c r="B240" s="73"/>
      <c r="C240" s="144"/>
      <c r="D240" s="74"/>
      <c r="E240" s="75"/>
      <c r="F240" s="75"/>
      <c r="G240" s="67"/>
      <c r="H240" s="67"/>
      <c r="I240" s="67"/>
      <c r="J240" s="67"/>
      <c r="K240" s="67"/>
      <c r="L240" s="67"/>
      <c r="M240" s="67"/>
      <c r="N240" s="67"/>
      <c r="O240" s="67"/>
      <c r="P240" s="68"/>
      <c r="Q240" s="68"/>
      <c r="R240" s="69"/>
      <c r="S240" s="34"/>
      <c r="T240" s="76"/>
      <c r="U240" s="34"/>
    </row>
    <row r="241" spans="1:21" ht="30" x14ac:dyDescent="0.25">
      <c r="A241" s="33">
        <v>68381</v>
      </c>
      <c r="B241" s="102" t="s">
        <v>249</v>
      </c>
      <c r="C241" s="141">
        <v>45722</v>
      </c>
      <c r="D241" s="45">
        <v>18</v>
      </c>
      <c r="E241" s="46">
        <v>244193</v>
      </c>
      <c r="F241" s="46">
        <v>0</v>
      </c>
      <c r="G241" s="60">
        <f>E241-F241</f>
        <v>244193</v>
      </c>
      <c r="H241" s="60">
        <f>G241*18%</f>
        <v>43954.74</v>
      </c>
      <c r="I241" s="60">
        <f>G241+H241</f>
        <v>288147.74</v>
      </c>
      <c r="J241" s="60">
        <f>G241*1%</f>
        <v>2441.9299999999998</v>
      </c>
      <c r="K241" s="60">
        <f>G241*5%</f>
        <v>12209.650000000001</v>
      </c>
      <c r="L241" s="60"/>
      <c r="M241" s="60"/>
      <c r="N241" s="60"/>
      <c r="O241" s="100">
        <f>H241</f>
        <v>43954.74</v>
      </c>
      <c r="P241" s="61">
        <v>0</v>
      </c>
      <c r="Q241" s="61">
        <v>0</v>
      </c>
      <c r="R241" s="81">
        <f>I241-J241-K241-O241-P241-Q241-L241-M241-N241</f>
        <v>229541.41999999998</v>
      </c>
      <c r="S241" s="108"/>
      <c r="T241" s="78"/>
      <c r="U241" s="108">
        <f>SUM(R241:R242)-SUM(S241:S242)</f>
        <v>273496.15999999997</v>
      </c>
    </row>
    <row r="242" spans="1:21" x14ac:dyDescent="0.25">
      <c r="A242" s="33">
        <v>68381</v>
      </c>
      <c r="B242" s="49" t="s">
        <v>20</v>
      </c>
      <c r="C242" s="141"/>
      <c r="D242" s="45">
        <v>18</v>
      </c>
      <c r="E242" s="46">
        <f>O241</f>
        <v>43954.74</v>
      </c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28"/>
      <c r="Q242" s="28"/>
      <c r="R242" s="101">
        <f>E242</f>
        <v>43954.74</v>
      </c>
      <c r="S242" s="108"/>
      <c r="T242" s="78"/>
      <c r="U242" s="108"/>
    </row>
    <row r="243" spans="1:21" x14ac:dyDescent="0.25">
      <c r="A243" s="33">
        <v>68839</v>
      </c>
      <c r="B243" s="73"/>
      <c r="C243" s="144"/>
      <c r="D243" s="74"/>
      <c r="E243" s="75"/>
      <c r="F243" s="75"/>
      <c r="G243" s="67"/>
      <c r="H243" s="67"/>
      <c r="I243" s="67"/>
      <c r="J243" s="67"/>
      <c r="K243" s="67"/>
      <c r="L243" s="67"/>
      <c r="M243" s="67"/>
      <c r="N243" s="67"/>
      <c r="O243" s="67"/>
      <c r="P243" s="68"/>
      <c r="Q243" s="68"/>
      <c r="R243" s="69"/>
      <c r="S243" s="34"/>
      <c r="T243" s="76"/>
      <c r="U243" s="34"/>
    </row>
    <row r="244" spans="1:21" ht="30" x14ac:dyDescent="0.25">
      <c r="A244" s="33">
        <v>68839</v>
      </c>
      <c r="B244" s="102" t="s">
        <v>250</v>
      </c>
      <c r="C244" s="141">
        <v>45763</v>
      </c>
      <c r="D244" s="45">
        <v>3</v>
      </c>
      <c r="E244" s="46">
        <v>290587.5</v>
      </c>
      <c r="F244" s="46">
        <v>0</v>
      </c>
      <c r="G244" s="60">
        <f>E244-F244</f>
        <v>290587.5</v>
      </c>
      <c r="H244" s="60">
        <f>G244*18%</f>
        <v>52305.75</v>
      </c>
      <c r="I244" s="60">
        <f>G244+H244</f>
        <v>342893.25</v>
      </c>
      <c r="J244" s="60">
        <f>G244*1%</f>
        <v>2905.875</v>
      </c>
      <c r="K244" s="60">
        <f>G244*5%</f>
        <v>14529.375</v>
      </c>
      <c r="L244" s="60"/>
      <c r="M244" s="60"/>
      <c r="N244" s="60"/>
      <c r="O244" s="100">
        <f>H244</f>
        <v>52305.75</v>
      </c>
      <c r="P244" s="61">
        <f>G244*10%</f>
        <v>29058.75</v>
      </c>
      <c r="Q244" s="61">
        <v>0</v>
      </c>
      <c r="R244" s="81">
        <f>I244-J244-K244-O244-P244-Q244-L244-M244-N244</f>
        <v>244093.5</v>
      </c>
      <c r="S244" s="108"/>
      <c r="T244" s="78"/>
      <c r="U244" s="108">
        <f>SUM(R244:R245)-SUM(S244:S245)</f>
        <v>296399.25</v>
      </c>
    </row>
    <row r="245" spans="1:21" x14ac:dyDescent="0.25">
      <c r="A245" s="33">
        <v>68839</v>
      </c>
      <c r="B245" s="49" t="s">
        <v>20</v>
      </c>
      <c r="C245" s="141"/>
      <c r="D245" s="45"/>
      <c r="E245" s="46">
        <f>O244</f>
        <v>52305.75</v>
      </c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28"/>
      <c r="Q245" s="28"/>
      <c r="R245" s="101">
        <f>E245</f>
        <v>52305.75</v>
      </c>
      <c r="S245" s="108"/>
      <c r="T245" s="78"/>
      <c r="U245" s="108"/>
    </row>
    <row r="246" spans="1:21" x14ac:dyDescent="0.25">
      <c r="A246" s="33">
        <v>68840</v>
      </c>
      <c r="B246" s="73"/>
      <c r="C246" s="144"/>
      <c r="D246" s="74"/>
      <c r="E246" s="75"/>
      <c r="F246" s="75"/>
      <c r="G246" s="67"/>
      <c r="H246" s="67"/>
      <c r="I246" s="67"/>
      <c r="J246" s="67"/>
      <c r="K246" s="67"/>
      <c r="L246" s="67"/>
      <c r="M246" s="67"/>
      <c r="N246" s="67"/>
      <c r="O246" s="67"/>
      <c r="P246" s="68"/>
      <c r="Q246" s="68"/>
      <c r="R246" s="69"/>
      <c r="S246" s="34"/>
      <c r="T246" s="76"/>
      <c r="U246" s="34"/>
    </row>
    <row r="247" spans="1:21" ht="30" x14ac:dyDescent="0.25">
      <c r="A247" s="33">
        <v>68840</v>
      </c>
      <c r="B247" s="102" t="s">
        <v>251</v>
      </c>
      <c r="C247" s="141">
        <v>45763</v>
      </c>
      <c r="D247" s="45">
        <v>1</v>
      </c>
      <c r="E247" s="46">
        <v>40000</v>
      </c>
      <c r="F247" s="46">
        <v>0</v>
      </c>
      <c r="G247" s="60">
        <f>E247-F247</f>
        <v>40000</v>
      </c>
      <c r="H247" s="60">
        <f>G247*18%</f>
        <v>7200</v>
      </c>
      <c r="I247" s="60">
        <f>G247+H247</f>
        <v>47200</v>
      </c>
      <c r="J247" s="60">
        <f>G247*1%</f>
        <v>400</v>
      </c>
      <c r="K247" s="60">
        <f>G247*5%</f>
        <v>2000</v>
      </c>
      <c r="L247" s="60"/>
      <c r="M247" s="60"/>
      <c r="N247" s="60"/>
      <c r="O247" s="100">
        <f>H247</f>
        <v>7200</v>
      </c>
      <c r="P247" s="61">
        <v>0</v>
      </c>
      <c r="Q247" s="61">
        <v>0</v>
      </c>
      <c r="R247" s="81">
        <f>I247-J247-K247-O247-P247-Q247-L247-M247-N247</f>
        <v>37600</v>
      </c>
      <c r="S247" s="108"/>
      <c r="T247" s="78"/>
      <c r="U247" s="108">
        <f>SUM(R247:R248)-SUM(S247:S248)</f>
        <v>37600</v>
      </c>
    </row>
    <row r="248" spans="1:21" x14ac:dyDescent="0.25">
      <c r="A248" s="33">
        <v>68840</v>
      </c>
      <c r="B248" s="49" t="s">
        <v>20</v>
      </c>
      <c r="C248" s="141"/>
      <c r="D248" s="45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28"/>
      <c r="Q248" s="28"/>
      <c r="R248" s="101">
        <f>E248</f>
        <v>0</v>
      </c>
      <c r="S248" s="108"/>
      <c r="T248" s="78"/>
      <c r="U248" s="108"/>
    </row>
    <row r="249" spans="1:21" x14ac:dyDescent="0.25">
      <c r="A249" s="33">
        <v>68841</v>
      </c>
      <c r="B249" s="73"/>
      <c r="C249" s="144"/>
      <c r="D249" s="74"/>
      <c r="E249" s="75"/>
      <c r="F249" s="75"/>
      <c r="G249" s="67"/>
      <c r="H249" s="67"/>
      <c r="I249" s="67"/>
      <c r="J249" s="67"/>
      <c r="K249" s="67"/>
      <c r="L249" s="67"/>
      <c r="M249" s="67"/>
      <c r="N249" s="67"/>
      <c r="O249" s="67"/>
      <c r="P249" s="68"/>
      <c r="Q249" s="68"/>
      <c r="R249" s="69"/>
      <c r="S249" s="34"/>
      <c r="T249" s="76"/>
      <c r="U249" s="34"/>
    </row>
    <row r="250" spans="1:21" ht="30" x14ac:dyDescent="0.25">
      <c r="A250" s="33">
        <v>68841</v>
      </c>
      <c r="B250" s="102" t="s">
        <v>251</v>
      </c>
      <c r="C250" s="141">
        <v>45743</v>
      </c>
      <c r="D250" s="45">
        <v>20</v>
      </c>
      <c r="E250" s="46">
        <v>40000</v>
      </c>
      <c r="F250" s="46">
        <v>0</v>
      </c>
      <c r="G250" s="60">
        <f>E250-F250</f>
        <v>40000</v>
      </c>
      <c r="H250" s="60">
        <f>G250*18%</f>
        <v>7200</v>
      </c>
      <c r="I250" s="60">
        <f>G250+H250</f>
        <v>47200</v>
      </c>
      <c r="J250" s="60">
        <f>G250*1%</f>
        <v>400</v>
      </c>
      <c r="K250" s="60">
        <f>G250*5%</f>
        <v>2000</v>
      </c>
      <c r="L250" s="60"/>
      <c r="M250" s="60"/>
      <c r="N250" s="60"/>
      <c r="O250" s="100">
        <f>H250</f>
        <v>7200</v>
      </c>
      <c r="P250" s="61">
        <v>0</v>
      </c>
      <c r="Q250" s="61">
        <v>0</v>
      </c>
      <c r="R250" s="81">
        <f>I250-J250-K250-O250-P250-Q250-L250-M250-N250</f>
        <v>37600</v>
      </c>
      <c r="S250" s="108"/>
      <c r="T250" s="78"/>
      <c r="U250" s="108">
        <f>SUM(R250:R251)-SUM(S250:S251)</f>
        <v>44800</v>
      </c>
    </row>
    <row r="251" spans="1:21" x14ac:dyDescent="0.25">
      <c r="A251" s="33">
        <v>68841</v>
      </c>
      <c r="B251" s="49" t="s">
        <v>20</v>
      </c>
      <c r="C251" s="141"/>
      <c r="D251" s="45">
        <v>20</v>
      </c>
      <c r="E251" s="46">
        <f>O250</f>
        <v>7200</v>
      </c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28"/>
      <c r="Q251" s="28"/>
      <c r="R251" s="101">
        <f>E251</f>
        <v>7200</v>
      </c>
      <c r="S251" s="108"/>
      <c r="T251" s="78"/>
      <c r="U251" s="108"/>
    </row>
    <row r="252" spans="1:21" x14ac:dyDescent="0.25">
      <c r="A252" s="33">
        <v>68843</v>
      </c>
      <c r="B252" s="73"/>
      <c r="C252" s="144"/>
      <c r="D252" s="74"/>
      <c r="E252" s="75"/>
      <c r="F252" s="75"/>
      <c r="G252" s="67"/>
      <c r="H252" s="67"/>
      <c r="I252" s="67"/>
      <c r="J252" s="67"/>
      <c r="K252" s="67"/>
      <c r="L252" s="67"/>
      <c r="M252" s="67"/>
      <c r="N252" s="67"/>
      <c r="O252" s="67"/>
      <c r="P252" s="68"/>
      <c r="Q252" s="68"/>
      <c r="R252" s="69"/>
      <c r="S252" s="34"/>
      <c r="T252" s="76"/>
      <c r="U252" s="34"/>
    </row>
    <row r="253" spans="1:21" ht="30" x14ac:dyDescent="0.25">
      <c r="A253" s="33">
        <v>68843</v>
      </c>
      <c r="B253" s="102" t="s">
        <v>251</v>
      </c>
      <c r="C253" s="141">
        <v>45763</v>
      </c>
      <c r="D253" s="45">
        <v>2</v>
      </c>
      <c r="E253" s="46">
        <v>40000</v>
      </c>
      <c r="F253" s="46">
        <v>0</v>
      </c>
      <c r="G253" s="60">
        <f>E253-F253</f>
        <v>40000</v>
      </c>
      <c r="H253" s="60">
        <f>G253*18%</f>
        <v>7200</v>
      </c>
      <c r="I253" s="60">
        <f>G253+H253</f>
        <v>47200</v>
      </c>
      <c r="J253" s="60">
        <f>G253*1%</f>
        <v>400</v>
      </c>
      <c r="K253" s="60">
        <f>G253*5%</f>
        <v>2000</v>
      </c>
      <c r="L253" s="60"/>
      <c r="M253" s="60"/>
      <c r="N253" s="60"/>
      <c r="O253" s="100">
        <f>H253</f>
        <v>7200</v>
      </c>
      <c r="P253" s="61">
        <v>0</v>
      </c>
      <c r="Q253" s="61">
        <v>0</v>
      </c>
      <c r="R253" s="81">
        <f>I253-J253-K253-O253-P253-Q253-L253-M253-N253</f>
        <v>37600</v>
      </c>
      <c r="S253" s="108"/>
      <c r="T253" s="78"/>
      <c r="U253" s="108">
        <f>SUM(R253:R254)-SUM(S253:S254)</f>
        <v>37600</v>
      </c>
    </row>
    <row r="254" spans="1:21" x14ac:dyDescent="0.25">
      <c r="A254" s="33">
        <v>68843</v>
      </c>
      <c r="B254" s="49" t="s">
        <v>20</v>
      </c>
      <c r="C254" s="141"/>
      <c r="D254" s="45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28"/>
      <c r="Q254" s="28"/>
      <c r="R254" s="101">
        <f>E254</f>
        <v>0</v>
      </c>
      <c r="S254" s="108"/>
      <c r="T254" s="78"/>
      <c r="U254" s="108"/>
    </row>
    <row r="255" spans="1:21" ht="14.25" customHeight="1" x14ac:dyDescent="0.25">
      <c r="A255" s="33">
        <v>68843</v>
      </c>
      <c r="B255" s="102"/>
      <c r="C255" s="145"/>
      <c r="D255" s="103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10"/>
      <c r="Q255" s="110"/>
      <c r="R255" s="111"/>
      <c r="S255" s="108"/>
      <c r="T255" s="78"/>
      <c r="U255" s="108"/>
    </row>
    <row r="256" spans="1:21" ht="15.75" thickBot="1" x14ac:dyDescent="0.3">
      <c r="A256" s="33">
        <v>68843</v>
      </c>
      <c r="B256" s="49"/>
      <c r="C256" s="141"/>
      <c r="D256" s="45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28"/>
      <c r="Q256" s="28"/>
      <c r="R256" s="30"/>
      <c r="S256" s="31"/>
      <c r="T256" s="78"/>
      <c r="U256" s="31"/>
    </row>
    <row r="257" spans="1:21" x14ac:dyDescent="0.25">
      <c r="A257" s="82"/>
      <c r="B257" s="83"/>
      <c r="C257" s="146"/>
      <c r="D257" s="84"/>
      <c r="E257" s="85"/>
      <c r="F257" s="85"/>
      <c r="G257" s="85"/>
      <c r="H257" s="85"/>
      <c r="I257" s="85"/>
      <c r="J257" s="86">
        <f t="shared" ref="J257:R257" si="1">SUM(J8:J256)</f>
        <v>154808.65899999999</v>
      </c>
      <c r="K257" s="86">
        <f t="shared" si="1"/>
        <v>774045.79500000004</v>
      </c>
      <c r="L257" s="86">
        <f t="shared" si="1"/>
        <v>107294.41</v>
      </c>
      <c r="M257" s="86">
        <f t="shared" si="1"/>
        <v>313014.66499999998</v>
      </c>
      <c r="N257" s="86">
        <f t="shared" si="1"/>
        <v>422291.69000000006</v>
      </c>
      <c r="O257" s="86">
        <f t="shared" si="1"/>
        <v>2786552.6600000006</v>
      </c>
      <c r="P257" s="86">
        <f t="shared" si="1"/>
        <v>371514.85000000003</v>
      </c>
      <c r="Q257" s="86">
        <f t="shared" si="1"/>
        <v>923468.5</v>
      </c>
      <c r="R257" s="86">
        <f t="shared" si="1"/>
        <v>15136301.595999999</v>
      </c>
      <c r="S257" s="86">
        <f>SUM(S8:S256)</f>
        <v>14862976</v>
      </c>
      <c r="T257" s="87" t="s">
        <v>131</v>
      </c>
      <c r="U257" s="86">
        <f>SUM(U8:U256)</f>
        <v>273325.59599999984</v>
      </c>
    </row>
    <row r="258" spans="1:21" ht="15.75" thickBot="1" x14ac:dyDescent="0.3">
      <c r="A258" s="9"/>
      <c r="B258" s="10"/>
      <c r="C258" s="136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4"/>
      <c r="S258" s="88">
        <f>R257-S257</f>
        <v>273325.59599999897</v>
      </c>
      <c r="T258" s="89" t="s">
        <v>132</v>
      </c>
      <c r="U258" s="88"/>
    </row>
    <row r="259" spans="1:21" ht="15.75" thickBot="1" x14ac:dyDescent="0.3">
      <c r="A259" s="90"/>
      <c r="B259" s="91"/>
      <c r="C259" s="147"/>
      <c r="D259" s="92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</row>
    <row r="260" spans="1:21" ht="18.75" x14ac:dyDescent="0.25">
      <c r="O260" s="123" t="s">
        <v>0</v>
      </c>
      <c r="P260" s="123"/>
      <c r="Q260" s="123"/>
      <c r="R260" s="123"/>
      <c r="S260" s="93"/>
      <c r="U260" s="93"/>
    </row>
    <row r="261" spans="1:21" ht="16.5" thickBot="1" x14ac:dyDescent="0.3">
      <c r="O261" s="124">
        <v>45780</v>
      </c>
      <c r="P261" s="125"/>
      <c r="Q261" s="125"/>
      <c r="R261" s="125"/>
    </row>
    <row r="262" spans="1:21" ht="15.75" x14ac:dyDescent="0.25">
      <c r="G262" s="4"/>
      <c r="O262" s="126" t="s">
        <v>133</v>
      </c>
      <c r="P262" s="126"/>
      <c r="Q262" s="127">
        <f>K257+L257+M257+N257+P257</f>
        <v>1988161.4100000001</v>
      </c>
      <c r="R262" s="127"/>
    </row>
    <row r="263" spans="1:21" ht="15.75" x14ac:dyDescent="0.25">
      <c r="D263" s="5"/>
      <c r="F263"/>
      <c r="H263" s="3"/>
      <c r="I263" s="3"/>
      <c r="O263" s="132" t="s">
        <v>162</v>
      </c>
      <c r="P263" s="133"/>
      <c r="Q263" s="128">
        <f>S258</f>
        <v>273325.59599999897</v>
      </c>
      <c r="R263" s="128"/>
    </row>
    <row r="264" spans="1:21" ht="15.75" x14ac:dyDescent="0.25">
      <c r="D264" s="5"/>
      <c r="F264"/>
      <c r="H264" s="3"/>
      <c r="I264" s="3"/>
      <c r="O264" s="129" t="s">
        <v>151</v>
      </c>
      <c r="P264" s="129"/>
      <c r="Q264" s="128">
        <f>Q257</f>
        <v>923468.5</v>
      </c>
      <c r="R264" s="128"/>
    </row>
    <row r="265" spans="1:21" ht="16.5" thickBot="1" x14ac:dyDescent="0.3">
      <c r="F265"/>
      <c r="H265" s="3"/>
      <c r="I265" s="3"/>
      <c r="O265" s="130" t="s">
        <v>134</v>
      </c>
      <c r="P265" s="130"/>
      <c r="Q265" s="131">
        <f>O241+O250+O253+O247</f>
        <v>65554.739999999991</v>
      </c>
      <c r="R265" s="131"/>
    </row>
    <row r="266" spans="1:21" x14ac:dyDescent="0.25">
      <c r="F266"/>
      <c r="H266" s="3"/>
      <c r="I266" s="3" t="s">
        <v>135</v>
      </c>
    </row>
    <row r="267" spans="1:21" x14ac:dyDescent="0.25">
      <c r="F267" t="s">
        <v>91</v>
      </c>
      <c r="H267" s="3"/>
      <c r="I267" s="3"/>
    </row>
    <row r="268" spans="1:21" x14ac:dyDescent="0.25">
      <c r="E268"/>
      <c r="F268"/>
      <c r="G268"/>
      <c r="H268"/>
      <c r="I268" s="3"/>
    </row>
    <row r="269" spans="1:21" x14ac:dyDescent="0.25">
      <c r="E269"/>
      <c r="F269"/>
      <c r="H269" s="3"/>
      <c r="I269" s="3"/>
    </row>
    <row r="270" spans="1:21" x14ac:dyDescent="0.25">
      <c r="E270"/>
      <c r="F270"/>
      <c r="H270" s="3"/>
      <c r="I270" s="3"/>
    </row>
    <row r="271" spans="1:21" x14ac:dyDescent="0.25">
      <c r="F271"/>
      <c r="H271" s="3"/>
      <c r="I271" s="3"/>
    </row>
    <row r="272" spans="1:21" x14ac:dyDescent="0.25">
      <c r="F272"/>
      <c r="H272" s="3"/>
      <c r="I272" s="3"/>
    </row>
    <row r="273" spans="5:9" x14ac:dyDescent="0.25">
      <c r="F273"/>
      <c r="H273" s="3"/>
      <c r="I273" s="3"/>
    </row>
    <row r="274" spans="5:9" x14ac:dyDescent="0.25">
      <c r="F274"/>
      <c r="H274" s="3"/>
      <c r="I274" s="3"/>
    </row>
    <row r="275" spans="5:9" x14ac:dyDescent="0.25">
      <c r="F275" t="s">
        <v>91</v>
      </c>
      <c r="H275" s="3"/>
      <c r="I275" s="3"/>
    </row>
    <row r="276" spans="5:9" x14ac:dyDescent="0.25">
      <c r="E276"/>
      <c r="F276"/>
      <c r="H276" s="3"/>
      <c r="I276" s="3"/>
    </row>
    <row r="277" spans="5:9" x14ac:dyDescent="0.25">
      <c r="E277"/>
      <c r="F277"/>
      <c r="H277" s="3"/>
      <c r="I277" s="3"/>
    </row>
    <row r="278" spans="5:9" x14ac:dyDescent="0.25">
      <c r="E278"/>
      <c r="F278"/>
      <c r="G278"/>
      <c r="H278" s="3"/>
      <c r="I278" s="3"/>
    </row>
    <row r="279" spans="5:9" x14ac:dyDescent="0.25">
      <c r="F279"/>
      <c r="H279" s="3"/>
      <c r="I279" s="3"/>
    </row>
    <row r="280" spans="5:9" x14ac:dyDescent="0.25">
      <c r="F280"/>
      <c r="H280" s="3"/>
      <c r="I280" s="3"/>
    </row>
    <row r="281" spans="5:9" x14ac:dyDescent="0.25">
      <c r="F281"/>
      <c r="H281" s="3"/>
      <c r="I281" s="3"/>
    </row>
    <row r="282" spans="5:9" x14ac:dyDescent="0.25">
      <c r="F282"/>
      <c r="H282" s="3"/>
      <c r="I282" s="3"/>
    </row>
    <row r="283" spans="5:9" x14ac:dyDescent="0.25">
      <c r="H283" s="3"/>
      <c r="I283" s="3"/>
    </row>
    <row r="284" spans="5:9" x14ac:dyDescent="0.25">
      <c r="H284" s="3"/>
      <c r="I284" s="3"/>
    </row>
    <row r="285" spans="5:9" x14ac:dyDescent="0.25">
      <c r="H285" s="3"/>
      <c r="I285" s="3"/>
    </row>
    <row r="286" spans="5:9" x14ac:dyDescent="0.25">
      <c r="H286" s="3"/>
      <c r="I286" s="3"/>
    </row>
    <row r="287" spans="5:9" x14ac:dyDescent="0.25">
      <c r="H287" s="3"/>
      <c r="I287" s="3"/>
    </row>
    <row r="290" spans="6:11" x14ac:dyDescent="0.25">
      <c r="F290" s="2"/>
      <c r="G290" s="2"/>
      <c r="H290" s="94"/>
      <c r="I290" s="94"/>
      <c r="J290" s="2"/>
    </row>
    <row r="291" spans="6:11" x14ac:dyDescent="0.25">
      <c r="F291" s="2"/>
      <c r="G291" s="2"/>
      <c r="H291" s="94"/>
      <c r="I291" s="94"/>
      <c r="J291" s="2"/>
      <c r="K291" s="93"/>
    </row>
    <row r="295" spans="6:11" x14ac:dyDescent="0.25">
      <c r="F295" s="121"/>
      <c r="G295" s="121"/>
      <c r="H295" s="121"/>
      <c r="I295" s="121"/>
      <c r="J295" s="121"/>
      <c r="K295" s="121"/>
    </row>
  </sheetData>
  <mergeCells count="12">
    <mergeCell ref="F295:K295"/>
    <mergeCell ref="B4:C4"/>
    <mergeCell ref="O260:R260"/>
    <mergeCell ref="O261:R261"/>
    <mergeCell ref="O262:P262"/>
    <mergeCell ref="Q262:R262"/>
    <mergeCell ref="Q263:R263"/>
    <mergeCell ref="O264:P264"/>
    <mergeCell ref="Q264:R264"/>
    <mergeCell ref="O265:P265"/>
    <mergeCell ref="Q265:R265"/>
    <mergeCell ref="O263:P2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Civil</dc:creator>
  <cp:lastModifiedBy>Shahin Shaikh</cp:lastModifiedBy>
  <dcterms:created xsi:type="dcterms:W3CDTF">2024-06-21T12:08:00Z</dcterms:created>
  <dcterms:modified xsi:type="dcterms:W3CDTF">2025-05-29T11:41:44Z</dcterms:modified>
</cp:coreProperties>
</file>