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E1CC3232-06D6-42A7-A87A-8E890624463A}" xr6:coauthVersionLast="47" xr6:coauthVersionMax="47" xr10:uidLastSave="{00000000-0000-0000-0000-000000000000}"/>
  <bookViews>
    <workbookView xWindow="0" yWindow="984" windowWidth="23040" windowHeight="112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3" i="1" l="1"/>
  <c r="O195" i="1"/>
  <c r="G195" i="1"/>
  <c r="J193" i="1"/>
  <c r="G193" i="1"/>
  <c r="H193" i="1" s="1"/>
  <c r="L193" i="1" s="1"/>
  <c r="G191" i="1"/>
  <c r="I191" i="1" s="1"/>
  <c r="N191" i="1" s="1"/>
  <c r="G190" i="1"/>
  <c r="H190" i="1" s="1"/>
  <c r="K195" i="1" l="1"/>
  <c r="H195" i="1"/>
  <c r="L195" i="1" s="1"/>
  <c r="J195" i="1"/>
  <c r="K193" i="1"/>
  <c r="I193" i="1"/>
  <c r="J190" i="1"/>
  <c r="K190" i="1"/>
  <c r="L190" i="1"/>
  <c r="I190" i="1"/>
  <c r="I195" i="1" l="1"/>
  <c r="N195" i="1" s="1"/>
  <c r="N193" i="1"/>
  <c r="N190" i="1"/>
  <c r="G187" i="1" l="1"/>
  <c r="I187" i="1" s="1"/>
  <c r="N187" i="1" s="1"/>
  <c r="G186" i="1"/>
  <c r="H186" i="1" s="1"/>
  <c r="J186" i="1" l="1"/>
  <c r="K186" i="1"/>
  <c r="L186" i="1"/>
  <c r="I186" i="1"/>
  <c r="N186" i="1" l="1"/>
  <c r="U183" i="1"/>
  <c r="G184" i="1"/>
  <c r="I184" i="1" s="1"/>
  <c r="N184" i="1" s="1"/>
  <c r="G183" i="1"/>
  <c r="K183" i="1" s="1"/>
  <c r="J183" i="1" l="1"/>
  <c r="H183" i="1"/>
  <c r="L183" i="1" s="1"/>
  <c r="I183" i="1" l="1"/>
  <c r="N183" i="1" s="1"/>
  <c r="S179" i="1" l="1"/>
  <c r="G179" i="1"/>
  <c r="I179" i="1" s="1"/>
  <c r="N179" i="1" s="1"/>
  <c r="U178" i="1"/>
  <c r="G178" i="1"/>
  <c r="J178" i="1" s="1"/>
  <c r="U29" i="1"/>
  <c r="G62" i="1"/>
  <c r="K62" i="1" s="1"/>
  <c r="G61" i="1"/>
  <c r="K61" i="1" s="1"/>
  <c r="G68" i="1"/>
  <c r="K68" i="1" s="1"/>
  <c r="E77" i="1"/>
  <c r="G77" i="1" s="1"/>
  <c r="G75" i="1"/>
  <c r="K75" i="1" s="1"/>
  <c r="G74" i="1"/>
  <c r="K74" i="1" s="1"/>
  <c r="K178" i="1" l="1"/>
  <c r="H178" i="1"/>
  <c r="L178" i="1" s="1"/>
  <c r="J61" i="1"/>
  <c r="J62" i="1"/>
  <c r="J74" i="1"/>
  <c r="J75" i="1"/>
  <c r="J68" i="1"/>
  <c r="H61" i="1"/>
  <c r="L61" i="1" s="1"/>
  <c r="E63" i="1" s="1"/>
  <c r="G63" i="1" s="1"/>
  <c r="I63" i="1" s="1"/>
  <c r="N63" i="1" s="1"/>
  <c r="H62" i="1"/>
  <c r="L62" i="1" s="1"/>
  <c r="E64" i="1" s="1"/>
  <c r="G64" i="1" s="1"/>
  <c r="I64" i="1" s="1"/>
  <c r="N64" i="1" s="1"/>
  <c r="I62" i="1"/>
  <c r="H68" i="1"/>
  <c r="L68" i="1" s="1"/>
  <c r="G69" i="1" s="1"/>
  <c r="I69" i="1" s="1"/>
  <c r="N69" i="1" s="1"/>
  <c r="H77" i="1"/>
  <c r="I77" i="1" s="1"/>
  <c r="N77" i="1" s="1"/>
  <c r="H74" i="1"/>
  <c r="L74" i="1" s="1"/>
  <c r="E76" i="1" s="1"/>
  <c r="G76" i="1" s="1"/>
  <c r="I76" i="1" s="1"/>
  <c r="N76" i="1" s="1"/>
  <c r="H75" i="1"/>
  <c r="L75" i="1" s="1"/>
  <c r="E78" i="1" s="1"/>
  <c r="G78" i="1" s="1"/>
  <c r="I78" i="1" s="1"/>
  <c r="N78" i="1" s="1"/>
  <c r="I178" i="1" l="1"/>
  <c r="N178" i="1" s="1"/>
  <c r="I74" i="1"/>
  <c r="I75" i="1"/>
  <c r="N75" i="1" s="1"/>
  <c r="I68" i="1"/>
  <c r="N68" i="1" s="1"/>
  <c r="I61" i="1"/>
  <c r="N61" i="1" s="1"/>
  <c r="N62" i="1"/>
  <c r="N74" i="1"/>
  <c r="E86" i="1" l="1"/>
  <c r="G86" i="1" s="1"/>
  <c r="G84" i="1"/>
  <c r="K84" i="1" s="1"/>
  <c r="G83" i="1"/>
  <c r="K83" i="1" s="1"/>
  <c r="E93" i="1"/>
  <c r="G93" i="1" s="1"/>
  <c r="G91" i="1"/>
  <c r="K91" i="1" s="1"/>
  <c r="N98" i="1"/>
  <c r="L97" i="1"/>
  <c r="G97" i="1"/>
  <c r="K97" i="1" s="1"/>
  <c r="U106" i="1"/>
  <c r="U105" i="1"/>
  <c r="U103" i="1"/>
  <c r="R102" i="1"/>
  <c r="U102" i="1" s="1"/>
  <c r="G104" i="1"/>
  <c r="K104" i="1" s="1"/>
  <c r="G102" i="1"/>
  <c r="K102" i="1" s="1"/>
  <c r="R109" i="1"/>
  <c r="U109" i="1" s="1"/>
  <c r="U113" i="1"/>
  <c r="U112" i="1"/>
  <c r="U111" i="1"/>
  <c r="U110" i="1"/>
  <c r="G111" i="1"/>
  <c r="I111" i="1" s="1"/>
  <c r="N111" i="1" s="1"/>
  <c r="G110" i="1"/>
  <c r="K110" i="1" s="1"/>
  <c r="G109" i="1"/>
  <c r="K109" i="1" s="1"/>
  <c r="N119" i="1"/>
  <c r="N117" i="1"/>
  <c r="U117" i="1"/>
  <c r="G118" i="1"/>
  <c r="K118" i="1" s="1"/>
  <c r="G116" i="1"/>
  <c r="K116" i="1" s="1"/>
  <c r="U128" i="1"/>
  <c r="U127" i="1"/>
  <c r="U126" i="1"/>
  <c r="U125" i="1"/>
  <c r="U124" i="1"/>
  <c r="G126" i="1"/>
  <c r="J126" i="1" s="1"/>
  <c r="G124" i="1"/>
  <c r="J124" i="1" s="1"/>
  <c r="N134" i="1"/>
  <c r="U142" i="1"/>
  <c r="R131" i="1"/>
  <c r="U131" i="1" s="1"/>
  <c r="G133" i="1"/>
  <c r="K133" i="1" s="1"/>
  <c r="E131" i="1"/>
  <c r="G131" i="1" s="1"/>
  <c r="J131" i="1" s="1"/>
  <c r="R138" i="1"/>
  <c r="U138" i="1" s="1"/>
  <c r="G140" i="1"/>
  <c r="K140" i="1" s="1"/>
  <c r="G138" i="1"/>
  <c r="K138" i="1" s="1"/>
  <c r="R144" i="1"/>
  <c r="U144" i="1" s="1"/>
  <c r="N147" i="1"/>
  <c r="N145" i="1"/>
  <c r="R151" i="1"/>
  <c r="U151" i="1" s="1"/>
  <c r="G146" i="1"/>
  <c r="K146" i="1" s="1"/>
  <c r="M144" i="1"/>
  <c r="G144" i="1"/>
  <c r="K144" i="1" s="1"/>
  <c r="G153" i="1"/>
  <c r="K153" i="1" s="1"/>
  <c r="G151" i="1"/>
  <c r="J151" i="1" s="1"/>
  <c r="N158" i="1"/>
  <c r="M157" i="1"/>
  <c r="G157" i="1"/>
  <c r="K157" i="1" s="1"/>
  <c r="U162" i="1"/>
  <c r="U161" i="1"/>
  <c r="N162" i="1"/>
  <c r="G161" i="1"/>
  <c r="K161" i="1" s="1"/>
  <c r="N168" i="1"/>
  <c r="N167" i="1"/>
  <c r="K167" i="1"/>
  <c r="J167" i="1"/>
  <c r="H167" i="1"/>
  <c r="L167" i="1" s="1"/>
  <c r="G166" i="1"/>
  <c r="K166" i="1" s="1"/>
  <c r="O165" i="1"/>
  <c r="M165" i="1"/>
  <c r="G165" i="1"/>
  <c r="K165" i="1" s="1"/>
  <c r="U168" i="1"/>
  <c r="U166" i="1"/>
  <c r="U167" i="1"/>
  <c r="N173" i="1"/>
  <c r="G172" i="1"/>
  <c r="K172" i="1" s="1"/>
  <c r="O170" i="1"/>
  <c r="M170" i="1"/>
  <c r="G170" i="1"/>
  <c r="K170" i="1" s="1"/>
  <c r="U173" i="1"/>
  <c r="U172" i="1"/>
  <c r="N176" i="1"/>
  <c r="O175" i="1"/>
  <c r="G175" i="1"/>
  <c r="K175" i="1" s="1"/>
  <c r="O7" i="1"/>
  <c r="J91" i="1" l="1"/>
  <c r="H86" i="1"/>
  <c r="I86" i="1" s="1"/>
  <c r="N86" i="1" s="1"/>
  <c r="H83" i="1"/>
  <c r="L83" i="1" s="1"/>
  <c r="E85" i="1" s="1"/>
  <c r="G85" i="1" s="1"/>
  <c r="I85" i="1" s="1"/>
  <c r="N85" i="1" s="1"/>
  <c r="J83" i="1"/>
  <c r="H84" i="1"/>
  <c r="L84" i="1" s="1"/>
  <c r="E87" i="1" s="1"/>
  <c r="G87" i="1" s="1"/>
  <c r="I87" i="1" s="1"/>
  <c r="N87" i="1" s="1"/>
  <c r="J84" i="1"/>
  <c r="J97" i="1"/>
  <c r="H93" i="1"/>
  <c r="I93" i="1" s="1"/>
  <c r="N93" i="1" s="1"/>
  <c r="H91" i="1"/>
  <c r="L91" i="1" s="1"/>
  <c r="E92" i="1" s="1"/>
  <c r="G92" i="1" s="1"/>
  <c r="I92" i="1" s="1"/>
  <c r="N92" i="1" s="1"/>
  <c r="J102" i="1"/>
  <c r="J104" i="1"/>
  <c r="I97" i="1"/>
  <c r="H102" i="1"/>
  <c r="L102" i="1" s="1"/>
  <c r="E103" i="1" s="1"/>
  <c r="N103" i="1" s="1"/>
  <c r="H104" i="1"/>
  <c r="L104" i="1" s="1"/>
  <c r="E105" i="1" s="1"/>
  <c r="N105" i="1" s="1"/>
  <c r="K126" i="1"/>
  <c r="K124" i="1"/>
  <c r="J116" i="1"/>
  <c r="J118" i="1"/>
  <c r="H109" i="1"/>
  <c r="L109" i="1" s="1"/>
  <c r="J109" i="1"/>
  <c r="H110" i="1"/>
  <c r="I110" i="1" s="1"/>
  <c r="J110" i="1"/>
  <c r="H116" i="1"/>
  <c r="L116" i="1" s="1"/>
  <c r="I116" i="1"/>
  <c r="H118" i="1"/>
  <c r="L118" i="1" s="1"/>
  <c r="H124" i="1"/>
  <c r="L124" i="1" s="1"/>
  <c r="E125" i="1" s="1"/>
  <c r="N125" i="1" s="1"/>
  <c r="H126" i="1"/>
  <c r="I126" i="1" s="1"/>
  <c r="J133" i="1"/>
  <c r="J138" i="1"/>
  <c r="J140" i="1"/>
  <c r="K131" i="1"/>
  <c r="H131" i="1"/>
  <c r="L131" i="1" s="1"/>
  <c r="E132" i="1" s="1"/>
  <c r="N132" i="1" s="1"/>
  <c r="H133" i="1"/>
  <c r="L133" i="1" s="1"/>
  <c r="K151" i="1"/>
  <c r="N151" i="1" s="1"/>
  <c r="L153" i="1"/>
  <c r="J153" i="1"/>
  <c r="N153" i="1" s="1"/>
  <c r="H138" i="1"/>
  <c r="L138" i="1" s="1"/>
  <c r="E139" i="1" s="1"/>
  <c r="N139" i="1" s="1"/>
  <c r="H140" i="1"/>
  <c r="L140" i="1" s="1"/>
  <c r="E141" i="1" s="1"/>
  <c r="N141" i="1" s="1"/>
  <c r="J144" i="1"/>
  <c r="J146" i="1"/>
  <c r="H144" i="1"/>
  <c r="L144" i="1" s="1"/>
  <c r="H146" i="1"/>
  <c r="L146" i="1" s="1"/>
  <c r="H151" i="1"/>
  <c r="L151" i="1" s="1"/>
  <c r="E152" i="1" s="1"/>
  <c r="N152" i="1" s="1"/>
  <c r="H153" i="1"/>
  <c r="I153" i="1" s="1"/>
  <c r="H157" i="1"/>
  <c r="L157" i="1" s="1"/>
  <c r="J157" i="1"/>
  <c r="H161" i="1"/>
  <c r="L161" i="1" s="1"/>
  <c r="J161" i="1"/>
  <c r="H165" i="1"/>
  <c r="L165" i="1" s="1"/>
  <c r="J165" i="1"/>
  <c r="H166" i="1"/>
  <c r="L166" i="1" s="1"/>
  <c r="J166" i="1"/>
  <c r="I167" i="1"/>
  <c r="H170" i="1"/>
  <c r="L170" i="1" s="1"/>
  <c r="J170" i="1"/>
  <c r="H172" i="1"/>
  <c r="L172" i="1" s="1"/>
  <c r="J172" i="1"/>
  <c r="H175" i="1"/>
  <c r="L175" i="1" s="1"/>
  <c r="J175" i="1"/>
  <c r="I140" i="1" l="1"/>
  <c r="I170" i="1"/>
  <c r="N170" i="1" s="1"/>
  <c r="I166" i="1"/>
  <c r="N166" i="1" s="1"/>
  <c r="I124" i="1"/>
  <c r="N124" i="1" s="1"/>
  <c r="I151" i="1"/>
  <c r="I144" i="1"/>
  <c r="N144" i="1" s="1"/>
  <c r="I109" i="1"/>
  <c r="N109" i="1" s="1"/>
  <c r="I102" i="1"/>
  <c r="N102" i="1" s="1"/>
  <c r="I161" i="1"/>
  <c r="N161" i="1" s="1"/>
  <c r="I118" i="1"/>
  <c r="I84" i="1"/>
  <c r="N84" i="1" s="1"/>
  <c r="I175" i="1"/>
  <c r="N175" i="1" s="1"/>
  <c r="I165" i="1"/>
  <c r="N165" i="1" s="1"/>
  <c r="I146" i="1"/>
  <c r="N146" i="1" s="1"/>
  <c r="I138" i="1"/>
  <c r="N138" i="1" s="1"/>
  <c r="I104" i="1"/>
  <c r="N104" i="1" s="1"/>
  <c r="E154" i="1"/>
  <c r="I172" i="1"/>
  <c r="I157" i="1"/>
  <c r="N157" i="1" s="1"/>
  <c r="I133" i="1"/>
  <c r="N133" i="1" s="1"/>
  <c r="I91" i="1"/>
  <c r="I83" i="1"/>
  <c r="N83" i="1"/>
  <c r="N91" i="1"/>
  <c r="N97" i="1"/>
  <c r="G112" i="1"/>
  <c r="I112" i="1" s="1"/>
  <c r="N112" i="1" s="1"/>
  <c r="L110" i="1"/>
  <c r="N110" i="1" s="1"/>
  <c r="N118" i="1"/>
  <c r="N116" i="1"/>
  <c r="E127" i="1"/>
  <c r="N127" i="1" s="1"/>
  <c r="L126" i="1"/>
  <c r="N126" i="1" s="1"/>
  <c r="I131" i="1"/>
  <c r="N131" i="1" s="1"/>
  <c r="N140" i="1"/>
  <c r="I154" i="1"/>
  <c r="N154" i="1"/>
  <c r="N172" i="1"/>
  <c r="U171" i="1"/>
  <c r="U170" i="1"/>
  <c r="U165" i="1"/>
  <c r="S152" i="1" l="1"/>
  <c r="Q146" i="1" l="1"/>
  <c r="Q145" i="1"/>
  <c r="S145" i="1" l="1"/>
  <c r="S147" i="1"/>
  <c r="R145" i="1"/>
  <c r="Q140" i="1" l="1"/>
  <c r="S138" i="1"/>
  <c r="U133" i="1" l="1"/>
  <c r="S131" i="1"/>
  <c r="T125" i="1" l="1"/>
  <c r="U120" i="1" l="1"/>
  <c r="U119" i="1"/>
  <c r="U118" i="1"/>
  <c r="R116" i="1"/>
  <c r="U116" i="1" s="1"/>
  <c r="Q104" i="1" l="1"/>
  <c r="U104" i="1" s="1"/>
  <c r="U99" i="1" l="1"/>
  <c r="Q98" i="1"/>
  <c r="U97" i="1"/>
  <c r="U93" i="1" l="1"/>
  <c r="R91" i="1"/>
  <c r="U91" i="1" s="1"/>
  <c r="U87" i="1" l="1"/>
  <c r="U86" i="1"/>
  <c r="U85" i="1"/>
  <c r="S84" i="1"/>
  <c r="R84" i="1"/>
  <c r="R83" i="1"/>
  <c r="U83" i="1" s="1"/>
  <c r="U84" i="1" l="1"/>
  <c r="U78" i="1" l="1"/>
  <c r="S77" i="1"/>
  <c r="R77" i="1"/>
  <c r="U76" i="1"/>
  <c r="U75" i="1"/>
  <c r="R74" i="1"/>
  <c r="U74" i="1" s="1"/>
  <c r="U71" i="1" l="1"/>
  <c r="S70" i="1"/>
  <c r="R69" i="1"/>
  <c r="U69" i="1" s="1"/>
  <c r="R68" i="1"/>
  <c r="U68" i="1" s="1"/>
  <c r="S64" i="1" l="1"/>
  <c r="R64" i="1"/>
  <c r="Q63" i="1"/>
  <c r="S62" i="1"/>
  <c r="R61" i="1"/>
  <c r="U61" i="1" s="1"/>
  <c r="T53" i="1" l="1"/>
  <c r="S52" i="1"/>
  <c r="E54" i="1"/>
  <c r="G54" i="1" s="1"/>
  <c r="H54" i="1" s="1"/>
  <c r="G53" i="1"/>
  <c r="J53" i="1" s="1"/>
  <c r="G52" i="1"/>
  <c r="K52" i="1" l="1"/>
  <c r="J52" i="1"/>
  <c r="H52" i="1"/>
  <c r="L52" i="1" s="1"/>
  <c r="E55" i="1" s="1"/>
  <c r="G55" i="1" s="1"/>
  <c r="I55" i="1" s="1"/>
  <c r="N55" i="1" s="1"/>
  <c r="K53" i="1"/>
  <c r="I54" i="1"/>
  <c r="N54" i="1" s="1"/>
  <c r="H53" i="1"/>
  <c r="L53" i="1" s="1"/>
  <c r="E56" i="1" s="1"/>
  <c r="G56" i="1" s="1"/>
  <c r="I56" i="1" s="1"/>
  <c r="N56" i="1" s="1"/>
  <c r="I52" i="1" l="1"/>
  <c r="N52" i="1" s="1"/>
  <c r="I53" i="1"/>
  <c r="N53" i="1" s="1"/>
  <c r="U49" i="1" l="1"/>
  <c r="U48" i="1"/>
  <c r="U47" i="1"/>
  <c r="G13" i="1"/>
  <c r="G48" i="1"/>
  <c r="K48" i="1" s="1"/>
  <c r="J47" i="1"/>
  <c r="H13" i="1" l="1"/>
  <c r="L13" i="1" s="1"/>
  <c r="E14" i="1" s="1"/>
  <c r="G14" i="1" s="1"/>
  <c r="I14" i="1" s="1"/>
  <c r="N14" i="1" s="1"/>
  <c r="J13" i="1"/>
  <c r="K13" i="1"/>
  <c r="H47" i="1"/>
  <c r="J48" i="1"/>
  <c r="H48" i="1"/>
  <c r="L48" i="1" s="1"/>
  <c r="K47" i="1"/>
  <c r="I13" i="1" l="1"/>
  <c r="N13" i="1" s="1"/>
  <c r="I48" i="1"/>
  <c r="N48" i="1" s="1"/>
  <c r="L47" i="1"/>
  <c r="G49" i="1"/>
  <c r="I49" i="1" s="1"/>
  <c r="N49" i="1" s="1"/>
  <c r="I47" i="1"/>
  <c r="N47" i="1" l="1"/>
  <c r="U43" i="1"/>
  <c r="S42" i="1"/>
  <c r="R42" i="1"/>
  <c r="R41" i="1"/>
  <c r="U41" i="1" s="1"/>
  <c r="E43" i="1"/>
  <c r="G43" i="1" s="1"/>
  <c r="H43" i="1" s="1"/>
  <c r="G41" i="1"/>
  <c r="J41" i="1" s="1"/>
  <c r="H41" i="1" l="1"/>
  <c r="L41" i="1" s="1"/>
  <c r="E42" i="1" s="1"/>
  <c r="G42" i="1" s="1"/>
  <c r="K41" i="1"/>
  <c r="I43" i="1"/>
  <c r="N43" i="1" s="1"/>
  <c r="I42" i="1" l="1"/>
  <c r="N42" i="1" s="1"/>
  <c r="I41" i="1"/>
  <c r="N41" i="1" s="1"/>
  <c r="U36" i="1" l="1"/>
  <c r="S35" i="1"/>
  <c r="R35" i="1"/>
  <c r="R34" i="1"/>
  <c r="U34" i="1" s="1"/>
  <c r="R33" i="1"/>
  <c r="U33" i="1" s="1"/>
  <c r="G36" i="1"/>
  <c r="E35" i="1"/>
  <c r="G35" i="1" s="1"/>
  <c r="H35" i="1" s="1"/>
  <c r="G33" i="1"/>
  <c r="J33" i="1" s="1"/>
  <c r="J36" i="1" l="1"/>
  <c r="K36" i="1"/>
  <c r="H33" i="1"/>
  <c r="L33" i="1" s="1"/>
  <c r="G34" i="1" s="1"/>
  <c r="H36" i="1"/>
  <c r="L36" i="1" s="1"/>
  <c r="E37" i="1" s="1"/>
  <c r="G37" i="1" s="1"/>
  <c r="K33" i="1"/>
  <c r="I35" i="1"/>
  <c r="N35" i="1" s="1"/>
  <c r="N36" i="1" l="1"/>
  <c r="I36" i="1"/>
  <c r="I34" i="1"/>
  <c r="N34" i="1" s="1"/>
  <c r="L37" i="1"/>
  <c r="I33" i="1"/>
  <c r="N33" i="1" s="1"/>
  <c r="I37" i="1" l="1"/>
  <c r="N37" i="1" s="1"/>
  <c r="U30" i="1"/>
  <c r="S29" i="1"/>
  <c r="R28" i="1"/>
  <c r="U28" i="1" s="1"/>
  <c r="R27" i="1"/>
  <c r="U27" i="1" s="1"/>
  <c r="R26" i="1"/>
  <c r="U26" i="1" s="1"/>
  <c r="E28" i="1"/>
  <c r="G28" i="1" s="1"/>
  <c r="H28" i="1" s="1"/>
  <c r="G26" i="1"/>
  <c r="K26" i="1" l="1"/>
  <c r="H26" i="1"/>
  <c r="L26" i="1" s="1"/>
  <c r="E27" i="1" s="1"/>
  <c r="G27" i="1" s="1"/>
  <c r="I27" i="1" s="1"/>
  <c r="N27" i="1" s="1"/>
  <c r="J26" i="1"/>
  <c r="I28" i="1"/>
  <c r="N28" i="1" s="1"/>
  <c r="I26" i="1" l="1"/>
  <c r="N26" i="1" s="1"/>
  <c r="S22" i="1"/>
  <c r="R21" i="1"/>
  <c r="U21" i="1" s="1"/>
  <c r="R20" i="1"/>
  <c r="U20" i="1" s="1"/>
  <c r="R19" i="1"/>
  <c r="U19" i="1" s="1"/>
  <c r="F19" i="1"/>
  <c r="G19" i="1" s="1"/>
  <c r="H19" i="1" l="1"/>
  <c r="L19" i="1" s="1"/>
  <c r="G20" i="1" s="1"/>
  <c r="J19" i="1"/>
  <c r="K19" i="1"/>
  <c r="I20" i="1" l="1"/>
  <c r="N20" i="1" s="1"/>
  <c r="I19" i="1"/>
  <c r="N19" i="1" s="1"/>
  <c r="U16" i="1" l="1"/>
  <c r="S15" i="1"/>
  <c r="R14" i="1"/>
  <c r="U14" i="1" s="1"/>
  <c r="R13" i="1"/>
  <c r="U13" i="1" s="1"/>
  <c r="E15" i="1"/>
  <c r="G15" i="1" s="1"/>
  <c r="H15" i="1" s="1"/>
  <c r="U15" i="1" l="1"/>
  <c r="I15" i="1"/>
  <c r="N15" i="1" s="1"/>
  <c r="U10" i="1" l="1"/>
  <c r="U9" i="1"/>
  <c r="R8" i="1"/>
  <c r="U8" i="1" s="1"/>
  <c r="R7" i="1"/>
  <c r="U7" i="1" s="1"/>
  <c r="U204" i="1" s="1"/>
  <c r="G7" i="1"/>
  <c r="J7" i="1" s="1"/>
  <c r="K7" i="1" l="1"/>
  <c r="H7" i="1"/>
  <c r="L7" i="1" s="1"/>
  <c r="E8" i="1" s="1"/>
  <c r="G8" i="1" s="1"/>
  <c r="I8" i="1" s="1"/>
  <c r="N8" i="1" s="1"/>
  <c r="I7" i="1" l="1"/>
  <c r="N7" i="1" s="1"/>
  <c r="N204" i="1" s="1"/>
  <c r="U206" i="1" s="1"/>
  <c r="M204" i="1" l="1"/>
</calcChain>
</file>

<file path=xl/sharedStrings.xml><?xml version="1.0" encoding="utf-8"?>
<sst xmlns="http://schemas.openxmlformats.org/spreadsheetml/2006/main" count="392" uniqueCount="349">
  <si>
    <t>Amount</t>
  </si>
  <si>
    <t>PAYMENT NOTE No.</t>
  </si>
  <si>
    <t>UTR</t>
  </si>
  <si>
    <t>SD (5%)</t>
  </si>
  <si>
    <t>Advance paid</t>
  </si>
  <si>
    <t>Drilling work</t>
  </si>
  <si>
    <t>Swaroopa Enterprises</t>
  </si>
  <si>
    <t>Total Payable Amount Rs. -</t>
  </si>
  <si>
    <t>Balance Payable Amount Rs. -</t>
  </si>
  <si>
    <t>Total Paid Amount Rs. -</t>
  </si>
  <si>
    <t>GST Release Note</t>
  </si>
  <si>
    <t>Jalalpur Village Drilling work</t>
  </si>
  <si>
    <t>RIUP0159</t>
  </si>
  <si>
    <t>05-04-2022 NEFT/AXISP00278182093/RIUP0159/SWAROOPA ENTERPRIS 196000.00</t>
  </si>
  <si>
    <t>RIUP0095</t>
  </si>
  <si>
    <t>16-05-2022 NEFT/AXISP00288580995/RIUP0095/SWAROOPA ENTERPRIS 73500.00</t>
  </si>
  <si>
    <t>RIUP22/468</t>
  </si>
  <si>
    <t>09-08-2022 NEFT/AXISP00310655291/RIUP22/468/SWAROOPA ENTERPR 68202.00</t>
  </si>
  <si>
    <t>RIUP22/469</t>
  </si>
  <si>
    <t>09-08-2022 NEFT/AXISP00310655292/RIUP22/469/SWAROOPA ENTERPR 82882.00</t>
  </si>
  <si>
    <t>Ahatagosh Village Drilling work</t>
  </si>
  <si>
    <t>Credit Note ( Lowering work actual done 137.87 RMT. And as per Tax Invoice 26- 140RMT.) so, Deduction of 140RMT - 137.87RMT = 2.13RMT X Rs. 150/- = 319.5/-)</t>
  </si>
  <si>
    <t>Credit Note</t>
  </si>
  <si>
    <t>RIUP0042</t>
  </si>
  <si>
    <t>27-04-2022 NEFT/AXISP00283396199/RIUP0042/SWAROOPA ENTERPRIS 147000.00</t>
  </si>
  <si>
    <t>RIUP0092</t>
  </si>
  <si>
    <t>16-05-2022 NEFT/AXISP00288580998/RIUP0092/SWAROOPA ENTERPRIS 98000.00</t>
  </si>
  <si>
    <t>RIUP22/263</t>
  </si>
  <si>
    <t>28-06-2022 NEFT/AXISP00298786881/RIUP22/263/SWAROOPA ENTERPR 89315.00</t>
  </si>
  <si>
    <t>RIUP22/472 GST Release Tax Invoice No. 26</t>
  </si>
  <si>
    <t>08-08-2022 NEFT/AXISP00310461052/RIUP22/472/SWAROOPA ENTERPR 64706.00</t>
  </si>
  <si>
    <t>Kirtu Village Drilling work</t>
  </si>
  <si>
    <t>RIUP0043</t>
  </si>
  <si>
    <t>27-04-2022 NEFT/AXISP00283396200/RIUP0043/SWAROOPA ENTERPRIS 147000.00</t>
  </si>
  <si>
    <t>RIUP0093</t>
  </si>
  <si>
    <t>16-05-2022 NEFT/AXISP00288580997/RIUP0093/SWAROOPA ENTERPRIS 98000.00</t>
  </si>
  <si>
    <t>RIUP0111A</t>
  </si>
  <si>
    <t>24-05-2022 NEFT/AXISP00290314616/RIUP0111A/SWAROOPA ENTERPRI 49000.00</t>
  </si>
  <si>
    <t>RIUP22/260</t>
  </si>
  <si>
    <t>28-06-2022 NEFT/AXISP00298786884/RIUP22/260/SWAROOPA ENTERPR 28899.00</t>
  </si>
  <si>
    <t>RIUP22/459</t>
  </si>
  <si>
    <t>08-08-2022 NEFT/AXISP00310461050/RIUP22/459/SWAROOPA ENTERPR 62497.00</t>
  </si>
  <si>
    <t>Makkheri Kadaregarh Village Drilling work</t>
  </si>
  <si>
    <t>Note</t>
  </si>
  <si>
    <t>Credit Note ( Lowering work actual done 143 RMT. And as per Tax Invoice 30- 145RMT.) so, Deduction of 145RMT - 143RMT = 2RMT X Rs. 150/- = 300/-)</t>
  </si>
  <si>
    <t>RIUP0079</t>
  </si>
  <si>
    <t>09-05-2022 NEFT/AXISP00287038322/RIUP0079/SWAROOPA ENTERPRIS 147000.00</t>
  </si>
  <si>
    <t>RIUP0094</t>
  </si>
  <si>
    <t>16-05-2022 NEFT/AXISP00288580996/RIUP0094/SWAROOPA ENTERPRIS 98000.00</t>
  </si>
  <si>
    <t>RIUP2223/139</t>
  </si>
  <si>
    <t>27-05-2022 NEFT/AXISP00291042790/RIUP2223/139/SWAROOPA ENTER 98000.00</t>
  </si>
  <si>
    <t>RIUP2223/262</t>
  </si>
  <si>
    <t>28-06-2022 NEFT/AXISP00298786882/RIUP22/262/SWAROOPA ENTERPR 16031.00</t>
  </si>
  <si>
    <t>RIUP2223/457 GST Release - Tax Invoice No. 30</t>
  </si>
  <si>
    <t>08-08-2022 NEFT/AXISP00310461049/RIUP22/457/SWAROOPA ENTERPR 69490.00</t>
  </si>
  <si>
    <t>Mant Manti Village Drilling work</t>
  </si>
  <si>
    <t>Lowering work actual done 132.11 RMT. And as per Tax Invoice 29 - 145RMT. so, Deduction of 145RMT - 132.11RMT = 12.89RMT X Rs. 150/- = 1,934.00 Including GST Amount Rs. 2,282/-</t>
  </si>
  <si>
    <t>Mant Manti Village Compressor work</t>
  </si>
  <si>
    <t>RIUP0116A</t>
  </si>
  <si>
    <t>24-05-2022 NEFT/AXISP00290314617/RIUP0116A/SWAROOPA ENTERPRI 147000.00</t>
  </si>
  <si>
    <t>RIUP22/190</t>
  </si>
  <si>
    <t>15-06-2022 NEFT/AXISP00296068249/RIUP22/190/SWAROOPA ENTERPR 98000.00</t>
  </si>
  <si>
    <t>RIUP22/264</t>
  </si>
  <si>
    <t>28-06-2022 NEFT/AXISP00298786885/RIUP22/264/SWAROOPA ENTERPR 26773.00</t>
  </si>
  <si>
    <t>RIUP22/466 GST Release - Tax Invoice No. 29</t>
  </si>
  <si>
    <t>09-08-2022 NEFT/AXISP00310655290/RIUP22/466/SWAROOPA ENTERPR 52602.00</t>
  </si>
  <si>
    <t>RIUP22/602</t>
  </si>
  <si>
    <t>29-08-2022 NEFT/AXISP00314711518/RIUP22/602/SWAROOPA ENTERPR 85393.00</t>
  </si>
  <si>
    <t>RIUP22/795</t>
  </si>
  <si>
    <t>26-09-2022 NEFT/AXISP00322408282/RIUP22/795/SWAROOPA ENTERPR 16970.00</t>
  </si>
  <si>
    <t>Titarsi Pawarkheda Village Drilling work</t>
  </si>
  <si>
    <t>Credit Note ( Lowering work actual done 129.20 RMT. And as per Tax Invoice 27- 140RMT.) so, Deduction of 140RMT - 129.20RMT = 10.80RMT X Rs. 150/- = 1620/-)</t>
  </si>
  <si>
    <t>RIUP2223/135</t>
  </si>
  <si>
    <t>27-05-2022 NEFT/AXISP00291037149/RIUP2223/135/SWAROOPA ENTER 98000.00</t>
  </si>
  <si>
    <t>RIUP2223/267</t>
  </si>
  <si>
    <t>28-06-2022 NEFT/AXISP00298786888/RIUP22/267/SWAROOPA ENTERPR 230921.00</t>
  </si>
  <si>
    <t>RIUP2223/463 GST Release - Tax Invoice No. 27</t>
  </si>
  <si>
    <t>08-08-2022 NEFT/AXISP00310461051/RIUP22/463/SWAROOPA ENTERPR 63662.00</t>
  </si>
  <si>
    <t>GST Rlease Note</t>
  </si>
  <si>
    <t>RIUP22/2085</t>
  </si>
  <si>
    <t>04-02-2023 NEFT/AXISP00360451529/RIUP22/2085/SWAROOPA ENTERP ₹ 2,60,099.00</t>
  </si>
  <si>
    <t>RIUP22/2370</t>
  </si>
  <si>
    <t>01-03-2023 NEFT/AXISP00367210628/RIUP22/2370/SWAROOPA ENTERP 50342.00</t>
  </si>
  <si>
    <t>RIUP23/295</t>
  </si>
  <si>
    <t>18-05-2023 NEFT/AXISP00391080444/RIUP23/295/SWAROOPA ENTERPR 87675.00</t>
  </si>
  <si>
    <t>Jafarpur Village Drilling work</t>
  </si>
  <si>
    <t>Lowering work actual done 141.70 RMT. And as per Tax Invoice 51 - 145RMT. so, Deduction of 145RMT - 141.70RMT = 3.70RMT X Rs. 150/- = 495.00 Including GST Amount Rs. 585/-</t>
  </si>
  <si>
    <t>Credit Note No. 8</t>
  </si>
  <si>
    <t>Release GST Amount as per Tax Invvoice no. 51</t>
  </si>
  <si>
    <t>GST Release</t>
  </si>
  <si>
    <t>Release GST Amount as per Tax Invvoice no. 63</t>
  </si>
  <si>
    <t>RIUP22/213</t>
  </si>
  <si>
    <t>15-06-2022 NEFT/AXISP00296202194/RIUP22/213/SWAROOPA ENTERPR 147000.00</t>
  </si>
  <si>
    <t>RIUP22/349</t>
  </si>
  <si>
    <t>18-07-2022 NEFT/AXISP00304601940/RIUP22/349/SWAROOPA ENTERPR 118403.00</t>
  </si>
  <si>
    <t>RIUP22/541</t>
  </si>
  <si>
    <t>22-08-2022 NEFT/AXISP00313453951/RIUP22/541/SWAROOPA ENTERPR 49000.00</t>
  </si>
  <si>
    <t>RIUP22/615</t>
  </si>
  <si>
    <t>03-09-2022 NEFT/AXISP00317164841/RIUP22/615/SWAROOPA ENTERPR 51368.00</t>
  </si>
  <si>
    <t>RIUP22/603</t>
  </si>
  <si>
    <t>03-09-2022 NEFT/AXISP00317164837/RIUP22/603/SWAROOPA ENTERPR 38090.00</t>
  </si>
  <si>
    <t>RIUP22/794</t>
  </si>
  <si>
    <t>26-09-2022 NEFT/AXISP00322408283/RIUP22/794/SWAROOPA ENTERPR 16970.00</t>
  </si>
  <si>
    <t>Kela Shikarpur Village Drilling work</t>
  </si>
  <si>
    <t>Kela Shikarpur  Village Drilling work (GST 18% Release Note)</t>
  </si>
  <si>
    <t>Tax Invoice No. 33</t>
  </si>
  <si>
    <t>Tax Invoice No. 50</t>
  </si>
  <si>
    <t>RIUP2223/191</t>
  </si>
  <si>
    <t>13-06-2022 NEFT/AXISP00295773568/RIUP22/191/SWAROOPA ENTERPR 196000.00</t>
  </si>
  <si>
    <t>RIUP2223/211</t>
  </si>
  <si>
    <t>15-06-2022 NEFT/AXISP00296202192/RIUP22/211/SWAROOPA ENTERPR 75355.00</t>
  </si>
  <si>
    <t>RIUP2223/464 (GST )</t>
  </si>
  <si>
    <t>09-08-2022 NEFT/AXISP00310655289/RIUP22/464/SWAROOPA ENTERPR 52520.00</t>
  </si>
  <si>
    <t>RIUP2223/530</t>
  </si>
  <si>
    <t>17-08-2022 NEFT/AXISP00312471731/RIUP22/530/SWAROOPA ENTERPR 87675.00</t>
  </si>
  <si>
    <t>RIUP22/623</t>
  </si>
  <si>
    <t>01-09-2022 NEFT/AXISP00316618085/RIUP22/623/SWAROOPA ENTERPR 16970.00</t>
  </si>
  <si>
    <t>Khera Gadai Village Drilling work</t>
  </si>
  <si>
    <t>RIUP22/176</t>
  </si>
  <si>
    <t>09-06-2022 NEFT/AXISP00294895665/RIUP22/176/SWAROOPA ENTERPR 98000.00</t>
  </si>
  <si>
    <t>RIUP22/216</t>
  </si>
  <si>
    <t>15-06-2022 NEFT/AXISP00296306545/RIUP22/216/SWAROOPA ENTERPR 98000.00</t>
  </si>
  <si>
    <t>RIUP22/266</t>
  </si>
  <si>
    <t>28-06-2022 NEFT/AXISP00298786887/RIUP22/266/SWAROOPA ENTERPR 162334.00</t>
  </si>
  <si>
    <t>RIUP22/460</t>
  </si>
  <si>
    <t>09-08-2022 NEFT/AXISP00310655286/RIUP22/460/SWAROOPA ENTERPR 69355.00</t>
  </si>
  <si>
    <t>Yarpur Village Drilling work</t>
  </si>
  <si>
    <t>Yarpur Village Drilling work (GST 18% Release Note)</t>
  </si>
  <si>
    <t>Credit Note ( Lowering work actual done 138.00 RMT. And as per Tax Invoice 27- 145RMT.) so, Deduction of 145RMT - 138.00RMT = 7.00RMT X Rs. 150/- = 1050/-)</t>
  </si>
  <si>
    <t>GST Note</t>
  </si>
  <si>
    <t>RIUP22/177</t>
  </si>
  <si>
    <t>09-06-2022 NEFT/AXISP00294895664/RIUP22/177/SWAROOPA ENTERPR 147000.00</t>
  </si>
  <si>
    <t>RIUP22/261</t>
  </si>
  <si>
    <t>28-06-2022 NEFT/AXISP00298786883/RIUP22/261/SWAROOPA ENTERPR 124355.00</t>
  </si>
  <si>
    <t>RIUP22/348</t>
  </si>
  <si>
    <t>RIUP22/462</t>
  </si>
  <si>
    <t>09-08-2022 NEFT/AXISP00310655288/RIUP22/462/SWAROOPA ENTERPR 37675.00</t>
  </si>
  <si>
    <t>RIUP22/461 GST Release Tax Invoice No. 32</t>
  </si>
  <si>
    <t>09-08-2022 NEFT/AXISP00310655287/RIUP22/461/SWAROOPA ENTERPR 52520.00</t>
  </si>
  <si>
    <t>RIUP22/616</t>
  </si>
  <si>
    <t>03-09-2022 NEFT/AXISP00317164842/RIUP22/616/SWAROOPA ENTERPR 16969.00</t>
  </si>
  <si>
    <t>Mahavatpur Village Drilling work</t>
  </si>
  <si>
    <t>Mahavatpur Village Drilling work (GST 18% Release Note) Tax Invoice 31</t>
  </si>
  <si>
    <t>Credit Note ( Lowering work actual done 123 RMT. And as per Tax Invoice 31 - 135RMT.) so, Deduction of 135RMT - 123RMT = 12RMT X Rs. 150/- = 1,800/-)</t>
  </si>
  <si>
    <t>Mahavatpur Village Drilling work (GST 18% Release Note) Tax Invoice 48</t>
  </si>
  <si>
    <t>RIUP22/178</t>
  </si>
  <si>
    <t>09-06-2022 NEFT/AXISP00294895663/RIUP22/178/SWAROOPA ENTERPR 147000.00</t>
  </si>
  <si>
    <t>RIUP22/212</t>
  </si>
  <si>
    <t>15-06-2022 NEFT/AXISP00296202193/RIUP22/212/SWAROOPA ENTERPR 111614.00</t>
  </si>
  <si>
    <t>RIUP22/347</t>
  </si>
  <si>
    <t>RIUP22/473 - GST Release - Tax Invoice No. 31</t>
  </si>
  <si>
    <t>08-08-2022 NEFT/AXISP00310461053/RIUP22/473/SWAROOPA ENTERPR 50054.00</t>
  </si>
  <si>
    <t>RIUP22/588</t>
  </si>
  <si>
    <t>23-08-2022 NEFT/AXISP00313624915/RIUP22/588/SWAROOPA ENTERPR 35551.00</t>
  </si>
  <si>
    <t>RIUP22/724</t>
  </si>
  <si>
    <t>13-09-2022 NEFT/AXISP00319635639/RIUP22/724/SWAROOPA ENTERPR 16970.00</t>
  </si>
  <si>
    <t>Khanpur Village Drilling work</t>
  </si>
  <si>
    <t xml:space="preserve">Lowering work actual done 133.70 RMT. And as per Tax Invoice 39 - 140RMT. so, Deduction of 140RMT - 133.70RMT = 6.30RMT X Rs. 150/- = 945.00 Including GST Amount Rs. 1,115/- </t>
  </si>
  <si>
    <t>Credit Note No. 6</t>
  </si>
  <si>
    <t>RIUP22/214</t>
  </si>
  <si>
    <t>15-06-2022 NEFT/AXISP00296202195/RIUP22/214/SWAROOPA ENTERPR 147000.00</t>
  </si>
  <si>
    <t>RIUP22/265</t>
  </si>
  <si>
    <t>28-06-2022 NEFT/AXISP00298786886/RIUP22/265/SWAROOPA ENTERPR 205382.00</t>
  </si>
  <si>
    <t>RIUP22/518 - GST Release Tax Invoice no. 39</t>
  </si>
  <si>
    <t>19-08-2022 NEFT/AXISP00312975843/RIUP22/518/SWAROOPA ENTERPR 68202.00</t>
  </si>
  <si>
    <t>Alipur Umerpur Village Drilling work</t>
  </si>
  <si>
    <t>GST Release Tax Invoice No. 52</t>
  </si>
  <si>
    <t>RIUP22/354</t>
  </si>
  <si>
    <t>RIUP22/426</t>
  </si>
  <si>
    <t>30-07-2022 NEFT/AXISP00307447418/RIUP22/426/SWAROOPA ENTERPR 115334.00</t>
  </si>
  <si>
    <t>RIUP22/617</t>
  </si>
  <si>
    <t>03-09-2022 NEFT/AXISP00317164843/RIUP22/617/SWAROOPA ENTERPR 51355.00</t>
  </si>
  <si>
    <t>Dhakori Jamalpur Village Drilling work</t>
  </si>
  <si>
    <t>RIUP289</t>
  </si>
  <si>
    <t>04-07-2022 NEFT/AXISP00300811593/RIUP289/SWAROOPA ENTERPRISE 147000.00</t>
  </si>
  <si>
    <t>RIUP22/350</t>
  </si>
  <si>
    <t>RIUP22/622</t>
  </si>
  <si>
    <t>01-09-2022 NEFT/AXISP00316589079/RIUP22/622/SWAROOPA ENTERPR 52323.00</t>
  </si>
  <si>
    <t>RIUP22/772</t>
  </si>
  <si>
    <t>20-09-2022 NEFT/AXISP00321274043/RIUP22/772/SWAROOPA ENTERPR ₹ 87,675.00</t>
  </si>
  <si>
    <t>RIUP22/1149</t>
  </si>
  <si>
    <t>05-11-2022 NEFT/AXISP00334772305/RIUP22/1149/SWAROOPA ENTERP 15952.00</t>
  </si>
  <si>
    <t xml:space="preserve">Mankanpur Yunispur Village Drilling work </t>
  </si>
  <si>
    <t xml:space="preserve">Mankanpur Yunispur Village Compressor &amp; OP Unit work </t>
  </si>
  <si>
    <t>RIUP290</t>
  </si>
  <si>
    <t>04-07-2022 NEFT/AXISP00300811594/RIUP290/SWAROOPA ENTERPRISE 196000.00</t>
  </si>
  <si>
    <t>RIUP22/1442</t>
  </si>
  <si>
    <t>08-12-2022 NEFT/AXISP00344753034/RIUP22/1442/SWAROOPA ENTERP 74179.00</t>
  </si>
  <si>
    <t>RIUP22/1876</t>
  </si>
  <si>
    <t>17-01-2023 NEFT/AXISP00355565996/RIUP22/1876/SWAROOPA ENTERP 87675.00</t>
  </si>
  <si>
    <t>RIUP22/1962</t>
  </si>
  <si>
    <t>24-01-2023 NEFT/AXISP00356990165/RIUP22/1962/SWAROOPA ENTERP ₹ 52,293.00</t>
  </si>
  <si>
    <t>RIUP22/2373</t>
  </si>
  <si>
    <t>01-03-2023 NEFT/AXISP00367210631/RIUP22/2373/SWAROOPA ENTERP 16970.00</t>
  </si>
  <si>
    <t>Bharsi Village Drilling work</t>
  </si>
  <si>
    <t xml:space="preserve">Release GST </t>
  </si>
  <si>
    <t>Bharsi Village Compressor &amp; OP Unit work</t>
  </si>
  <si>
    <t>RIUP291</t>
  </si>
  <si>
    <t>04-07-2022 NEFT/AXISP00300811595/RIUP291/SWAROOPA ENTERPRISE 147000.00</t>
  </si>
  <si>
    <t>RIUP22/401</t>
  </si>
  <si>
    <t>27-07-2022 NEFT/AXISP00306335432/RIUP22/401/SWAROOPA ENTERPR 100000.00</t>
  </si>
  <si>
    <t>RIUP22/442</t>
  </si>
  <si>
    <t>02-08-2022 NEFT/AXISP00308594194/RIUP22/442/SWAROOPA ENTERPR 17385.00</t>
  </si>
  <si>
    <t>RIUP22/618</t>
  </si>
  <si>
    <t>29-08-2022 NEFT/AXISP00314860786/RIUP22/618/SWAROOPA ENTERPR 51172.00</t>
  </si>
  <si>
    <t>RIUP22/834</t>
  </si>
  <si>
    <t>28-09-2022 NEFT/AXISP00323198413/RIUP22/834/SWAROOPA ENTERPR 87675.00</t>
  </si>
  <si>
    <t>RIUP22/1143</t>
  </si>
  <si>
    <t>05-11-2022 NEFT/AXISP00334772309/RIUP22/1143/SWAROOPA ENTERP 16969.00</t>
  </si>
  <si>
    <t>Rajhar Village Drilling work</t>
  </si>
  <si>
    <t xml:space="preserve">GST Release </t>
  </si>
  <si>
    <t>Rajhar Village Compressor &amp; OP unit work</t>
  </si>
  <si>
    <t>RIUP22/402</t>
  </si>
  <si>
    <t>27-07-2022 NEFT/AXISP00306335433/RIUP22/402/SWAROOPA ENTERPR 200000.00</t>
  </si>
  <si>
    <t>RIUP22/428</t>
  </si>
  <si>
    <t>RIUP22/619</t>
  </si>
  <si>
    <t>29-08-2022 NEFT/AXISP00314860787/RIUP22/619/SWAROOPA ENTERPR 50092.00</t>
  </si>
  <si>
    <t>RIUP22/908</t>
  </si>
  <si>
    <t>07-10-2022 NEFT/AXISP00326544170/RIUP22/908/SWAROOPA ENTERPR 87675.00</t>
  </si>
  <si>
    <t xml:space="preserve"> Sinkanderpur Village Drilling work</t>
  </si>
  <si>
    <t>RIUP22/403</t>
  </si>
  <si>
    <t>27-07-2022 NEFT/AXISP00306332684/RIUP22/403/SWAROOPA ENTERPR 147000.00</t>
  </si>
  <si>
    <t>RIUP22/531</t>
  </si>
  <si>
    <t>19-08-2022 NEFT/AXISP00312942316/RIUP22/531/SWAROOPA ENTERPR 111586.00</t>
  </si>
  <si>
    <t>RIUP22/797</t>
  </si>
  <si>
    <t>26-09-2022 NEFT/AXISP00322408281/RIUP22/797/SWAROOPA ENTERPR 50049.00</t>
  </si>
  <si>
    <t>RIUP22/1290</t>
  </si>
  <si>
    <t>18-11-2022 NEFT/AXISP00338955129/RIUP22/1290/SWAROOPA ENTERP 87675.00</t>
  </si>
  <si>
    <t>RIUP22/1708</t>
  </si>
  <si>
    <t>31-12-2022 NEFT/AXISP00350264758/RIUP22/1708/SWAROOPA ENTERP 16970.00</t>
  </si>
  <si>
    <t>Dargahpur,HoshangpurVillage Drilling work</t>
  </si>
  <si>
    <t>GST Amount Release</t>
  </si>
  <si>
    <t>Dargahpur,Hoshangpur Village Compressor &amp; OP unit work</t>
  </si>
  <si>
    <t>RIUP22/404</t>
  </si>
  <si>
    <t>27-07-2022 NEFT/AXISP00306332685/RIUP22/404/SWAROOPA ENTERPR 147000.00</t>
  </si>
  <si>
    <t>RIUP22/517</t>
  </si>
  <si>
    <t>19-08-2022 NEFT/AXISP00312942315/RIUP22/517/SWAROOPA ENTERPR 118542.00</t>
  </si>
  <si>
    <t>RIUP22/796</t>
  </si>
  <si>
    <t>26-09-2022 NEFT/AXISP00322408280/RIUP22/796/SWAROOPA ENTERPR 51395.00</t>
  </si>
  <si>
    <t>RIUP22/909</t>
  </si>
  <si>
    <t>07-10-2022 NEFT/AXISP00326544171/RIUP22/909/SWAROOPA ENTERPR 87675.00</t>
  </si>
  <si>
    <t>RIUP22/1144</t>
  </si>
  <si>
    <t>07-11-2022 NEFT/AXISP00335257355/RIUP22/1144/SWAROOPA ENTERP 16970.00</t>
  </si>
  <si>
    <t>Awrangabad Urf Gandwara Village Drilling work</t>
  </si>
  <si>
    <t>Awrangabad Urf Gandwara Village Compressor &amp; OP Unit work</t>
  </si>
  <si>
    <t>RIUP22/409</t>
  </si>
  <si>
    <t>27-07-2022 NEFT/AXISP00306370385/RIUP22/409/SWAROOPA ENTERPR 147000.00</t>
  </si>
  <si>
    <t>RIUP22/538</t>
  </si>
  <si>
    <t>19-08-2022 NEFT/AXISP00312975844/RIUP22/538/SWAROOPA ENTERPR 111878.00</t>
  </si>
  <si>
    <t>RIUP22/881</t>
  </si>
  <si>
    <t>04-10-2022 NEFT/AXISP00325570955/RIUP22/881/SWAROOPA ENTERPR 50532.00</t>
  </si>
  <si>
    <t>RIUP22/961</t>
  </si>
  <si>
    <t>12-10-2022 NEFT/AXISP00327753840/RIUP22/961/SWAROOPA ENTERPR 87675.00</t>
  </si>
  <si>
    <t>RIUP22/1434</t>
  </si>
  <si>
    <t>08-12-2022 NEFT/AXISP00344753030/RIUP22/1434/SWAROOPA ENTERP 16969.00</t>
  </si>
  <si>
    <t>Kanjeri Heri Village Drilling work</t>
  </si>
  <si>
    <t>Kanjeri Heri Village Compressor &amp; OP Unit work</t>
  </si>
  <si>
    <t>RIUP22/410</t>
  </si>
  <si>
    <t>27-07-2022 NEFT/AXISP00306370384/RIUP22/410/SWAROOPA ENTERPR 147000.00</t>
  </si>
  <si>
    <t>RIUP22/539</t>
  </si>
  <si>
    <t>19-08-2022 NEFT/AXISP00312975845/RIUP22/539/SWAROOPA ENTERPR 123114.00</t>
  </si>
  <si>
    <t>RIUP22/798</t>
  </si>
  <si>
    <t>26-09-2022 NEFT/AXISP00322408285/RIUP22/798/SWAROOPA ENTERPR 52280.00</t>
  </si>
  <si>
    <t>RIUP22/962</t>
  </si>
  <si>
    <t>13-10-2022 NEFT/AXISP00328216254/RIUP22/962/SWAROOPA ENTERPR 87675.00</t>
  </si>
  <si>
    <t>RIUP22/1435</t>
  </si>
  <si>
    <t>08-12-2022 NEFT/AXISP00344753031/RIUP22/1435/SWAROOPA ENTERP 16970.00</t>
  </si>
  <si>
    <t xml:space="preserve">khera Bhau,Village Drilling work </t>
  </si>
  <si>
    <t xml:space="preserve">Peer Khera,Village Drilling work </t>
  </si>
  <si>
    <t>Hold Amount</t>
  </si>
  <si>
    <t xml:space="preserve">Panjeth Village Drilling work </t>
  </si>
  <si>
    <t>GST release note</t>
  </si>
  <si>
    <t>RIUP23/294</t>
  </si>
  <si>
    <t>13-05-2023 NEFT/AXISP00354745896/RIUP23/294/SWAROOPA ENTER ₹ 2,60,388.00</t>
  </si>
  <si>
    <t>22-06-2023 NEFT/AXISP00400190425/RIUP23/795/SWAROOPA ENTERPR 50511.00</t>
  </si>
  <si>
    <t xml:space="preserve">kaswrawa kalanVillage Drilling work </t>
  </si>
  <si>
    <t>RIUP23/293</t>
  </si>
  <si>
    <t>24-05-2023 NEFT/AXISP00392230438/RIUP23/293/SWAROOPA ENTERPR 260333.00</t>
  </si>
  <si>
    <t>RIUP23/794</t>
  </si>
  <si>
    <t>22-06-2023 NEFT/AXISP00400190424/RIUP23/794/SWAROOPA ENTERPR 50648.00</t>
  </si>
  <si>
    <t xml:space="preserve">Chundiyari,Village Drilling work </t>
  </si>
  <si>
    <t>01-08-2023 NEFT/AXISP00411668988/RIUPP23/1304/SWAROOPA ENTER 260283.00</t>
  </si>
  <si>
    <t>01-08-2023 NEFT/AXISP00411668989/RIUPP23/1305/SWAROOPA ENTER 50377.00</t>
  </si>
  <si>
    <t>RIUPP23/1304</t>
  </si>
  <si>
    <t>RIUPP23/1305</t>
  </si>
  <si>
    <t>RIUP23/795</t>
  </si>
  <si>
    <t>05-07-2023 NEFT/AXISP00404288540/RIUP23/1005/SWAROOPA ENTERP  87,675.00</t>
  </si>
  <si>
    <t>RIUP23/1005</t>
  </si>
  <si>
    <t>28-07-2023 NEFT/AXISP00410056546/RIUP23/1240/SWAROOPA ENTERP 16970.00</t>
  </si>
  <si>
    <t>RIUP23/1240</t>
  </si>
  <si>
    <t>06-07-2023 NEFT/AXISP00404467605/RIUP23/1009/SWAROOPA ENTERP 87675.00</t>
  </si>
  <si>
    <t>RIUP23/1009</t>
  </si>
  <si>
    <t>28-07-2023 NEFT/AXISP00410056547/RIUP23/1239/SWAROOPA ENTERP 16970.00</t>
  </si>
  <si>
    <t>RIUP23/1239</t>
  </si>
  <si>
    <t>27-06-2023 NEFT/AXISP00401127224/RIUP23/889/SWAROOPA ENTERPR ₹ 2,56,661.00</t>
  </si>
  <si>
    <t>28-07-2023 NEFT/AXISP00410056548/RIUP23/1238/SWAROOPA ENTERP 49676.00</t>
  </si>
  <si>
    <t>RIUP22/889</t>
  </si>
  <si>
    <t>RIUP22/1238</t>
  </si>
  <si>
    <t>27-06-2023 NEFT/AXISP00401127223/RIUP23/888/SWAROOPA ENTERPR ₹ 2,70,604.00</t>
  </si>
  <si>
    <t>RIUP22/888</t>
  </si>
  <si>
    <t>28-07-2023 NEFT/AXISP00410084833/RIUP23/1236/SWAROOPA ENTERP 52525.00</t>
  </si>
  <si>
    <t>RIUP22/1236</t>
  </si>
  <si>
    <t>05-11-2022 NEFT/AXISP00334835410/RIUP22/1185/SWAROOPA ENTERP 16970.00</t>
  </si>
  <si>
    <t>RIUP22/1185</t>
  </si>
  <si>
    <t>As per Payment Note</t>
  </si>
  <si>
    <t>GST RELEASE NOTE</t>
  </si>
  <si>
    <t>Mansura Village Drilling work</t>
  </si>
  <si>
    <t>RIUP23/1426</t>
  </si>
  <si>
    <t>10-08-2023 NEFT/AXISP00414696956/RIUP23/1426/SWAROOPA ENTERP 46500.00</t>
  </si>
  <si>
    <t>Uchgaon  Village Drilling work</t>
  </si>
  <si>
    <t>GST Release note</t>
  </si>
  <si>
    <t>RIUP23/1427</t>
  </si>
  <si>
    <t>10-08-2023 NEFT/AXISP00414696957/RIUP23/1427/SWAROOPA ENTERP 46500.0</t>
  </si>
  <si>
    <t>Karori Village Drilling work</t>
  </si>
  <si>
    <t>GST</t>
  </si>
  <si>
    <t>RIUP23/1425</t>
  </si>
  <si>
    <t>10-08-2023 NEFT/AXISP00414696955/RIUP23/1425/SWAROOPA ENTERP 46500.00</t>
  </si>
  <si>
    <t>10-08-2023 NEFT/AXISP00414696954/RIUP23/1424/SWAROOPA ENTERP 46500.00</t>
  </si>
  <si>
    <t>RIUP23/1424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</si>
  <si>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</si>
  <si>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</si>
  <si>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</si>
  <si>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</si>
  <si>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</si>
  <si>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</si>
  <si>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</si>
  <si>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</si>
  <si>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</si>
  <si>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</si>
  <si>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</si>
  <si>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</si>
  <si>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</si>
  <si>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</si>
  <si>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</si>
  <si>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</si>
  <si>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</si>
  <si>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</si>
  <si>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</si>
  <si>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</si>
  <si>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</si>
  <si>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Khanpur Village Drillign work</t>
  </si>
  <si>
    <t xml:space="preserve">Khanpur Village Drilling work </t>
  </si>
  <si>
    <t xml:space="preserve">MORJ MAJRA VILLAGE Drilling Work </t>
  </si>
  <si>
    <t xml:space="preserve">BARALA KUKARHERI VILLAGE Drilling Work </t>
  </si>
  <si>
    <t>18-07-2023 NEFT/AXISP00304601939/RIUP22/348/SWAROOPA ENTERPR 50000.00</t>
  </si>
  <si>
    <t>18-07-2023 NEFT/AXISP00304601938/RIUP22/347/SWAROOPA ENTERPR 50000.00</t>
  </si>
  <si>
    <t>18-07-2023 NEFT/AXISP00304718864/RIUP22/354/SWAROOPA ENTERPR 150000.00</t>
  </si>
  <si>
    <t>18-07-2025 NEFT/AXISP00304601941/RIUP22/350/SWAROOPA ENTERPR 124355.00</t>
  </si>
  <si>
    <t>30-07-2025 NEFT/AXISP00307447417/RIUP22/428/SWAROOPA ENTERPR 58809.00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</si>
</sst>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 tint="0.39997558519241921"/>
      <name val="Comic Sans MS"/>
      <family val="4"/>
    </font>
    <font>
      <sz val="9"/>
      <color rgb="FF333333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6"/>
      <color theme="1"/>
      <name val="Calibri"/>
      <family val="2"/>
      <scheme val="minor"/>
    </font>
    <font>
      <sz val="11"/>
      <color rgb="FF333333"/>
      <name val="Verdana"/>
      <family val="2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164" fontId="2" fillId="2" borderId="1" xfId="1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65" fontId="10" fillId="2" borderId="1" xfId="1" applyNumberFormat="1" applyFont="1" applyFill="1" applyBorder="1" applyAlignment="1">
      <alignment vertical="center"/>
    </xf>
    <xf numFmtId="164" fontId="10" fillId="2" borderId="1" xfId="1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vertical="center"/>
    </xf>
    <xf numFmtId="0" fontId="14" fillId="0" borderId="0" xfId="0" applyFont="1"/>
    <xf numFmtId="164" fontId="8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9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 wrapText="1"/>
    </xf>
    <xf numFmtId="164" fontId="13" fillId="2" borderId="1" xfId="1" applyNumberFormat="1" applyFont="1" applyFill="1" applyBorder="1" applyAlignment="1">
      <alignment vertical="center"/>
    </xf>
    <xf numFmtId="14" fontId="2" fillId="2" borderId="1" xfId="1" applyNumberFormat="1" applyFont="1" applyFill="1" applyBorder="1" applyAlignment="1">
      <alignment vertical="center"/>
    </xf>
    <xf numFmtId="1" fontId="2" fillId="2" borderId="1" xfId="1" applyNumberFormat="1" applyFont="1" applyFill="1" applyBorder="1" applyAlignment="1">
      <alignment vertical="center"/>
    </xf>
    <xf numFmtId="15" fontId="10" fillId="2" borderId="1" xfId="0" applyNumberFormat="1" applyFont="1" applyFill="1" applyBorder="1" applyAlignment="1">
      <alignment horizontal="center" vertical="center"/>
    </xf>
    <xf numFmtId="2" fontId="10" fillId="2" borderId="1" xfId="1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6" fillId="0" borderId="1" xfId="0" applyFont="1" applyBorder="1" applyAlignment="1">
      <alignment vertical="center"/>
    </xf>
    <xf numFmtId="164" fontId="16" fillId="2" borderId="1" xfId="2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4" fontId="18" fillId="4" borderId="1" xfId="2" applyFont="1" applyFill="1" applyBorder="1" applyAlignment="1">
      <alignment horizontal="center" vertical="center"/>
    </xf>
    <xf numFmtId="164" fontId="11" fillId="4" borderId="1" xfId="2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12" fillId="4" borderId="1" xfId="0" applyFont="1" applyFill="1" applyBorder="1" applyAlignment="1">
      <alignment vertical="center"/>
    </xf>
    <xf numFmtId="0" fontId="9" fillId="2" borderId="1" xfId="0" applyFont="1" applyFill="1" applyBorder="1"/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164" fontId="2" fillId="4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0" fontId="8" fillId="2" borderId="1" xfId="1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center" vertical="center"/>
    </xf>
  </cellXfs>
  <cellStyles count="3">
    <cellStyle name="Comma" xfId="1" builtinId="3"/>
    <cellStyle name="Comma 2" xfId="2" xr:uid="{E6DD61B1-2A50-462E-A244-DE224154DF6F}"/>
    <cellStyle name="Normal" xfId="0" builtinId="0"/>
  </cellStyles>
  <dxfs count="0"/>
  <tableStyles count="0" defaultTableStyle="TableStyleMedium2" defaultPivotStyle="PivotStyleLight16"/>
  <colors>
    <mruColors>
      <color rgb="FF6699FF"/>
      <color rgb="FFFFCCCC"/>
      <color rgb="FFCC00CC"/>
      <color rgb="FF3366FF"/>
      <color rgb="FFCCECFF"/>
      <color rgb="FFFF9933"/>
      <color rgb="FFFFFF00"/>
      <color rgb="FF9966FF"/>
      <color rgb="FFFFCC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7"/>
  <sheetViews>
    <sheetView tabSelected="1" topLeftCell="O124" zoomScale="85" zoomScaleNormal="85" workbookViewId="0">
      <selection activeCell="V125" sqref="V125"/>
    </sheetView>
  </sheetViews>
  <sheetFormatPr defaultColWidth="9" defaultRowHeight="12" x14ac:dyDescent="0.3"/>
  <cols>
    <col min="1" max="1" width="9" style="36"/>
    <col min="2" max="2" width="30" style="11" customWidth="1"/>
    <col min="3" max="3" width="13.44140625" style="11" bestFit="1" customWidth="1"/>
    <col min="4" max="4" width="11.5546875" style="11" bestFit="1" customWidth="1"/>
    <col min="5" max="5" width="14" style="11" bestFit="1" customWidth="1"/>
    <col min="6" max="6" width="13.33203125" style="11" customWidth="1"/>
    <col min="7" max="7" width="14" style="11" bestFit="1" customWidth="1"/>
    <col min="8" max="8" width="14.6640625" style="12" customWidth="1"/>
    <col min="9" max="9" width="14.33203125" style="12" bestFit="1" customWidth="1"/>
    <col min="10" max="10" width="10.6640625" style="11" bestFit="1" customWidth="1"/>
    <col min="11" max="11" width="11.6640625" style="11" bestFit="1" customWidth="1"/>
    <col min="12" max="13" width="14.88671875" style="11" customWidth="1"/>
    <col min="14" max="14" width="16.44140625" style="11" bestFit="1" customWidth="1"/>
    <col min="15" max="15" width="11" style="11" bestFit="1" customWidth="1"/>
    <col min="16" max="16" width="21.6640625" style="11" bestFit="1" customWidth="1"/>
    <col min="17" max="17" width="12.6640625" style="11" bestFit="1" customWidth="1"/>
    <col min="18" max="18" width="14.5546875" style="11" bestFit="1" customWidth="1"/>
    <col min="19" max="20" width="14.5546875" style="11" customWidth="1"/>
    <col min="21" max="21" width="16.6640625" style="11" bestFit="1" customWidth="1"/>
    <col min="22" max="22" width="84.109375" style="11" bestFit="1" customWidth="1"/>
    <col min="23" max="23" width="74" style="11" bestFit="1" customWidth="1"/>
    <col min="24" max="24" width="21.33203125" style="11" customWidth="1"/>
    <col min="25" max="16384" width="9" style="11"/>
  </cols>
  <sheetData>
    <row r="1" spans="1:22" ht="14.4" x14ac:dyDescent="0.3">
      <c r="A1" s="26" t="s">
        <v>319</v>
      </c>
      <c r="B1" s="14" t="s">
        <v>6</v>
      </c>
      <c r="E1" s="27"/>
      <c r="F1" s="27"/>
      <c r="G1" s="27"/>
    </row>
    <row r="2" spans="1:22" ht="18" x14ac:dyDescent="0.3">
      <c r="A2" s="26" t="s">
        <v>320</v>
      </c>
      <c r="B2" s="28" t="s">
        <v>321</v>
      </c>
      <c r="C2" s="14"/>
      <c r="D2" s="49"/>
      <c r="G2" s="15" t="s">
        <v>5</v>
      </c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2" ht="18" x14ac:dyDescent="0.3">
      <c r="A3" s="26" t="s">
        <v>322</v>
      </c>
      <c r="B3" s="28" t="s">
        <v>323</v>
      </c>
      <c r="C3" s="14"/>
      <c r="D3" s="49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2" ht="14.4" x14ac:dyDescent="0.3">
      <c r="A4" s="26" t="s">
        <v>324</v>
      </c>
      <c r="B4" s="29" t="s">
        <v>323</v>
      </c>
      <c r="C4" s="16"/>
      <c r="D4" s="16"/>
      <c r="E4" s="16"/>
      <c r="F4" s="16"/>
      <c r="G4" s="16"/>
      <c r="H4" s="1"/>
      <c r="I4" s="1"/>
      <c r="J4" s="16"/>
      <c r="K4" s="16"/>
      <c r="P4" s="16"/>
      <c r="Q4" s="17"/>
      <c r="R4" s="17"/>
      <c r="S4" s="17"/>
      <c r="T4" s="17"/>
      <c r="U4" s="17"/>
      <c r="V4" s="17"/>
    </row>
    <row r="5" spans="1:22" s="36" customFormat="1" ht="43.95" customHeight="1" x14ac:dyDescent="0.3">
      <c r="A5" s="30" t="s">
        <v>325</v>
      </c>
      <c r="B5" s="31" t="s">
        <v>326</v>
      </c>
      <c r="C5" s="32" t="s">
        <v>327</v>
      </c>
      <c r="D5" s="33" t="s">
        <v>328</v>
      </c>
      <c r="E5" s="31" t="s">
        <v>329</v>
      </c>
      <c r="F5" s="31" t="s">
        <v>330</v>
      </c>
      <c r="G5" s="33" t="s">
        <v>331</v>
      </c>
      <c r="H5" s="34" t="s">
        <v>332</v>
      </c>
      <c r="I5" s="35" t="s">
        <v>0</v>
      </c>
      <c r="J5" s="31" t="s">
        <v>333</v>
      </c>
      <c r="K5" s="31" t="s">
        <v>334</v>
      </c>
      <c r="L5" s="31" t="s">
        <v>335</v>
      </c>
      <c r="M5" s="25" t="s">
        <v>269</v>
      </c>
      <c r="N5" s="31" t="s">
        <v>336</v>
      </c>
      <c r="O5" s="25"/>
      <c r="P5" s="25" t="s">
        <v>1</v>
      </c>
      <c r="Q5" s="31" t="s">
        <v>337</v>
      </c>
      <c r="R5" s="31" t="s">
        <v>338</v>
      </c>
      <c r="S5" s="25" t="s">
        <v>3</v>
      </c>
      <c r="T5" s="25" t="s">
        <v>4</v>
      </c>
      <c r="U5" s="31" t="s">
        <v>339</v>
      </c>
      <c r="V5" s="31" t="s">
        <v>2</v>
      </c>
    </row>
    <row r="6" spans="1:22" ht="14.4" x14ac:dyDescent="0.3">
      <c r="B6" s="1"/>
      <c r="C6" s="1"/>
      <c r="D6" s="50"/>
      <c r="E6" s="1"/>
      <c r="F6" s="1"/>
      <c r="G6" s="1"/>
      <c r="H6" s="18">
        <v>0.18</v>
      </c>
      <c r="I6" s="1"/>
      <c r="J6" s="18">
        <v>0.02</v>
      </c>
      <c r="K6" s="18">
        <v>0.05</v>
      </c>
      <c r="L6" s="18">
        <v>0.18</v>
      </c>
      <c r="M6" s="18"/>
      <c r="N6" s="1"/>
      <c r="O6" s="6"/>
      <c r="P6" s="1"/>
      <c r="Q6" s="1"/>
      <c r="R6" s="18">
        <v>0.02</v>
      </c>
      <c r="S6" s="18">
        <v>0.05</v>
      </c>
      <c r="T6" s="1"/>
      <c r="U6" s="1"/>
      <c r="V6" s="1"/>
    </row>
    <row r="7" spans="1:22" ht="14.4" x14ac:dyDescent="0.3">
      <c r="A7" s="37">
        <v>50367</v>
      </c>
      <c r="B7" s="7" t="s">
        <v>11</v>
      </c>
      <c r="C7" s="8">
        <v>44713</v>
      </c>
      <c r="D7" s="9">
        <v>23</v>
      </c>
      <c r="E7" s="1">
        <v>378905</v>
      </c>
      <c r="F7" s="1">
        <v>0</v>
      </c>
      <c r="G7" s="1">
        <f t="shared" ref="G7:G8" si="0">E7-F7</f>
        <v>378905</v>
      </c>
      <c r="H7" s="1">
        <f>ROUND(G7*18%,0)-1</f>
        <v>68202</v>
      </c>
      <c r="I7" s="1">
        <f t="shared" ref="I7:I8" si="1">G7+H7</f>
        <v>447107</v>
      </c>
      <c r="J7" s="1">
        <f>G7*J6</f>
        <v>7578.1</v>
      </c>
      <c r="K7" s="1">
        <f>G7*5%</f>
        <v>18945.25</v>
      </c>
      <c r="L7" s="1">
        <f>H7</f>
        <v>68202</v>
      </c>
      <c r="M7" s="1"/>
      <c r="N7" s="10">
        <f>ROUND(I7-SUM(J7:L7),0)</f>
        <v>352382</v>
      </c>
      <c r="O7" s="5">
        <f>A7</f>
        <v>50367</v>
      </c>
      <c r="P7" s="1" t="s">
        <v>12</v>
      </c>
      <c r="Q7" s="1">
        <v>200000</v>
      </c>
      <c r="R7" s="1">
        <f>$R$6*Q7</f>
        <v>4000</v>
      </c>
      <c r="S7" s="1">
        <v>0</v>
      </c>
      <c r="T7" s="1">
        <v>0</v>
      </c>
      <c r="U7" s="1">
        <f>ROUND(Q7-R7-S7-T7,0)</f>
        <v>196000</v>
      </c>
      <c r="V7" s="38" t="s">
        <v>13</v>
      </c>
    </row>
    <row r="8" spans="1:22" ht="17.25" customHeight="1" x14ac:dyDescent="0.3">
      <c r="A8" s="37">
        <v>50367</v>
      </c>
      <c r="B8" s="7" t="s">
        <v>11</v>
      </c>
      <c r="C8" s="8">
        <v>44765</v>
      </c>
      <c r="D8" s="7">
        <v>10</v>
      </c>
      <c r="E8" s="1">
        <f>L7</f>
        <v>68202</v>
      </c>
      <c r="F8" s="1">
        <v>0</v>
      </c>
      <c r="G8" s="1">
        <f t="shared" si="0"/>
        <v>68202</v>
      </c>
      <c r="H8" s="1">
        <v>0</v>
      </c>
      <c r="I8" s="1">
        <f t="shared" si="1"/>
        <v>68202</v>
      </c>
      <c r="J8" s="1">
        <v>0</v>
      </c>
      <c r="K8" s="1">
        <v>0</v>
      </c>
      <c r="L8" s="1">
        <v>0</v>
      </c>
      <c r="M8" s="1"/>
      <c r="N8" s="10">
        <f>I8-SUM(J8:L8)</f>
        <v>68202</v>
      </c>
      <c r="O8" s="6"/>
      <c r="P8" s="1" t="s">
        <v>14</v>
      </c>
      <c r="Q8" s="1">
        <v>75000</v>
      </c>
      <c r="R8" s="1">
        <f>$R$6*Q8</f>
        <v>1500</v>
      </c>
      <c r="S8" s="1">
        <v>0</v>
      </c>
      <c r="T8" s="1">
        <v>0</v>
      </c>
      <c r="U8" s="1">
        <f>ROUND(Q8-R8-S8-T8,0)</f>
        <v>73500</v>
      </c>
      <c r="V8" s="38" t="s">
        <v>15</v>
      </c>
    </row>
    <row r="9" spans="1:22" ht="17.25" customHeight="1" x14ac:dyDescent="0.3">
      <c r="A9" s="37"/>
      <c r="O9" s="6"/>
      <c r="P9" s="1" t="s">
        <v>16</v>
      </c>
      <c r="Q9" s="1">
        <v>68202</v>
      </c>
      <c r="R9" s="1">
        <v>0</v>
      </c>
      <c r="S9" s="1"/>
      <c r="T9" s="1"/>
      <c r="U9" s="1">
        <f>ROUND(Q9-R9-S9-T9,0)</f>
        <v>68202</v>
      </c>
      <c r="V9" s="38" t="s">
        <v>17</v>
      </c>
    </row>
    <row r="10" spans="1:22" ht="17.25" customHeight="1" x14ac:dyDescent="0.3">
      <c r="A10" s="37"/>
      <c r="O10" s="6"/>
      <c r="P10" s="1" t="s">
        <v>18</v>
      </c>
      <c r="Q10" s="1">
        <v>82882</v>
      </c>
      <c r="R10" s="1">
        <v>0</v>
      </c>
      <c r="S10" s="1"/>
      <c r="T10" s="1">
        <v>0</v>
      </c>
      <c r="U10" s="1">
        <f>ROUND(Q10-R10-S10-T10,0)</f>
        <v>82882</v>
      </c>
      <c r="V10" s="38" t="s">
        <v>19</v>
      </c>
    </row>
    <row r="11" spans="1:22" ht="17.25" customHeight="1" x14ac:dyDescent="0.3">
      <c r="A11" s="37"/>
      <c r="O11" s="6"/>
      <c r="P11" s="1"/>
      <c r="Q11" s="1"/>
      <c r="R11" s="1"/>
      <c r="S11" s="1"/>
      <c r="T11" s="1"/>
      <c r="U11" s="1"/>
      <c r="V11" s="38"/>
    </row>
    <row r="12" spans="1:22" ht="17.25" customHeight="1" x14ac:dyDescent="0.3">
      <c r="A12" s="37">
        <v>50621</v>
      </c>
      <c r="O12" s="5">
        <v>50621</v>
      </c>
      <c r="P12" s="1"/>
      <c r="Q12" s="1"/>
      <c r="R12" s="1"/>
      <c r="S12" s="1"/>
      <c r="T12" s="1"/>
      <c r="U12" s="1"/>
      <c r="V12" s="38"/>
    </row>
    <row r="13" spans="1:22" ht="17.25" customHeight="1" x14ac:dyDescent="0.3">
      <c r="A13" s="37">
        <v>50621</v>
      </c>
      <c r="B13" s="7" t="s">
        <v>20</v>
      </c>
      <c r="C13" s="8">
        <v>44720</v>
      </c>
      <c r="D13" s="9">
        <v>26</v>
      </c>
      <c r="E13" s="1">
        <v>378905</v>
      </c>
      <c r="F13" s="1">
        <v>19426</v>
      </c>
      <c r="G13" s="1">
        <f>E13-F13</f>
        <v>359479</v>
      </c>
      <c r="H13" s="1">
        <f>ROUND(G13*18%,0)</f>
        <v>64706</v>
      </c>
      <c r="I13" s="1">
        <f>G13+H13</f>
        <v>424185</v>
      </c>
      <c r="J13" s="1">
        <f>G13*J6</f>
        <v>7189.58</v>
      </c>
      <c r="K13" s="1">
        <f>G13*5%</f>
        <v>17973.95</v>
      </c>
      <c r="L13" s="1">
        <f>H13</f>
        <v>64706</v>
      </c>
      <c r="M13" s="1"/>
      <c r="N13" s="10">
        <f>ROUND(I13-SUM(J13:L13),0)</f>
        <v>334315</v>
      </c>
      <c r="O13" s="6"/>
      <c r="P13" s="1" t="s">
        <v>23</v>
      </c>
      <c r="Q13" s="1">
        <v>150000</v>
      </c>
      <c r="R13" s="1">
        <f>$R$6*Q13</f>
        <v>3000</v>
      </c>
      <c r="S13" s="1">
        <v>0</v>
      </c>
      <c r="T13" s="1">
        <v>0</v>
      </c>
      <c r="U13" s="1">
        <f t="shared" ref="U13" si="2">Q13-R13</f>
        <v>147000</v>
      </c>
      <c r="V13" s="38" t="s">
        <v>24</v>
      </c>
    </row>
    <row r="14" spans="1:22" ht="17.25" customHeight="1" x14ac:dyDescent="0.3">
      <c r="A14" s="37">
        <v>50621</v>
      </c>
      <c r="B14" s="7" t="s">
        <v>20</v>
      </c>
      <c r="C14" s="8">
        <v>44765</v>
      </c>
      <c r="D14" s="9">
        <v>9</v>
      </c>
      <c r="E14" s="1">
        <f>L13</f>
        <v>64706</v>
      </c>
      <c r="F14" s="1">
        <v>0</v>
      </c>
      <c r="G14" s="1">
        <f>E14-F14</f>
        <v>64706</v>
      </c>
      <c r="H14" s="1">
        <v>0</v>
      </c>
      <c r="I14" s="1">
        <f>G14+H14</f>
        <v>64706</v>
      </c>
      <c r="J14" s="1">
        <v>0</v>
      </c>
      <c r="K14" s="1">
        <v>0</v>
      </c>
      <c r="L14" s="1">
        <v>0</v>
      </c>
      <c r="M14" s="1"/>
      <c r="N14" s="10">
        <f>I14-SUM(J14:L14)</f>
        <v>64706</v>
      </c>
      <c r="O14" s="6"/>
      <c r="P14" s="1" t="s">
        <v>25</v>
      </c>
      <c r="Q14" s="1">
        <v>100000</v>
      </c>
      <c r="R14" s="1">
        <f>$R$6*Q14</f>
        <v>2000</v>
      </c>
      <c r="S14" s="1">
        <v>0</v>
      </c>
      <c r="T14" s="1">
        <v>0</v>
      </c>
      <c r="U14" s="1">
        <f>Q14-R14-S14-T14</f>
        <v>98000</v>
      </c>
      <c r="V14" s="38" t="s">
        <v>26</v>
      </c>
    </row>
    <row r="15" spans="1:22" ht="17.25" customHeight="1" x14ac:dyDescent="0.3">
      <c r="A15" s="37">
        <v>50621</v>
      </c>
      <c r="B15" s="7" t="s">
        <v>21</v>
      </c>
      <c r="C15" s="8"/>
      <c r="D15" s="9" t="s">
        <v>22</v>
      </c>
      <c r="E15" s="1">
        <f>-2.13*150</f>
        <v>-319.5</v>
      </c>
      <c r="F15" s="1">
        <v>0</v>
      </c>
      <c r="G15" s="1">
        <f>E15-F15</f>
        <v>-319.5</v>
      </c>
      <c r="H15" s="1">
        <f t="shared" ref="H15" si="3">ROUND(G15*18%,0)</f>
        <v>-58</v>
      </c>
      <c r="I15" s="1">
        <f>G15+H15</f>
        <v>-377.5</v>
      </c>
      <c r="J15" s="1">
        <v>0</v>
      </c>
      <c r="K15" s="1"/>
      <c r="L15" s="1"/>
      <c r="M15" s="1"/>
      <c r="N15" s="10">
        <f>ROUND(I15-SUM(J15:L15),2)</f>
        <v>-377.5</v>
      </c>
      <c r="O15" s="6"/>
      <c r="P15" s="1" t="s">
        <v>27</v>
      </c>
      <c r="Q15" s="1">
        <v>89315</v>
      </c>
      <c r="R15" s="1">
        <v>0</v>
      </c>
      <c r="S15" s="1">
        <f>Q15*S10</f>
        <v>0</v>
      </c>
      <c r="T15" s="1">
        <v>0</v>
      </c>
      <c r="U15" s="1">
        <f>ROUND(Q15-R15-S15-T15,0)</f>
        <v>89315</v>
      </c>
      <c r="V15" s="38" t="s">
        <v>28</v>
      </c>
    </row>
    <row r="16" spans="1:22" ht="17.25" customHeight="1" x14ac:dyDescent="0.3">
      <c r="A16" s="37">
        <v>50621</v>
      </c>
      <c r="O16" s="6"/>
      <c r="P16" s="19" t="s">
        <v>29</v>
      </c>
      <c r="Q16" s="1">
        <v>64706</v>
      </c>
      <c r="R16" s="1">
        <v>0</v>
      </c>
      <c r="S16" s="1"/>
      <c r="T16" s="1">
        <v>0</v>
      </c>
      <c r="U16" s="1">
        <f>Q16-R16-S16-T16</f>
        <v>64706</v>
      </c>
      <c r="V16" s="38" t="s">
        <v>30</v>
      </c>
    </row>
    <row r="17" spans="1:22" ht="14.4" x14ac:dyDescent="0.3">
      <c r="A17" s="37">
        <v>50621</v>
      </c>
      <c r="O17" s="6"/>
      <c r="P17" s="19"/>
      <c r="Q17" s="1"/>
      <c r="R17" s="1"/>
      <c r="S17" s="1"/>
      <c r="T17" s="1"/>
      <c r="U17" s="1">
        <v>-377</v>
      </c>
      <c r="V17" s="38"/>
    </row>
    <row r="18" spans="1:22" ht="14.4" x14ac:dyDescent="0.3">
      <c r="A18" s="37">
        <v>50625</v>
      </c>
      <c r="O18" s="5">
        <v>50625</v>
      </c>
      <c r="P18" s="19"/>
      <c r="Q18" s="1"/>
      <c r="R18" s="1"/>
      <c r="S18" s="1"/>
      <c r="T18" s="1"/>
      <c r="U18" s="1"/>
      <c r="V18" s="38"/>
    </row>
    <row r="19" spans="1:22" ht="14.4" x14ac:dyDescent="0.3">
      <c r="A19" s="37">
        <v>50625</v>
      </c>
      <c r="B19" s="7" t="s">
        <v>31</v>
      </c>
      <c r="C19" s="8">
        <v>44713</v>
      </c>
      <c r="D19" s="9">
        <v>22</v>
      </c>
      <c r="E19" s="1">
        <v>386055</v>
      </c>
      <c r="F19" s="1">
        <f>97.13*400</f>
        <v>38852</v>
      </c>
      <c r="G19" s="1">
        <f>E19-F19</f>
        <v>347203</v>
      </c>
      <c r="H19" s="1">
        <f>ROUND(G19*18%,0)-1</f>
        <v>62496</v>
      </c>
      <c r="I19" s="1">
        <f>G19+H19</f>
        <v>409699</v>
      </c>
      <c r="J19" s="1">
        <f>G19*J6</f>
        <v>6944.06</v>
      </c>
      <c r="K19" s="1">
        <f>G19*5%</f>
        <v>17360.150000000001</v>
      </c>
      <c r="L19" s="1">
        <f>H19</f>
        <v>62496</v>
      </c>
      <c r="M19" s="1"/>
      <c r="N19" s="10">
        <f>ROUND(I19-SUM(J19:L19),0)</f>
        <v>322899</v>
      </c>
      <c r="O19" s="6"/>
      <c r="P19" s="1" t="s">
        <v>32</v>
      </c>
      <c r="Q19" s="1">
        <v>150000</v>
      </c>
      <c r="R19" s="1">
        <f>$R$6*Q19</f>
        <v>3000</v>
      </c>
      <c r="S19" s="1">
        <v>0</v>
      </c>
      <c r="T19" s="1">
        <v>0</v>
      </c>
      <c r="U19" s="1">
        <f>ROUND(Q19-R19-S19-T19,0)</f>
        <v>147000</v>
      </c>
      <c r="V19" s="38" t="s">
        <v>33</v>
      </c>
    </row>
    <row r="20" spans="1:22" ht="14.4" x14ac:dyDescent="0.3">
      <c r="A20" s="37">
        <v>50625</v>
      </c>
      <c r="B20" s="7" t="s">
        <v>31</v>
      </c>
      <c r="C20" s="8">
        <v>44765</v>
      </c>
      <c r="D20" s="7">
        <v>11</v>
      </c>
      <c r="E20" s="1">
        <v>62497</v>
      </c>
      <c r="F20" s="1">
        <v>0</v>
      </c>
      <c r="G20" s="1">
        <f>E20-F20</f>
        <v>62497</v>
      </c>
      <c r="H20" s="1">
        <v>0</v>
      </c>
      <c r="I20" s="1">
        <f>G20+H20</f>
        <v>62497</v>
      </c>
      <c r="J20" s="1">
        <v>0</v>
      </c>
      <c r="K20" s="1">
        <v>0</v>
      </c>
      <c r="L20" s="1">
        <v>0</v>
      </c>
      <c r="M20" s="1"/>
      <c r="N20" s="10">
        <f>I20-SUM(J20:L20)</f>
        <v>62497</v>
      </c>
      <c r="O20" s="6"/>
      <c r="P20" s="1" t="s">
        <v>34</v>
      </c>
      <c r="Q20" s="1">
        <v>100000</v>
      </c>
      <c r="R20" s="1">
        <f>$R$6*Q20</f>
        <v>2000</v>
      </c>
      <c r="S20" s="1">
        <v>0</v>
      </c>
      <c r="T20" s="1">
        <v>0</v>
      </c>
      <c r="U20" s="1">
        <f>ROUND(Q20-R20-S20-T20,0)</f>
        <v>98000</v>
      </c>
      <c r="V20" s="38" t="s">
        <v>35</v>
      </c>
    </row>
    <row r="21" spans="1:22" ht="14.4" x14ac:dyDescent="0.3">
      <c r="A21" s="37">
        <v>50625</v>
      </c>
      <c r="O21" s="6"/>
      <c r="P21" s="1" t="s">
        <v>36</v>
      </c>
      <c r="Q21" s="1">
        <v>50000</v>
      </c>
      <c r="R21" s="1">
        <f>$R$6*Q21</f>
        <v>1000</v>
      </c>
      <c r="S21" s="1"/>
      <c r="T21" s="1"/>
      <c r="U21" s="1">
        <f>ROUND(Q21-R21-S21-T21,0)</f>
        <v>49000</v>
      </c>
      <c r="V21" s="38" t="s">
        <v>37</v>
      </c>
    </row>
    <row r="22" spans="1:22" ht="14.4" x14ac:dyDescent="0.3">
      <c r="A22" s="37">
        <v>50625</v>
      </c>
      <c r="O22" s="6"/>
      <c r="P22" s="1" t="s">
        <v>38</v>
      </c>
      <c r="Q22" s="1">
        <v>28899</v>
      </c>
      <c r="R22" s="1">
        <v>0</v>
      </c>
      <c r="S22" s="1">
        <f>S16*Q22</f>
        <v>0</v>
      </c>
      <c r="T22" s="1">
        <v>0</v>
      </c>
      <c r="U22" s="1">
        <v>28899</v>
      </c>
      <c r="V22" s="38" t="s">
        <v>39</v>
      </c>
    </row>
    <row r="23" spans="1:22" ht="14.4" x14ac:dyDescent="0.3">
      <c r="A23" s="37">
        <v>50625</v>
      </c>
      <c r="O23" s="6"/>
      <c r="P23" s="1" t="s">
        <v>40</v>
      </c>
      <c r="Q23" s="1">
        <v>62497</v>
      </c>
      <c r="R23" s="1">
        <v>0</v>
      </c>
      <c r="S23" s="1"/>
      <c r="T23" s="1"/>
      <c r="U23" s="1">
        <v>62497</v>
      </c>
      <c r="V23" s="38" t="s">
        <v>41</v>
      </c>
    </row>
    <row r="24" spans="1:22" ht="14.4" x14ac:dyDescent="0.3">
      <c r="A24" s="37">
        <v>50625</v>
      </c>
      <c r="O24" s="6"/>
      <c r="P24" s="1"/>
      <c r="Q24" s="1"/>
      <c r="R24" s="1"/>
      <c r="S24" s="1"/>
      <c r="T24" s="1"/>
      <c r="U24" s="1"/>
      <c r="V24" s="38"/>
    </row>
    <row r="25" spans="1:22" ht="14.4" x14ac:dyDescent="0.3">
      <c r="A25" s="37">
        <v>50875</v>
      </c>
      <c r="O25" s="5">
        <v>50875</v>
      </c>
      <c r="P25" s="1"/>
      <c r="Q25" s="1"/>
      <c r="R25" s="1"/>
      <c r="S25" s="1"/>
      <c r="T25" s="1"/>
      <c r="U25" s="1"/>
      <c r="V25" s="38"/>
    </row>
    <row r="26" spans="1:22" ht="26.4" x14ac:dyDescent="0.3">
      <c r="A26" s="37">
        <v>50875</v>
      </c>
      <c r="B26" s="7" t="s">
        <v>42</v>
      </c>
      <c r="C26" s="8">
        <v>44722</v>
      </c>
      <c r="D26" s="9">
        <v>30</v>
      </c>
      <c r="E26" s="1">
        <v>386055</v>
      </c>
      <c r="F26" s="1">
        <v>0</v>
      </c>
      <c r="G26" s="1">
        <f>E26-F26</f>
        <v>386055</v>
      </c>
      <c r="H26" s="1">
        <f>ROUND(G26*18%,0)</f>
        <v>69490</v>
      </c>
      <c r="I26" s="1">
        <f>G26+H26</f>
        <v>455545</v>
      </c>
      <c r="J26" s="1">
        <f>ROUND(G26*$J$6,)</f>
        <v>7721</v>
      </c>
      <c r="K26" s="1">
        <f>G26*5%</f>
        <v>19302.75</v>
      </c>
      <c r="L26" s="1">
        <f>H26</f>
        <v>69490</v>
      </c>
      <c r="M26" s="1"/>
      <c r="N26" s="10">
        <f>I26-SUM(J26:L26)</f>
        <v>359031.25</v>
      </c>
      <c r="O26" s="6"/>
      <c r="P26" s="1" t="s">
        <v>45</v>
      </c>
      <c r="Q26" s="1">
        <v>150000</v>
      </c>
      <c r="R26" s="1">
        <f>$R$6*Q26</f>
        <v>3000</v>
      </c>
      <c r="S26" s="1">
        <v>0</v>
      </c>
      <c r="T26" s="1">
        <v>0</v>
      </c>
      <c r="U26" s="1">
        <f t="shared" ref="U26" si="4">Q26-R26</f>
        <v>147000</v>
      </c>
      <c r="V26" s="38" t="s">
        <v>46</v>
      </c>
    </row>
    <row r="27" spans="1:22" ht="26.4" x14ac:dyDescent="0.3">
      <c r="A27" s="37">
        <v>50875</v>
      </c>
      <c r="B27" s="7" t="s">
        <v>42</v>
      </c>
      <c r="C27" s="8">
        <v>44765</v>
      </c>
      <c r="D27" s="9"/>
      <c r="E27" s="1">
        <f>L26</f>
        <v>69490</v>
      </c>
      <c r="F27" s="1">
        <v>0</v>
      </c>
      <c r="G27" s="1">
        <f>E27-F27</f>
        <v>69490</v>
      </c>
      <c r="H27" s="1">
        <v>0</v>
      </c>
      <c r="I27" s="1">
        <f>G27+H27</f>
        <v>69490</v>
      </c>
      <c r="J27" s="1">
        <v>0</v>
      </c>
      <c r="K27" s="1"/>
      <c r="L27" s="1"/>
      <c r="M27" s="1"/>
      <c r="N27" s="10">
        <f>I27-SUM(J27:L27)</f>
        <v>69490</v>
      </c>
      <c r="O27" s="6"/>
      <c r="P27" s="1" t="s">
        <v>47</v>
      </c>
      <c r="Q27" s="1">
        <v>100000</v>
      </c>
      <c r="R27" s="1">
        <f>$R$6*Q27</f>
        <v>2000</v>
      </c>
      <c r="S27" s="1">
        <v>0</v>
      </c>
      <c r="T27" s="1">
        <v>0</v>
      </c>
      <c r="U27" s="1">
        <f t="shared" ref="U27:U34" si="5">ROUND(Q27-R27-S27-T27,0)</f>
        <v>98000</v>
      </c>
      <c r="V27" s="38" t="s">
        <v>48</v>
      </c>
    </row>
    <row r="28" spans="1:22" ht="66" x14ac:dyDescent="0.3">
      <c r="A28" s="37">
        <v>50875</v>
      </c>
      <c r="B28" s="7" t="s">
        <v>44</v>
      </c>
      <c r="C28" s="8"/>
      <c r="D28" s="9"/>
      <c r="E28" s="1">
        <f>(-2*150)</f>
        <v>-300</v>
      </c>
      <c r="F28" s="1">
        <v>0</v>
      </c>
      <c r="G28" s="1">
        <f>E28-F28</f>
        <v>-300</v>
      </c>
      <c r="H28" s="1">
        <f>G28*18%</f>
        <v>-54</v>
      </c>
      <c r="I28" s="1">
        <f>G28+H28</f>
        <v>-354</v>
      </c>
      <c r="J28" s="1">
        <v>0</v>
      </c>
      <c r="K28" s="1">
        <v>0</v>
      </c>
      <c r="L28" s="1">
        <v>0</v>
      </c>
      <c r="M28" s="1"/>
      <c r="N28" s="10">
        <f>I28-SUM(J28:L28)</f>
        <v>-354</v>
      </c>
      <c r="O28" s="6"/>
      <c r="P28" s="1" t="s">
        <v>49</v>
      </c>
      <c r="Q28" s="1">
        <v>100000</v>
      </c>
      <c r="R28" s="1">
        <f>$R$6*Q28</f>
        <v>2000</v>
      </c>
      <c r="S28" s="1">
        <v>0</v>
      </c>
      <c r="T28" s="1">
        <v>0</v>
      </c>
      <c r="U28" s="1">
        <f t="shared" si="5"/>
        <v>98000</v>
      </c>
      <c r="V28" s="38" t="s">
        <v>50</v>
      </c>
    </row>
    <row r="29" spans="1:22" ht="14.4" x14ac:dyDescent="0.3">
      <c r="A29" s="37">
        <v>50875</v>
      </c>
      <c r="O29" s="6"/>
      <c r="P29" s="1" t="s">
        <v>51</v>
      </c>
      <c r="Q29" s="1">
        <v>16031</v>
      </c>
      <c r="R29" s="1">
        <v>0</v>
      </c>
      <c r="S29" s="1">
        <f>Q29*S23</f>
        <v>0</v>
      </c>
      <c r="T29" s="1">
        <v>0</v>
      </c>
      <c r="U29" s="1">
        <f>Q29-R29</f>
        <v>16031</v>
      </c>
      <c r="V29" s="38" t="s">
        <v>52</v>
      </c>
    </row>
    <row r="30" spans="1:22" ht="39.6" x14ac:dyDescent="0.3">
      <c r="A30" s="37">
        <v>50875</v>
      </c>
      <c r="O30" s="6"/>
      <c r="P30" s="19" t="s">
        <v>53</v>
      </c>
      <c r="Q30" s="1">
        <v>69490</v>
      </c>
      <c r="R30" s="1">
        <v>0</v>
      </c>
      <c r="S30" s="1"/>
      <c r="T30" s="1"/>
      <c r="U30" s="1">
        <f t="shared" si="5"/>
        <v>69490</v>
      </c>
      <c r="V30" s="38" t="s">
        <v>54</v>
      </c>
    </row>
    <row r="31" spans="1:22" ht="14.4" x14ac:dyDescent="0.3">
      <c r="O31" s="6"/>
      <c r="P31" s="19"/>
      <c r="Q31" s="1"/>
      <c r="R31" s="1"/>
      <c r="S31" s="1"/>
      <c r="T31" s="1"/>
      <c r="U31" s="1">
        <v>-354</v>
      </c>
      <c r="V31" s="38"/>
    </row>
    <row r="32" spans="1:22" ht="14.4" x14ac:dyDescent="0.3">
      <c r="A32" s="37">
        <v>50964</v>
      </c>
      <c r="O32" s="5">
        <v>50964</v>
      </c>
      <c r="P32" s="19"/>
      <c r="Q32" s="1"/>
      <c r="R32" s="1"/>
      <c r="S32" s="1"/>
      <c r="T32" s="1"/>
      <c r="U32" s="1"/>
      <c r="V32" s="38"/>
    </row>
    <row r="33" spans="1:22" ht="14.4" x14ac:dyDescent="0.3">
      <c r="A33" s="37">
        <v>50964</v>
      </c>
      <c r="B33" s="7" t="s">
        <v>55</v>
      </c>
      <c r="C33" s="8">
        <v>44722</v>
      </c>
      <c r="D33" s="9">
        <v>29</v>
      </c>
      <c r="E33" s="1">
        <v>292230</v>
      </c>
      <c r="F33" s="1">
        <v>0</v>
      </c>
      <c r="G33" s="1">
        <f>E33-F33</f>
        <v>292230</v>
      </c>
      <c r="H33" s="1">
        <f>ROUND(G33*18%,0)</f>
        <v>52601</v>
      </c>
      <c r="I33" s="1">
        <f>G33+H33</f>
        <v>344831</v>
      </c>
      <c r="J33" s="1">
        <f>ROUND(G33*$J$6,)</f>
        <v>5845</v>
      </c>
      <c r="K33" s="1">
        <f>G33*5%</f>
        <v>14611.5</v>
      </c>
      <c r="L33" s="1">
        <f>H33</f>
        <v>52601</v>
      </c>
      <c r="M33" s="1"/>
      <c r="N33" s="10">
        <f>ROUND(I33-SUM(J33:L33),0)-1</f>
        <v>271773</v>
      </c>
      <c r="O33" s="6"/>
      <c r="P33" s="1" t="s">
        <v>58</v>
      </c>
      <c r="Q33" s="1">
        <v>150000</v>
      </c>
      <c r="R33" s="1">
        <f>$R$6*Q33</f>
        <v>3000</v>
      </c>
      <c r="S33" s="1">
        <v>0</v>
      </c>
      <c r="T33" s="1">
        <v>0</v>
      </c>
      <c r="U33" s="1">
        <f t="shared" si="5"/>
        <v>147000</v>
      </c>
      <c r="V33" s="38" t="s">
        <v>59</v>
      </c>
    </row>
    <row r="34" spans="1:22" ht="14.4" x14ac:dyDescent="0.3">
      <c r="A34" s="37">
        <v>50964</v>
      </c>
      <c r="B34" s="7" t="s">
        <v>55</v>
      </c>
      <c r="C34" s="8">
        <v>44765</v>
      </c>
      <c r="D34" s="9">
        <v>7</v>
      </c>
      <c r="E34" s="1">
        <v>52602</v>
      </c>
      <c r="F34" s="1">
        <v>0</v>
      </c>
      <c r="G34" s="1">
        <f>E34-F34</f>
        <v>52602</v>
      </c>
      <c r="H34" s="1">
        <v>0</v>
      </c>
      <c r="I34" s="1">
        <f>G34+H34</f>
        <v>52602</v>
      </c>
      <c r="J34" s="1">
        <v>0</v>
      </c>
      <c r="K34" s="1">
        <v>0</v>
      </c>
      <c r="L34" s="1">
        <v>0</v>
      </c>
      <c r="M34" s="1"/>
      <c r="N34" s="10">
        <f>I34-SUM(J34:L34)</f>
        <v>52602</v>
      </c>
      <c r="O34" s="6"/>
      <c r="P34" s="1" t="s">
        <v>60</v>
      </c>
      <c r="Q34" s="1">
        <v>100000</v>
      </c>
      <c r="R34" s="1">
        <f>$R$6*Q34</f>
        <v>2000</v>
      </c>
      <c r="S34" s="1">
        <v>0</v>
      </c>
      <c r="T34" s="1">
        <v>0</v>
      </c>
      <c r="U34" s="1">
        <f t="shared" si="5"/>
        <v>98000</v>
      </c>
      <c r="V34" s="38" t="s">
        <v>61</v>
      </c>
    </row>
    <row r="35" spans="1:22" ht="79.2" x14ac:dyDescent="0.3">
      <c r="A35" s="37">
        <v>50964</v>
      </c>
      <c r="B35" s="7" t="s">
        <v>56</v>
      </c>
      <c r="C35" s="8">
        <v>44790</v>
      </c>
      <c r="D35" s="7">
        <v>7</v>
      </c>
      <c r="E35" s="1">
        <f>-(145-132.11)*150</f>
        <v>-1933.499999999998</v>
      </c>
      <c r="F35" s="1">
        <v>0</v>
      </c>
      <c r="G35" s="1">
        <f>E35-F35</f>
        <v>-1933.499999999998</v>
      </c>
      <c r="H35" s="1">
        <f>ROUND(G35*18%,0)</f>
        <v>-348</v>
      </c>
      <c r="I35" s="1">
        <f>G35+H35</f>
        <v>-2281.4999999999982</v>
      </c>
      <c r="J35" s="1">
        <v>0</v>
      </c>
      <c r="K35" s="1"/>
      <c r="L35" s="1"/>
      <c r="M35" s="1"/>
      <c r="N35" s="10">
        <f>ROUND(I35-SUM(J35:L35),0)</f>
        <v>-2282</v>
      </c>
      <c r="O35" s="6"/>
      <c r="P35" s="1" t="s">
        <v>62</v>
      </c>
      <c r="Q35" s="1">
        <v>292230</v>
      </c>
      <c r="R35" s="1">
        <f>$R$6*Q35</f>
        <v>5844.6</v>
      </c>
      <c r="S35" s="1">
        <f>Q35*S30</f>
        <v>0</v>
      </c>
      <c r="T35" s="1">
        <v>0</v>
      </c>
      <c r="U35" s="1">
        <v>26773</v>
      </c>
      <c r="V35" s="38" t="s">
        <v>63</v>
      </c>
    </row>
    <row r="36" spans="1:22" ht="26.4" x14ac:dyDescent="0.3">
      <c r="A36" s="37">
        <v>50964</v>
      </c>
      <c r="B36" s="7" t="s">
        <v>57</v>
      </c>
      <c r="C36" s="8">
        <v>37469</v>
      </c>
      <c r="D36" s="9">
        <v>64</v>
      </c>
      <c r="E36" s="1">
        <v>94275</v>
      </c>
      <c r="F36" s="1">
        <v>0</v>
      </c>
      <c r="G36" s="1">
        <f>E36-F36</f>
        <v>94275</v>
      </c>
      <c r="H36" s="1">
        <f>ROUND(G36*18%,0)</f>
        <v>16970</v>
      </c>
      <c r="I36" s="1">
        <f>G36+H36</f>
        <v>111245</v>
      </c>
      <c r="J36" s="1">
        <f>ROUND(G36*$J$6,)</f>
        <v>1886</v>
      </c>
      <c r="K36" s="1">
        <f>G36*5%</f>
        <v>4713.75</v>
      </c>
      <c r="L36" s="1">
        <f>H36</f>
        <v>16970</v>
      </c>
      <c r="M36" s="1"/>
      <c r="N36" s="10">
        <f>ROUND(G36-SUM(J36:K36),0)</f>
        <v>87675</v>
      </c>
      <c r="O36" s="6"/>
      <c r="P36" s="19" t="s">
        <v>64</v>
      </c>
      <c r="Q36" s="1">
        <v>52602</v>
      </c>
      <c r="R36" s="1">
        <v>0</v>
      </c>
      <c r="S36" s="1"/>
      <c r="T36" s="1">
        <v>0</v>
      </c>
      <c r="U36" s="1">
        <f>Q36-R36-S36-T36</f>
        <v>52602</v>
      </c>
      <c r="V36" s="38" t="s">
        <v>65</v>
      </c>
    </row>
    <row r="37" spans="1:22" ht="14.4" x14ac:dyDescent="0.3">
      <c r="A37" s="37">
        <v>50964</v>
      </c>
      <c r="B37" s="7" t="s">
        <v>10</v>
      </c>
      <c r="C37" s="8">
        <v>44823</v>
      </c>
      <c r="D37" s="9">
        <v>64</v>
      </c>
      <c r="E37" s="1">
        <f>L36</f>
        <v>16970</v>
      </c>
      <c r="F37" s="1">
        <v>0</v>
      </c>
      <c r="G37" s="1">
        <f>E37-F37</f>
        <v>16970</v>
      </c>
      <c r="H37" s="1">
        <v>0</v>
      </c>
      <c r="I37" s="1">
        <f>G37+H37</f>
        <v>16970</v>
      </c>
      <c r="J37" s="1">
        <v>0</v>
      </c>
      <c r="K37" s="1">
        <v>0</v>
      </c>
      <c r="L37" s="1">
        <f>H37</f>
        <v>0</v>
      </c>
      <c r="M37" s="1"/>
      <c r="N37" s="10">
        <f>ROUND(I37-SUM(J37:L37),0)</f>
        <v>16970</v>
      </c>
      <c r="O37" s="6"/>
      <c r="P37" s="1" t="s">
        <v>66</v>
      </c>
      <c r="Q37" s="1">
        <v>85393</v>
      </c>
      <c r="R37" s="1">
        <v>0</v>
      </c>
      <c r="S37" s="1">
        <v>0</v>
      </c>
      <c r="T37" s="1">
        <v>0</v>
      </c>
      <c r="U37" s="1">
        <v>85393</v>
      </c>
      <c r="V37" s="38" t="s">
        <v>67</v>
      </c>
    </row>
    <row r="38" spans="1:22" ht="14.4" x14ac:dyDescent="0.3">
      <c r="A38" s="37">
        <v>50964</v>
      </c>
      <c r="O38" s="6"/>
      <c r="P38" s="1" t="s">
        <v>68</v>
      </c>
      <c r="Q38" s="1">
        <v>16970</v>
      </c>
      <c r="R38" s="1"/>
      <c r="S38" s="1"/>
      <c r="T38" s="1"/>
      <c r="U38" s="1">
        <v>16970</v>
      </c>
      <c r="V38" s="38" t="s">
        <v>69</v>
      </c>
    </row>
    <row r="39" spans="1:22" ht="14.4" x14ac:dyDescent="0.3">
      <c r="O39" s="6"/>
      <c r="P39" s="1"/>
      <c r="Q39" s="1"/>
      <c r="R39" s="1"/>
      <c r="S39" s="1"/>
      <c r="T39" s="1"/>
      <c r="U39" s="1"/>
      <c r="V39" s="38"/>
    </row>
    <row r="40" spans="1:22" ht="14.4" x14ac:dyDescent="0.3">
      <c r="A40" s="37">
        <v>50967</v>
      </c>
      <c r="O40" s="5">
        <v>50967</v>
      </c>
      <c r="P40" s="1"/>
      <c r="Q40" s="1"/>
      <c r="R40" s="1"/>
      <c r="S40" s="1"/>
      <c r="T40" s="1"/>
      <c r="U40" s="1"/>
      <c r="V40" s="38"/>
    </row>
    <row r="41" spans="1:22" ht="26.4" x14ac:dyDescent="0.3">
      <c r="A41" s="37">
        <v>50967</v>
      </c>
      <c r="B41" s="7" t="s">
        <v>70</v>
      </c>
      <c r="C41" s="8">
        <v>44720</v>
      </c>
      <c r="D41" s="9">
        <v>27</v>
      </c>
      <c r="E41" s="1">
        <v>373105</v>
      </c>
      <c r="F41" s="1">
        <v>19426</v>
      </c>
      <c r="G41" s="1">
        <f>E41-F41</f>
        <v>353679</v>
      </c>
      <c r="H41" s="1">
        <f>ROUND(G41*18%,0)</f>
        <v>63662</v>
      </c>
      <c r="I41" s="1">
        <f>G41+H41</f>
        <v>417341</v>
      </c>
      <c r="J41" s="1">
        <f>ROUND(G41*$J$6,)</f>
        <v>7074</v>
      </c>
      <c r="K41" s="1">
        <f>G41*5%</f>
        <v>17683.95</v>
      </c>
      <c r="L41" s="1">
        <f>H41</f>
        <v>63662</v>
      </c>
      <c r="M41" s="1"/>
      <c r="N41" s="10">
        <f>ROUND(I41-SUM(J41:L41),0)</f>
        <v>328921</v>
      </c>
      <c r="O41" s="6"/>
      <c r="P41" s="1" t="s">
        <v>72</v>
      </c>
      <c r="Q41" s="1">
        <v>100000</v>
      </c>
      <c r="R41" s="1">
        <f>$R$6*Q41</f>
        <v>2000</v>
      </c>
      <c r="S41" s="1">
        <v>0</v>
      </c>
      <c r="T41" s="1">
        <v>0</v>
      </c>
      <c r="U41" s="1">
        <f t="shared" ref="U41:U43" si="6">ROUND(Q41-R41-S41-T41,0)</f>
        <v>98000</v>
      </c>
      <c r="V41" s="38" t="s">
        <v>73</v>
      </c>
    </row>
    <row r="42" spans="1:22" ht="26.4" x14ac:dyDescent="0.3">
      <c r="A42" s="37">
        <v>50967</v>
      </c>
      <c r="B42" s="7" t="s">
        <v>70</v>
      </c>
      <c r="C42" s="8">
        <v>44765</v>
      </c>
      <c r="D42" s="9">
        <v>8</v>
      </c>
      <c r="E42" s="1">
        <f>L41</f>
        <v>63662</v>
      </c>
      <c r="F42" s="1">
        <v>0</v>
      </c>
      <c r="G42" s="1">
        <f>E42-F42</f>
        <v>63662</v>
      </c>
      <c r="H42" s="1">
        <v>0</v>
      </c>
      <c r="I42" s="1">
        <f>G42+H42</f>
        <v>63662</v>
      </c>
      <c r="J42" s="1">
        <v>0</v>
      </c>
      <c r="K42" s="1">
        <v>0</v>
      </c>
      <c r="L42" s="1">
        <v>0</v>
      </c>
      <c r="M42" s="1"/>
      <c r="N42" s="10">
        <f>I42-SUM(J42:L42)</f>
        <v>63662</v>
      </c>
      <c r="O42" s="6"/>
      <c r="P42" s="1" t="s">
        <v>74</v>
      </c>
      <c r="Q42" s="1">
        <v>353679</v>
      </c>
      <c r="R42" s="1">
        <f>$R$6*Q42</f>
        <v>7073.58</v>
      </c>
      <c r="S42" s="1">
        <f>Q42*S38</f>
        <v>0</v>
      </c>
      <c r="T42" s="1">
        <v>0</v>
      </c>
      <c r="U42" s="1">
        <v>230921</v>
      </c>
      <c r="V42" s="38" t="s">
        <v>75</v>
      </c>
    </row>
    <row r="43" spans="1:22" ht="66" x14ac:dyDescent="0.3">
      <c r="A43" s="37">
        <v>50967</v>
      </c>
      <c r="B43" s="7" t="s">
        <v>71</v>
      </c>
      <c r="C43" s="8"/>
      <c r="D43" s="9" t="s">
        <v>22</v>
      </c>
      <c r="E43" s="1">
        <f>-10.8*150</f>
        <v>-1620</v>
      </c>
      <c r="F43" s="1">
        <v>0</v>
      </c>
      <c r="G43" s="1">
        <f>E43-F43</f>
        <v>-1620</v>
      </c>
      <c r="H43" s="1">
        <f>ROUND(G43*18%,0)</f>
        <v>-292</v>
      </c>
      <c r="I43" s="1">
        <f>G43+H43</f>
        <v>-1912</v>
      </c>
      <c r="J43" s="1">
        <v>0</v>
      </c>
      <c r="K43" s="1"/>
      <c r="L43" s="1"/>
      <c r="M43" s="1"/>
      <c r="N43" s="10">
        <f t="shared" ref="N43:N49" si="7">ROUND(I43-SUM(J43:L43),0)</f>
        <v>-1912</v>
      </c>
      <c r="O43" s="6"/>
      <c r="P43" s="19" t="s">
        <v>76</v>
      </c>
      <c r="Q43" s="1">
        <v>63662</v>
      </c>
      <c r="R43" s="1"/>
      <c r="S43" s="1"/>
      <c r="T43" s="1"/>
      <c r="U43" s="1">
        <f t="shared" si="6"/>
        <v>63662</v>
      </c>
      <c r="V43" s="38" t="s">
        <v>77</v>
      </c>
    </row>
    <row r="44" spans="1:22" ht="14.4" x14ac:dyDescent="0.3">
      <c r="A44" s="37">
        <v>50967</v>
      </c>
      <c r="B44" s="7"/>
      <c r="C44" s="8"/>
      <c r="D44" s="9"/>
      <c r="E44" s="1"/>
      <c r="F44" s="1"/>
      <c r="G44" s="1"/>
      <c r="H44" s="1"/>
      <c r="I44" s="1"/>
      <c r="J44" s="1"/>
      <c r="K44" s="1"/>
      <c r="L44" s="1"/>
      <c r="M44" s="1"/>
      <c r="N44" s="10"/>
      <c r="O44" s="6"/>
      <c r="P44" s="19"/>
      <c r="Q44" s="1"/>
      <c r="R44" s="1"/>
      <c r="S44" s="1"/>
      <c r="T44" s="1"/>
      <c r="U44" s="1">
        <v>-1912</v>
      </c>
      <c r="V44" s="38"/>
    </row>
    <row r="45" spans="1:22" ht="14.4" x14ac:dyDescent="0.3">
      <c r="B45" s="7"/>
      <c r="C45" s="8"/>
      <c r="D45" s="9"/>
      <c r="E45" s="1"/>
      <c r="F45" s="1"/>
      <c r="G45" s="1"/>
      <c r="H45" s="1"/>
      <c r="I45" s="1"/>
      <c r="J45" s="1"/>
      <c r="K45" s="1"/>
      <c r="L45" s="1"/>
      <c r="M45" s="1"/>
      <c r="N45" s="10"/>
      <c r="O45" s="6"/>
      <c r="P45" s="19"/>
      <c r="Q45" s="1"/>
      <c r="R45" s="1"/>
      <c r="S45" s="1"/>
      <c r="T45" s="1"/>
      <c r="U45" s="1"/>
      <c r="V45" s="38"/>
    </row>
    <row r="46" spans="1:22" ht="14.4" x14ac:dyDescent="0.3">
      <c r="A46" s="37">
        <v>51227</v>
      </c>
      <c r="B46" s="7"/>
      <c r="C46" s="8"/>
      <c r="D46" s="9"/>
      <c r="E46" s="1"/>
      <c r="F46" s="1"/>
      <c r="G46" s="1"/>
      <c r="H46" s="1"/>
      <c r="I46" s="1"/>
      <c r="J46" s="1"/>
      <c r="K46" s="1"/>
      <c r="L46" s="1"/>
      <c r="M46" s="1"/>
      <c r="N46" s="10"/>
      <c r="O46" s="5">
        <v>51227</v>
      </c>
      <c r="P46" s="19"/>
      <c r="Q46" s="1"/>
      <c r="R46" s="1"/>
      <c r="S46" s="1"/>
      <c r="T46" s="1"/>
      <c r="U46" s="1"/>
      <c r="V46" s="38"/>
    </row>
    <row r="47" spans="1:22" ht="14.4" x14ac:dyDescent="0.3">
      <c r="B47" s="7" t="s">
        <v>340</v>
      </c>
      <c r="C47" s="8">
        <v>44952</v>
      </c>
      <c r="D47" s="51">
        <v>220</v>
      </c>
      <c r="E47" s="1">
        <v>279677.5</v>
      </c>
      <c r="F47" s="1">
        <v>0</v>
      </c>
      <c r="G47" s="1">
        <v>279677</v>
      </c>
      <c r="H47" s="1">
        <f>ROUND(G47*18%,0)</f>
        <v>50342</v>
      </c>
      <c r="I47" s="1">
        <f>G47+H47</f>
        <v>330019</v>
      </c>
      <c r="J47" s="1">
        <f>G47*$J$6</f>
        <v>5593.54</v>
      </c>
      <c r="K47" s="1">
        <f>G47*$K$6</f>
        <v>13983.85</v>
      </c>
      <c r="L47" s="1">
        <f>H47</f>
        <v>50342</v>
      </c>
      <c r="M47" s="1"/>
      <c r="N47" s="10">
        <f t="shared" si="7"/>
        <v>260100</v>
      </c>
      <c r="O47" s="6"/>
      <c r="P47" s="1" t="s">
        <v>79</v>
      </c>
      <c r="Q47" s="1">
        <v>260099</v>
      </c>
      <c r="R47" s="1">
        <v>0</v>
      </c>
      <c r="S47" s="1">
        <v>0</v>
      </c>
      <c r="T47" s="1">
        <v>0</v>
      </c>
      <c r="U47" s="1">
        <f>ROUND(Q47-R47-S47-T47,0)</f>
        <v>260099</v>
      </c>
      <c r="V47" s="38" t="s">
        <v>80</v>
      </c>
    </row>
    <row r="48" spans="1:22" ht="14.4" x14ac:dyDescent="0.3">
      <c r="B48" s="7" t="s">
        <v>340</v>
      </c>
      <c r="C48" s="8">
        <v>45058</v>
      </c>
      <c r="D48" s="51">
        <v>28</v>
      </c>
      <c r="E48" s="1">
        <v>94275</v>
      </c>
      <c r="F48" s="1">
        <v>0</v>
      </c>
      <c r="G48" s="1">
        <f>ROUND(E48-F48,0)</f>
        <v>94275</v>
      </c>
      <c r="H48" s="1">
        <f>ROUND(G48*18%,0)</f>
        <v>16970</v>
      </c>
      <c r="I48" s="1">
        <f>G48+H48</f>
        <v>111245</v>
      </c>
      <c r="J48" s="1">
        <f>G48*$J$6</f>
        <v>1885.5</v>
      </c>
      <c r="K48" s="1">
        <f>G48*$K$6</f>
        <v>4713.75</v>
      </c>
      <c r="L48" s="1">
        <f>H48</f>
        <v>16970</v>
      </c>
      <c r="M48" s="1"/>
      <c r="N48" s="10">
        <f t="shared" si="7"/>
        <v>87676</v>
      </c>
      <c r="O48" s="6"/>
      <c r="P48" s="1" t="s">
        <v>81</v>
      </c>
      <c r="Q48" s="1">
        <v>50342</v>
      </c>
      <c r="R48" s="1">
        <v>0</v>
      </c>
      <c r="S48" s="1">
        <v>0</v>
      </c>
      <c r="T48" s="1">
        <v>0</v>
      </c>
      <c r="U48" s="1">
        <f>ROUND(Q48-R48-S48-T48,0)</f>
        <v>50342</v>
      </c>
      <c r="V48" s="38" t="s">
        <v>82</v>
      </c>
    </row>
    <row r="49" spans="1:22" ht="14.4" x14ac:dyDescent="0.3">
      <c r="B49" s="7" t="s">
        <v>78</v>
      </c>
      <c r="C49" s="8">
        <v>44982</v>
      </c>
      <c r="D49" s="51">
        <v>220</v>
      </c>
      <c r="E49" s="1">
        <v>50342</v>
      </c>
      <c r="F49" s="1">
        <v>0</v>
      </c>
      <c r="G49" s="1">
        <f>ROUND(E49-F49,0)</f>
        <v>50342</v>
      </c>
      <c r="H49" s="1">
        <v>0</v>
      </c>
      <c r="I49" s="1">
        <f>G49+H49</f>
        <v>50342</v>
      </c>
      <c r="J49" s="1">
        <v>0</v>
      </c>
      <c r="K49" s="1">
        <v>0</v>
      </c>
      <c r="L49" s="1">
        <v>0</v>
      </c>
      <c r="M49" s="1"/>
      <c r="N49" s="10">
        <f t="shared" si="7"/>
        <v>50342</v>
      </c>
      <c r="O49" s="6"/>
      <c r="P49" s="1" t="s">
        <v>83</v>
      </c>
      <c r="Q49" s="1">
        <v>87675</v>
      </c>
      <c r="R49" s="1">
        <v>0</v>
      </c>
      <c r="S49" s="1">
        <v>0</v>
      </c>
      <c r="T49" s="1">
        <v>0</v>
      </c>
      <c r="U49" s="1">
        <f>ROUND(Q49-R49-S49-T49,0)</f>
        <v>87675</v>
      </c>
      <c r="V49" s="38" t="s">
        <v>84</v>
      </c>
    </row>
    <row r="50" spans="1:22" ht="14.4" x14ac:dyDescent="0.3">
      <c r="B50" s="7"/>
      <c r="C50" s="8"/>
      <c r="D50" s="7"/>
      <c r="E50" s="1"/>
      <c r="F50" s="1"/>
      <c r="G50" s="1"/>
      <c r="H50" s="1"/>
      <c r="I50" s="1"/>
      <c r="J50" s="1"/>
      <c r="K50" s="1"/>
      <c r="L50" s="1"/>
      <c r="M50" s="1"/>
      <c r="N50" s="10"/>
      <c r="O50" s="6"/>
      <c r="P50" s="1"/>
      <c r="Q50" s="1"/>
      <c r="R50" s="1"/>
      <c r="S50" s="1"/>
      <c r="T50" s="1"/>
      <c r="U50" s="1"/>
      <c r="V50" s="38"/>
    </row>
    <row r="51" spans="1:22" ht="14.4" x14ac:dyDescent="0.3">
      <c r="A51" s="37">
        <v>51230</v>
      </c>
      <c r="B51" s="7"/>
      <c r="C51" s="8"/>
      <c r="D51" s="7"/>
      <c r="E51" s="1"/>
      <c r="F51" s="1"/>
      <c r="G51" s="1"/>
      <c r="H51" s="1"/>
      <c r="I51" s="1"/>
      <c r="J51" s="1"/>
      <c r="K51" s="1"/>
      <c r="L51" s="1"/>
      <c r="M51" s="1"/>
      <c r="N51" s="10"/>
      <c r="O51" s="5">
        <v>51230</v>
      </c>
      <c r="P51" s="1"/>
      <c r="Q51" s="1"/>
      <c r="R51" s="1"/>
      <c r="S51" s="1"/>
      <c r="T51" s="1"/>
      <c r="U51" s="1"/>
      <c r="V51" s="38"/>
    </row>
    <row r="52" spans="1:22" ht="14.4" x14ac:dyDescent="0.3">
      <c r="A52" s="37">
        <v>51230</v>
      </c>
      <c r="B52" s="7" t="s">
        <v>85</v>
      </c>
      <c r="C52" s="8">
        <v>44750</v>
      </c>
      <c r="D52" s="9">
        <v>51</v>
      </c>
      <c r="E52" s="1">
        <v>285380</v>
      </c>
      <c r="F52" s="1">
        <v>0</v>
      </c>
      <c r="G52" s="1">
        <f>E52-F52</f>
        <v>285380</v>
      </c>
      <c r="H52" s="1">
        <f>ROUND(G52*18%,0)</f>
        <v>51368</v>
      </c>
      <c r="I52" s="1">
        <f>G52+H52</f>
        <v>336748</v>
      </c>
      <c r="J52" s="1">
        <f>G52*$J$6</f>
        <v>5707.6</v>
      </c>
      <c r="K52" s="1">
        <f>G52*5%</f>
        <v>14269</v>
      </c>
      <c r="L52" s="1">
        <f>H52</f>
        <v>51368</v>
      </c>
      <c r="M52" s="1"/>
      <c r="N52" s="10">
        <f>ROUND(I52-SUM(J52:L52),0)</f>
        <v>265403</v>
      </c>
      <c r="O52" s="6"/>
      <c r="P52" s="1" t="s">
        <v>91</v>
      </c>
      <c r="Q52" s="1">
        <v>150000</v>
      </c>
      <c r="R52" s="1">
        <v>0</v>
      </c>
      <c r="S52" s="1">
        <f>Q52*S49</f>
        <v>0</v>
      </c>
      <c r="T52" s="1">
        <v>0</v>
      </c>
      <c r="U52" s="1">
        <v>147000</v>
      </c>
      <c r="V52" s="38" t="s">
        <v>92</v>
      </c>
    </row>
    <row r="53" spans="1:22" ht="14.4" x14ac:dyDescent="0.3">
      <c r="A53" s="37">
        <v>51230</v>
      </c>
      <c r="B53" s="7" t="s">
        <v>85</v>
      </c>
      <c r="C53" s="8">
        <v>44774</v>
      </c>
      <c r="D53" s="9">
        <v>63</v>
      </c>
      <c r="E53" s="1">
        <v>94275</v>
      </c>
      <c r="F53" s="1">
        <v>0</v>
      </c>
      <c r="G53" s="1">
        <f>E53-F53</f>
        <v>94275</v>
      </c>
      <c r="H53" s="1">
        <f>ROUND(G53*18%,0)</f>
        <v>16970</v>
      </c>
      <c r="I53" s="1">
        <f>G53+H53</f>
        <v>111245</v>
      </c>
      <c r="J53" s="1">
        <f>G53*$J$6</f>
        <v>1885.5</v>
      </c>
      <c r="K53" s="1">
        <f>G53*5%</f>
        <v>4713.75</v>
      </c>
      <c r="L53" s="1">
        <f>H53</f>
        <v>16970</v>
      </c>
      <c r="M53" s="1"/>
      <c r="N53" s="10">
        <f>ROUND(I53-SUM(J53:L53),0)</f>
        <v>87676</v>
      </c>
      <c r="O53" s="6"/>
      <c r="P53" s="1" t="s">
        <v>93</v>
      </c>
      <c r="Q53" s="1">
        <v>285380</v>
      </c>
      <c r="R53" s="1"/>
      <c r="S53" s="1"/>
      <c r="T53" s="1">
        <f>T49*Q53</f>
        <v>0</v>
      </c>
      <c r="U53" s="1">
        <v>118403</v>
      </c>
      <c r="V53" s="38" t="s">
        <v>94</v>
      </c>
    </row>
    <row r="54" spans="1:22" ht="79.2" x14ac:dyDescent="0.3">
      <c r="A54" s="37">
        <v>51230</v>
      </c>
      <c r="B54" s="7" t="s">
        <v>86</v>
      </c>
      <c r="C54" s="8">
        <v>44795</v>
      </c>
      <c r="D54" s="7" t="s">
        <v>87</v>
      </c>
      <c r="E54" s="1">
        <f>-3.3*150</f>
        <v>-495</v>
      </c>
      <c r="F54" s="1">
        <v>0</v>
      </c>
      <c r="G54" s="1">
        <f>E54-F54</f>
        <v>-495</v>
      </c>
      <c r="H54" s="1">
        <f>ROUND(G54*18%,0)</f>
        <v>-89</v>
      </c>
      <c r="I54" s="1">
        <f>G54+H54-2</f>
        <v>-586</v>
      </c>
      <c r="J54" s="1">
        <v>0</v>
      </c>
      <c r="K54" s="1"/>
      <c r="L54" s="1">
        <v>0</v>
      </c>
      <c r="M54" s="1"/>
      <c r="N54" s="10">
        <f>ROUND(I54-SUM(J54:L54),0)</f>
        <v>-586</v>
      </c>
      <c r="O54" s="6"/>
      <c r="P54" s="1" t="s">
        <v>95</v>
      </c>
      <c r="Q54" s="1">
        <v>50000</v>
      </c>
      <c r="R54" s="1"/>
      <c r="S54" s="1"/>
      <c r="T54" s="1"/>
      <c r="U54" s="1">
        <v>49000</v>
      </c>
      <c r="V54" s="38" t="s">
        <v>96</v>
      </c>
    </row>
    <row r="55" spans="1:22" ht="37.5" customHeight="1" x14ac:dyDescent="0.3">
      <c r="A55" s="37">
        <v>51230</v>
      </c>
      <c r="B55" s="7" t="s">
        <v>88</v>
      </c>
      <c r="C55" s="8">
        <v>44794</v>
      </c>
      <c r="D55" s="9" t="s">
        <v>89</v>
      </c>
      <c r="E55" s="1">
        <f>L52</f>
        <v>51368</v>
      </c>
      <c r="F55" s="1">
        <v>0</v>
      </c>
      <c r="G55" s="1">
        <f>E55-F55</f>
        <v>51368</v>
      </c>
      <c r="H55" s="1">
        <v>0</v>
      </c>
      <c r="I55" s="1">
        <f>G55+H55</f>
        <v>51368</v>
      </c>
      <c r="J55" s="1">
        <v>0</v>
      </c>
      <c r="K55" s="1">
        <v>0</v>
      </c>
      <c r="L55" s="1">
        <v>0</v>
      </c>
      <c r="M55" s="1"/>
      <c r="N55" s="10">
        <f>ROUND(I55-SUM(J55:L55),0)</f>
        <v>51368</v>
      </c>
      <c r="O55" s="6"/>
      <c r="P55" s="1" t="s">
        <v>97</v>
      </c>
      <c r="Q55" s="1">
        <v>51368</v>
      </c>
      <c r="R55" s="1"/>
      <c r="S55" s="1"/>
      <c r="T55" s="1"/>
      <c r="U55" s="1">
        <v>51368</v>
      </c>
      <c r="V55" s="39" t="s">
        <v>98</v>
      </c>
    </row>
    <row r="56" spans="1:22" ht="26.4" x14ac:dyDescent="0.3">
      <c r="A56" s="37">
        <v>51230</v>
      </c>
      <c r="B56" s="7" t="s">
        <v>90</v>
      </c>
      <c r="C56" s="8">
        <v>44823</v>
      </c>
      <c r="D56" s="9" t="s">
        <v>89</v>
      </c>
      <c r="E56" s="1">
        <f>L53</f>
        <v>16970</v>
      </c>
      <c r="F56" s="1">
        <v>0</v>
      </c>
      <c r="G56" s="1">
        <f>E56-F56</f>
        <v>16970</v>
      </c>
      <c r="H56" s="1">
        <v>0</v>
      </c>
      <c r="I56" s="1">
        <f>G56+H56</f>
        <v>16970</v>
      </c>
      <c r="J56" s="1">
        <v>0</v>
      </c>
      <c r="K56" s="1">
        <v>0</v>
      </c>
      <c r="L56" s="1">
        <v>0</v>
      </c>
      <c r="M56" s="1"/>
      <c r="N56" s="10">
        <f>ROUND(I56-SUM(J56:L56),0)</f>
        <v>16970</v>
      </c>
      <c r="O56" s="6"/>
      <c r="P56" s="1" t="s">
        <v>99</v>
      </c>
      <c r="Q56" s="1">
        <v>38090</v>
      </c>
      <c r="R56" s="1">
        <v>0</v>
      </c>
      <c r="S56" s="1">
        <v>0</v>
      </c>
      <c r="T56" s="1"/>
      <c r="U56" s="1">
        <v>38090</v>
      </c>
      <c r="V56" s="38" t="s">
        <v>100</v>
      </c>
    </row>
    <row r="57" spans="1:22" ht="14.4" x14ac:dyDescent="0.3">
      <c r="A57" s="37">
        <v>51230</v>
      </c>
      <c r="B57" s="7"/>
      <c r="C57" s="8"/>
      <c r="D57" s="9"/>
      <c r="E57" s="1"/>
      <c r="F57" s="1"/>
      <c r="G57" s="1"/>
      <c r="H57" s="1"/>
      <c r="I57" s="1"/>
      <c r="J57" s="1"/>
      <c r="K57" s="1"/>
      <c r="L57" s="1"/>
      <c r="M57" s="1"/>
      <c r="N57" s="10"/>
      <c r="O57" s="6"/>
      <c r="P57" s="1" t="s">
        <v>101</v>
      </c>
      <c r="Q57" s="1">
        <v>16970</v>
      </c>
      <c r="R57" s="1"/>
      <c r="S57" s="1"/>
      <c r="T57" s="1"/>
      <c r="U57" s="1">
        <v>16970</v>
      </c>
      <c r="V57" s="38" t="s">
        <v>102</v>
      </c>
    </row>
    <row r="58" spans="1:22" ht="14.4" x14ac:dyDescent="0.3">
      <c r="B58" s="7"/>
      <c r="C58" s="8"/>
      <c r="D58" s="9"/>
      <c r="E58" s="1"/>
      <c r="F58" s="1"/>
      <c r="G58" s="1"/>
      <c r="H58" s="1"/>
      <c r="I58" s="1"/>
      <c r="J58" s="1"/>
      <c r="K58" s="1"/>
      <c r="L58" s="1"/>
      <c r="M58" s="1"/>
      <c r="N58" s="10"/>
      <c r="O58" s="6"/>
      <c r="P58" s="1"/>
      <c r="Q58" s="1"/>
      <c r="R58" s="1"/>
      <c r="S58" s="1"/>
      <c r="T58" s="1"/>
      <c r="U58" s="1"/>
      <c r="V58" s="38"/>
    </row>
    <row r="59" spans="1:22" ht="14.4" x14ac:dyDescent="0.3">
      <c r="B59" s="7"/>
      <c r="C59" s="8"/>
      <c r="D59" s="9"/>
      <c r="E59" s="1"/>
      <c r="F59" s="1"/>
      <c r="G59" s="1"/>
      <c r="H59" s="1"/>
      <c r="I59" s="1"/>
      <c r="J59" s="1"/>
      <c r="K59" s="1"/>
      <c r="L59" s="1"/>
      <c r="M59" s="1"/>
      <c r="N59" s="10"/>
      <c r="O59" s="6"/>
      <c r="P59" s="1"/>
      <c r="Q59" s="1"/>
      <c r="R59" s="1"/>
      <c r="S59" s="1"/>
      <c r="T59" s="1"/>
      <c r="U59" s="1"/>
      <c r="V59" s="38"/>
    </row>
    <row r="60" spans="1:22" ht="14.4" x14ac:dyDescent="0.3">
      <c r="A60" s="37">
        <v>51231</v>
      </c>
      <c r="H60" s="11"/>
      <c r="I60" s="11"/>
      <c r="O60" s="5">
        <v>51231</v>
      </c>
      <c r="P60" s="1"/>
      <c r="Q60" s="1"/>
      <c r="R60" s="1"/>
      <c r="S60" s="1"/>
      <c r="T60" s="1"/>
      <c r="U60" s="1"/>
      <c r="V60" s="38"/>
    </row>
    <row r="61" spans="1:22" ht="14.4" x14ac:dyDescent="0.3">
      <c r="A61" s="37">
        <v>51231</v>
      </c>
      <c r="B61" s="7" t="s">
        <v>103</v>
      </c>
      <c r="C61" s="8">
        <v>44723</v>
      </c>
      <c r="D61" s="9">
        <v>33</v>
      </c>
      <c r="E61" s="1">
        <v>291780</v>
      </c>
      <c r="F61" s="1">
        <v>0</v>
      </c>
      <c r="G61" s="1">
        <f t="shared" ref="G61:G64" si="8">E61-F61</f>
        <v>291780</v>
      </c>
      <c r="H61" s="1">
        <f>ROUND(G61*18%,0)</f>
        <v>52520</v>
      </c>
      <c r="I61" s="1">
        <f t="shared" ref="I61:I64" si="9">G61+H61</f>
        <v>344300</v>
      </c>
      <c r="J61" s="1">
        <f>G61*J6</f>
        <v>5835.6</v>
      </c>
      <c r="K61" s="1">
        <f>G61*5%</f>
        <v>14589</v>
      </c>
      <c r="L61" s="1">
        <f>H61</f>
        <v>52520</v>
      </c>
      <c r="M61" s="1"/>
      <c r="N61" s="10">
        <f t="shared" ref="N61" si="10">ROUND(I61-SUM(J61:L61),0)</f>
        <v>271355</v>
      </c>
      <c r="O61" s="6"/>
      <c r="P61" s="1" t="s">
        <v>107</v>
      </c>
      <c r="Q61" s="1">
        <v>200000</v>
      </c>
      <c r="R61" s="1">
        <f>$R$6*Q61</f>
        <v>4000</v>
      </c>
      <c r="S61" s="1">
        <v>0</v>
      </c>
      <c r="T61" s="1">
        <v>0</v>
      </c>
      <c r="U61" s="1">
        <f t="shared" ref="U61" si="11">ROUND(Q61-R61-S61-T61,0)</f>
        <v>196000</v>
      </c>
      <c r="V61" s="38" t="s">
        <v>108</v>
      </c>
    </row>
    <row r="62" spans="1:22" ht="14.4" x14ac:dyDescent="0.3">
      <c r="A62" s="37">
        <v>51231</v>
      </c>
      <c r="B62" s="7" t="s">
        <v>103</v>
      </c>
      <c r="C62" s="8">
        <v>44749</v>
      </c>
      <c r="D62" s="9">
        <v>50</v>
      </c>
      <c r="E62" s="1">
        <v>94275</v>
      </c>
      <c r="F62" s="1">
        <v>0</v>
      </c>
      <c r="G62" s="1">
        <f t="shared" si="8"/>
        <v>94275</v>
      </c>
      <c r="H62" s="1">
        <f>ROUND(G62*18%,0)</f>
        <v>16970</v>
      </c>
      <c r="I62" s="1">
        <f t="shared" si="9"/>
        <v>111245</v>
      </c>
      <c r="J62" s="1">
        <f>G62*J6</f>
        <v>1885.5</v>
      </c>
      <c r="K62" s="1">
        <f>G62*5%</f>
        <v>4713.75</v>
      </c>
      <c r="L62" s="1">
        <f>H62</f>
        <v>16970</v>
      </c>
      <c r="M62" s="1"/>
      <c r="N62" s="10">
        <f>ROUND(I62-SUM(J62:L62),0)-1</f>
        <v>87675</v>
      </c>
      <c r="O62" s="6"/>
      <c r="P62" s="1" t="s">
        <v>109</v>
      </c>
      <c r="Q62" s="1">
        <v>0</v>
      </c>
      <c r="R62" s="1">
        <v>0</v>
      </c>
      <c r="S62" s="1">
        <f>Q62*S57</f>
        <v>0</v>
      </c>
      <c r="T62" s="1">
        <v>0</v>
      </c>
      <c r="U62" s="1">
        <v>75355</v>
      </c>
      <c r="V62" s="38" t="s">
        <v>110</v>
      </c>
    </row>
    <row r="63" spans="1:22" ht="26.4" x14ac:dyDescent="0.3">
      <c r="A63" s="37">
        <v>51231</v>
      </c>
      <c r="B63" s="7" t="s">
        <v>104</v>
      </c>
      <c r="C63" s="8">
        <v>44765</v>
      </c>
      <c r="D63" s="7" t="s">
        <v>105</v>
      </c>
      <c r="E63" s="1">
        <f>L61</f>
        <v>52520</v>
      </c>
      <c r="F63" s="1">
        <v>0</v>
      </c>
      <c r="G63" s="1">
        <f t="shared" si="8"/>
        <v>52520</v>
      </c>
      <c r="H63" s="1">
        <v>0</v>
      </c>
      <c r="I63" s="1">
        <f t="shared" si="9"/>
        <v>52520</v>
      </c>
      <c r="J63" s="1">
        <v>0</v>
      </c>
      <c r="K63" s="1">
        <v>0</v>
      </c>
      <c r="L63" s="1">
        <v>0</v>
      </c>
      <c r="M63" s="1"/>
      <c r="N63" s="10">
        <f>I63-SUM(J63:L63)</f>
        <v>52520</v>
      </c>
      <c r="O63" s="6"/>
      <c r="P63" s="1" t="s">
        <v>111</v>
      </c>
      <c r="Q63" s="1">
        <f>I63</f>
        <v>52520</v>
      </c>
      <c r="R63" s="1">
        <v>0</v>
      </c>
      <c r="S63" s="1">
        <v>0</v>
      </c>
      <c r="T63" s="1">
        <v>0</v>
      </c>
      <c r="U63" s="1">
        <v>52520</v>
      </c>
      <c r="V63" s="38" t="s">
        <v>112</v>
      </c>
    </row>
    <row r="64" spans="1:22" ht="26.4" x14ac:dyDescent="0.3">
      <c r="A64" s="37">
        <v>51231</v>
      </c>
      <c r="B64" s="7" t="s">
        <v>104</v>
      </c>
      <c r="C64" s="8">
        <v>44794</v>
      </c>
      <c r="D64" s="7" t="s">
        <v>106</v>
      </c>
      <c r="E64" s="1">
        <f>L62</f>
        <v>16970</v>
      </c>
      <c r="F64" s="1">
        <v>0</v>
      </c>
      <c r="G64" s="1">
        <f t="shared" si="8"/>
        <v>16970</v>
      </c>
      <c r="H64" s="1">
        <v>0</v>
      </c>
      <c r="I64" s="1">
        <f t="shared" si="9"/>
        <v>16970</v>
      </c>
      <c r="J64" s="1">
        <v>0</v>
      </c>
      <c r="K64" s="1"/>
      <c r="L64" s="1"/>
      <c r="M64" s="1"/>
      <c r="N64" s="10">
        <f>ROUND(I64-SUM(J64:L64),0)</f>
        <v>16970</v>
      </c>
      <c r="O64" s="6"/>
      <c r="P64" s="1" t="s">
        <v>113</v>
      </c>
      <c r="Q64" s="1">
        <v>94275</v>
      </c>
      <c r="R64" s="1">
        <f>$R$6*Q64</f>
        <v>1885.5</v>
      </c>
      <c r="S64" s="1">
        <f>Q64*S57</f>
        <v>0</v>
      </c>
      <c r="T64" s="1">
        <v>0</v>
      </c>
      <c r="U64" s="1">
        <v>87675</v>
      </c>
      <c r="V64" s="38" t="s">
        <v>114</v>
      </c>
    </row>
    <row r="65" spans="1:22" ht="14.4" x14ac:dyDescent="0.3">
      <c r="A65" s="37">
        <v>51231</v>
      </c>
      <c r="B65" s="7"/>
      <c r="C65" s="8"/>
      <c r="D65" s="9"/>
      <c r="E65" s="1"/>
      <c r="F65" s="1"/>
      <c r="G65" s="1"/>
      <c r="H65" s="1"/>
      <c r="I65" s="1"/>
      <c r="J65" s="1"/>
      <c r="K65" s="1"/>
      <c r="L65" s="1"/>
      <c r="M65" s="1"/>
      <c r="N65" s="10"/>
      <c r="O65" s="6"/>
      <c r="P65" s="1" t="s">
        <v>115</v>
      </c>
      <c r="Q65" s="1">
        <v>16970</v>
      </c>
      <c r="R65" s="1"/>
      <c r="S65" s="1"/>
      <c r="T65" s="1"/>
      <c r="U65" s="1">
        <v>16970</v>
      </c>
      <c r="V65" s="38" t="s">
        <v>116</v>
      </c>
    </row>
    <row r="66" spans="1:22" ht="14.4" x14ac:dyDescent="0.3">
      <c r="B66" s="7"/>
      <c r="C66" s="8"/>
      <c r="D66" s="9"/>
      <c r="E66" s="1"/>
      <c r="F66" s="1"/>
      <c r="G66" s="1"/>
      <c r="H66" s="1"/>
      <c r="I66" s="1"/>
      <c r="J66" s="1"/>
      <c r="K66" s="1"/>
      <c r="L66" s="1"/>
      <c r="M66" s="1"/>
      <c r="N66" s="10"/>
      <c r="O66" s="6"/>
      <c r="P66" s="1"/>
      <c r="Q66" s="1"/>
      <c r="R66" s="1"/>
      <c r="S66" s="1"/>
      <c r="T66" s="1"/>
      <c r="U66" s="1"/>
      <c r="V66" s="38"/>
    </row>
    <row r="67" spans="1:22" ht="14.4" x14ac:dyDescent="0.3">
      <c r="A67" s="37">
        <v>51232</v>
      </c>
      <c r="B67" s="7"/>
      <c r="C67" s="8"/>
      <c r="D67" s="9"/>
      <c r="E67" s="1"/>
      <c r="F67" s="1"/>
      <c r="G67" s="1"/>
      <c r="H67" s="1"/>
      <c r="I67" s="1"/>
      <c r="J67" s="1"/>
      <c r="K67" s="1"/>
      <c r="L67" s="1"/>
      <c r="M67" s="1"/>
      <c r="N67" s="10"/>
      <c r="O67" s="5">
        <v>51232</v>
      </c>
      <c r="P67" s="1"/>
      <c r="Q67" s="1"/>
      <c r="R67" s="1"/>
      <c r="S67" s="1"/>
      <c r="T67" s="1"/>
      <c r="U67" s="1"/>
      <c r="V67" s="38"/>
    </row>
    <row r="68" spans="1:22" ht="14.4" x14ac:dyDescent="0.3">
      <c r="A68" s="37">
        <v>51232</v>
      </c>
      <c r="B68" s="7" t="s">
        <v>117</v>
      </c>
      <c r="C68" s="8">
        <v>44730</v>
      </c>
      <c r="D68" s="9">
        <v>38</v>
      </c>
      <c r="E68" s="1">
        <v>385305</v>
      </c>
      <c r="F68" s="1">
        <v>0</v>
      </c>
      <c r="G68" s="1">
        <f t="shared" ref="G68:G69" si="12">E68-F68</f>
        <v>385305</v>
      </c>
      <c r="H68" s="1">
        <f>ROUND(G68*18%,0)-1</f>
        <v>69354</v>
      </c>
      <c r="I68" s="1">
        <f t="shared" ref="I68:I69" si="13">G68+H68</f>
        <v>454659</v>
      </c>
      <c r="J68" s="1">
        <f>ROUND(G68*$J$6,)</f>
        <v>7706</v>
      </c>
      <c r="K68" s="1">
        <f>G68*5%</f>
        <v>19265.25</v>
      </c>
      <c r="L68" s="1">
        <f>H68</f>
        <v>69354</v>
      </c>
      <c r="M68" s="1"/>
      <c r="N68" s="10">
        <f>ROUND(I68-SUM(J68:L68),0)</f>
        <v>358334</v>
      </c>
      <c r="O68" s="6"/>
      <c r="P68" s="1" t="s">
        <v>118</v>
      </c>
      <c r="Q68" s="1">
        <v>100000</v>
      </c>
      <c r="R68" s="1">
        <f>$R$6*Q68</f>
        <v>2000</v>
      </c>
      <c r="S68" s="1">
        <v>0</v>
      </c>
      <c r="T68" s="1">
        <v>0</v>
      </c>
      <c r="U68" s="1">
        <f>ROUND(Q68-R68-S68-T68,0)</f>
        <v>98000</v>
      </c>
      <c r="V68" s="38" t="s">
        <v>119</v>
      </c>
    </row>
    <row r="69" spans="1:22" ht="14.4" x14ac:dyDescent="0.3">
      <c r="A69" s="37">
        <v>51232</v>
      </c>
      <c r="B69" s="7" t="s">
        <v>117</v>
      </c>
      <c r="C69" s="8">
        <v>44765</v>
      </c>
      <c r="D69" s="9">
        <v>2</v>
      </c>
      <c r="E69" s="1">
        <v>69355</v>
      </c>
      <c r="F69" s="1">
        <v>0</v>
      </c>
      <c r="G69" s="1">
        <f t="shared" si="12"/>
        <v>69355</v>
      </c>
      <c r="H69" s="1">
        <v>0</v>
      </c>
      <c r="I69" s="1">
        <f t="shared" si="13"/>
        <v>69355</v>
      </c>
      <c r="J69" s="1">
        <v>0</v>
      </c>
      <c r="K69" s="1">
        <v>0</v>
      </c>
      <c r="L69" s="1">
        <v>0</v>
      </c>
      <c r="M69" s="1"/>
      <c r="N69" s="10">
        <f>I69-SUM(J69:L69)</f>
        <v>69355</v>
      </c>
      <c r="O69" s="6"/>
      <c r="P69" s="1" t="s">
        <v>120</v>
      </c>
      <c r="Q69" s="1">
        <v>100000</v>
      </c>
      <c r="R69" s="1">
        <f>$R$6*Q69</f>
        <v>2000</v>
      </c>
      <c r="S69" s="1">
        <v>0</v>
      </c>
      <c r="T69" s="1">
        <v>0</v>
      </c>
      <c r="U69" s="1">
        <f>ROUND(Q69-R69-S69-T69,0)</f>
        <v>98000</v>
      </c>
      <c r="V69" s="38" t="s">
        <v>121</v>
      </c>
    </row>
    <row r="70" spans="1:22" ht="14.4" x14ac:dyDescent="0.3">
      <c r="A70" s="37">
        <v>51232</v>
      </c>
      <c r="B70" s="7"/>
      <c r="C70" s="8"/>
      <c r="D70" s="9"/>
      <c r="E70" s="1"/>
      <c r="F70" s="1"/>
      <c r="G70" s="1"/>
      <c r="H70" s="1"/>
      <c r="I70" s="1"/>
      <c r="J70" s="1"/>
      <c r="K70" s="1"/>
      <c r="L70" s="1"/>
      <c r="M70" s="1"/>
      <c r="N70" s="10"/>
      <c r="O70" s="6"/>
      <c r="P70" s="1" t="s">
        <v>122</v>
      </c>
      <c r="Q70" s="1">
        <v>385305</v>
      </c>
      <c r="R70" s="1">
        <v>0</v>
      </c>
      <c r="S70" s="1">
        <f>Q70*S65</f>
        <v>0</v>
      </c>
      <c r="T70" s="1">
        <v>0</v>
      </c>
      <c r="U70" s="1">
        <v>162334</v>
      </c>
      <c r="V70" s="38" t="s">
        <v>123</v>
      </c>
    </row>
    <row r="71" spans="1:22" ht="14.4" x14ac:dyDescent="0.3">
      <c r="A71" s="37">
        <v>51232</v>
      </c>
      <c r="B71" s="7"/>
      <c r="C71" s="8"/>
      <c r="D71" s="7"/>
      <c r="E71" s="1"/>
      <c r="F71" s="1"/>
      <c r="G71" s="1"/>
      <c r="H71" s="1"/>
      <c r="I71" s="1"/>
      <c r="J71" s="1"/>
      <c r="K71" s="1"/>
      <c r="L71" s="1"/>
      <c r="M71" s="1"/>
      <c r="N71" s="10"/>
      <c r="O71" s="6"/>
      <c r="P71" s="1" t="s">
        <v>124</v>
      </c>
      <c r="Q71" s="1">
        <v>69355</v>
      </c>
      <c r="R71" s="1">
        <v>0</v>
      </c>
      <c r="S71" s="1"/>
      <c r="T71" s="1">
        <v>0</v>
      </c>
      <c r="U71" s="1">
        <f>Q71-R71-S71-T71</f>
        <v>69355</v>
      </c>
      <c r="V71" s="38" t="s">
        <v>125</v>
      </c>
    </row>
    <row r="72" spans="1:22" ht="14.4" x14ac:dyDescent="0.3">
      <c r="B72" s="7"/>
      <c r="C72" s="8"/>
      <c r="D72" s="7"/>
      <c r="E72" s="1"/>
      <c r="F72" s="1"/>
      <c r="G72" s="1"/>
      <c r="H72" s="1"/>
      <c r="I72" s="1"/>
      <c r="J72" s="1"/>
      <c r="K72" s="1"/>
      <c r="L72" s="1"/>
      <c r="M72" s="1"/>
      <c r="N72" s="10"/>
      <c r="O72" s="6"/>
      <c r="P72" s="1"/>
      <c r="Q72" s="1"/>
      <c r="R72" s="1"/>
      <c r="S72" s="1"/>
      <c r="T72" s="1"/>
      <c r="U72" s="1"/>
      <c r="V72" s="38"/>
    </row>
    <row r="73" spans="1:22" ht="14.4" x14ac:dyDescent="0.3">
      <c r="A73" s="37">
        <v>51233</v>
      </c>
      <c r="B73" s="7"/>
      <c r="C73" s="8"/>
      <c r="D73" s="7"/>
      <c r="E73" s="1"/>
      <c r="F73" s="1"/>
      <c r="G73" s="1"/>
      <c r="H73" s="1"/>
      <c r="I73" s="1"/>
      <c r="J73" s="1"/>
      <c r="K73" s="1"/>
      <c r="L73" s="1"/>
      <c r="M73" s="1"/>
      <c r="N73" s="10"/>
      <c r="O73" s="5">
        <v>51233</v>
      </c>
      <c r="P73" s="1"/>
      <c r="Q73" s="1"/>
      <c r="R73" s="1"/>
      <c r="S73" s="1"/>
      <c r="T73" s="1"/>
      <c r="U73" s="1"/>
      <c r="V73" s="38"/>
    </row>
    <row r="74" spans="1:22" ht="14.4" x14ac:dyDescent="0.3">
      <c r="A74" s="37">
        <v>51233</v>
      </c>
      <c r="B74" s="7" t="s">
        <v>126</v>
      </c>
      <c r="C74" s="8">
        <v>44723</v>
      </c>
      <c r="D74" s="9">
        <v>32</v>
      </c>
      <c r="E74" s="1">
        <v>291780</v>
      </c>
      <c r="F74" s="1">
        <v>0</v>
      </c>
      <c r="G74" s="1">
        <f t="shared" ref="G74:G78" si="14">E74-F74</f>
        <v>291780</v>
      </c>
      <c r="H74" s="1">
        <f>ROUND(G74*18%,0)</f>
        <v>52520</v>
      </c>
      <c r="I74" s="1">
        <f t="shared" ref="I74:I78" si="15">G74+H74</f>
        <v>344300</v>
      </c>
      <c r="J74" s="1">
        <f>ROUND(G74*$J$6,)</f>
        <v>5836</v>
      </c>
      <c r="K74" s="1">
        <f>G74*5%</f>
        <v>14589</v>
      </c>
      <c r="L74" s="1">
        <f>H74</f>
        <v>52520</v>
      </c>
      <c r="M74" s="1"/>
      <c r="N74" s="10">
        <f>ROUND(I74-SUM(J74:L74),0)</f>
        <v>271355</v>
      </c>
      <c r="O74" s="6"/>
      <c r="P74" s="1" t="s">
        <v>130</v>
      </c>
      <c r="Q74" s="1">
        <v>150000</v>
      </c>
      <c r="R74" s="1">
        <f>$R$6*Q74</f>
        <v>3000</v>
      </c>
      <c r="S74" s="1">
        <v>0</v>
      </c>
      <c r="T74" s="1">
        <v>0</v>
      </c>
      <c r="U74" s="1">
        <f t="shared" ref="U74" si="16">Q74-R74</f>
        <v>147000</v>
      </c>
      <c r="V74" s="38" t="s">
        <v>131</v>
      </c>
    </row>
    <row r="75" spans="1:22" ht="14.4" x14ac:dyDescent="0.3">
      <c r="A75" s="37">
        <v>51233</v>
      </c>
      <c r="B75" s="7" t="s">
        <v>126</v>
      </c>
      <c r="C75" s="8">
        <v>44749</v>
      </c>
      <c r="D75" s="9">
        <v>49</v>
      </c>
      <c r="E75" s="1">
        <v>94275</v>
      </c>
      <c r="F75" s="1">
        <v>0</v>
      </c>
      <c r="G75" s="1">
        <f t="shared" si="14"/>
        <v>94275</v>
      </c>
      <c r="H75" s="1">
        <f>ROUND(G75*18%,0)</f>
        <v>16970</v>
      </c>
      <c r="I75" s="1">
        <f t="shared" si="15"/>
        <v>111245</v>
      </c>
      <c r="J75" s="1">
        <f>ROUND(G75*$J$6,)</f>
        <v>1886</v>
      </c>
      <c r="K75" s="1">
        <f>G75*5%</f>
        <v>4713.75</v>
      </c>
      <c r="L75" s="1">
        <f>H75</f>
        <v>16970</v>
      </c>
      <c r="M75" s="1"/>
      <c r="N75" s="10">
        <f>ROUND(I75-SUM(J75:L75),0)-1</f>
        <v>87674</v>
      </c>
      <c r="O75" s="6"/>
      <c r="P75" s="1" t="s">
        <v>132</v>
      </c>
      <c r="Q75" s="1">
        <v>124355</v>
      </c>
      <c r="R75" s="1">
        <v>0</v>
      </c>
      <c r="S75" s="1">
        <v>0</v>
      </c>
      <c r="T75" s="1">
        <v>0</v>
      </c>
      <c r="U75" s="1">
        <f>Q75-R75-S75-T75</f>
        <v>124355</v>
      </c>
      <c r="V75" s="38" t="s">
        <v>133</v>
      </c>
    </row>
    <row r="76" spans="1:22" ht="26.4" x14ac:dyDescent="0.3">
      <c r="A76" s="37">
        <v>51233</v>
      </c>
      <c r="B76" s="7" t="s">
        <v>127</v>
      </c>
      <c r="C76" s="8">
        <v>44765</v>
      </c>
      <c r="D76" s="9">
        <v>4</v>
      </c>
      <c r="E76" s="1">
        <f>L74</f>
        <v>52520</v>
      </c>
      <c r="F76" s="1">
        <v>0</v>
      </c>
      <c r="G76" s="1">
        <f t="shared" si="14"/>
        <v>52520</v>
      </c>
      <c r="H76" s="1">
        <v>0</v>
      </c>
      <c r="I76" s="1">
        <f t="shared" si="15"/>
        <v>52520</v>
      </c>
      <c r="J76" s="1">
        <v>0</v>
      </c>
      <c r="K76" s="1">
        <v>0</v>
      </c>
      <c r="L76" s="1">
        <v>0</v>
      </c>
      <c r="M76" s="1"/>
      <c r="N76" s="10">
        <f>I76-SUM(J76:L76)</f>
        <v>52520</v>
      </c>
      <c r="O76" s="6"/>
      <c r="P76" s="1" t="s">
        <v>134</v>
      </c>
      <c r="Q76" s="1">
        <v>50000</v>
      </c>
      <c r="R76" s="1">
        <v>0</v>
      </c>
      <c r="S76" s="1"/>
      <c r="T76" s="1"/>
      <c r="U76" s="1">
        <f>Q76-R76-S76-T76</f>
        <v>50000</v>
      </c>
      <c r="V76" s="38" t="s">
        <v>344</v>
      </c>
    </row>
    <row r="77" spans="1:22" ht="66" x14ac:dyDescent="0.3">
      <c r="A77" s="37">
        <v>51233</v>
      </c>
      <c r="B77" s="7" t="s">
        <v>128</v>
      </c>
      <c r="C77" s="8">
        <v>44790</v>
      </c>
      <c r="D77" s="7">
        <v>5</v>
      </c>
      <c r="E77" s="1">
        <f>-7*150</f>
        <v>-1050</v>
      </c>
      <c r="F77" s="1">
        <v>0</v>
      </c>
      <c r="G77" s="1">
        <f t="shared" si="14"/>
        <v>-1050</v>
      </c>
      <c r="H77" s="1">
        <f>ROUND(G77*18%,0)-1</f>
        <v>-190</v>
      </c>
      <c r="I77" s="1">
        <f t="shared" si="15"/>
        <v>-1240</v>
      </c>
      <c r="J77" s="1">
        <v>0</v>
      </c>
      <c r="K77" s="1">
        <v>0</v>
      </c>
      <c r="L77" s="1">
        <v>0</v>
      </c>
      <c r="M77" s="1"/>
      <c r="N77" s="10">
        <f t="shared" ref="N77:N78" si="17">ROUND(I77-SUM(J77:L77),0)</f>
        <v>-1240</v>
      </c>
      <c r="O77" s="6"/>
      <c r="P77" s="1" t="s">
        <v>135</v>
      </c>
      <c r="Q77" s="1">
        <v>87675</v>
      </c>
      <c r="R77" s="1">
        <f>Q77*R71</f>
        <v>0</v>
      </c>
      <c r="S77" s="1">
        <f>Q77*S71</f>
        <v>0</v>
      </c>
      <c r="T77" s="1">
        <v>0</v>
      </c>
      <c r="U77" s="1">
        <v>37675</v>
      </c>
      <c r="V77" s="39" t="s">
        <v>136</v>
      </c>
    </row>
    <row r="78" spans="1:22" ht="36" customHeight="1" x14ac:dyDescent="0.3">
      <c r="A78" s="37">
        <v>51233</v>
      </c>
      <c r="B78" s="7" t="s">
        <v>127</v>
      </c>
      <c r="C78" s="8">
        <v>44794</v>
      </c>
      <c r="D78" s="9" t="s">
        <v>129</v>
      </c>
      <c r="E78" s="1">
        <f>L75</f>
        <v>16970</v>
      </c>
      <c r="F78" s="1">
        <v>0</v>
      </c>
      <c r="G78" s="1">
        <f t="shared" si="14"/>
        <v>16970</v>
      </c>
      <c r="H78" s="1">
        <v>0</v>
      </c>
      <c r="I78" s="1">
        <f t="shared" si="15"/>
        <v>16970</v>
      </c>
      <c r="J78" s="1"/>
      <c r="K78" s="1"/>
      <c r="L78" s="1"/>
      <c r="M78" s="1"/>
      <c r="N78" s="10">
        <f t="shared" si="17"/>
        <v>16970</v>
      </c>
      <c r="O78" s="6"/>
      <c r="P78" s="19" t="s">
        <v>137</v>
      </c>
      <c r="Q78" s="1">
        <v>52520</v>
      </c>
      <c r="R78" s="1">
        <v>0</v>
      </c>
      <c r="S78" s="1"/>
      <c r="T78" s="1">
        <v>0</v>
      </c>
      <c r="U78" s="1">
        <f>Q78-R78-S78-T78</f>
        <v>52520</v>
      </c>
      <c r="V78" s="38" t="s">
        <v>138</v>
      </c>
    </row>
    <row r="79" spans="1:22" ht="14.4" x14ac:dyDescent="0.3">
      <c r="B79" s="7"/>
      <c r="C79" s="8"/>
      <c r="D79" s="9"/>
      <c r="E79" s="1"/>
      <c r="F79" s="1"/>
      <c r="G79" s="1"/>
      <c r="H79" s="1"/>
      <c r="I79" s="1"/>
      <c r="J79" s="1"/>
      <c r="K79" s="1"/>
      <c r="L79" s="1"/>
      <c r="M79" s="1"/>
      <c r="N79" s="10"/>
      <c r="O79" s="6"/>
      <c r="P79" s="19" t="s">
        <v>139</v>
      </c>
      <c r="Q79" s="1">
        <v>16969</v>
      </c>
      <c r="R79" s="1"/>
      <c r="S79" s="1"/>
      <c r="T79" s="1"/>
      <c r="U79" s="1">
        <v>16969</v>
      </c>
      <c r="V79" s="38" t="s">
        <v>140</v>
      </c>
    </row>
    <row r="80" spans="1:22" ht="14.4" x14ac:dyDescent="0.3">
      <c r="B80" s="7"/>
      <c r="C80" s="8"/>
      <c r="D80" s="9"/>
      <c r="E80" s="1"/>
      <c r="F80" s="1"/>
      <c r="G80" s="1"/>
      <c r="H80" s="1"/>
      <c r="I80" s="1"/>
      <c r="J80" s="1"/>
      <c r="K80" s="1"/>
      <c r="L80" s="1"/>
      <c r="M80" s="1"/>
      <c r="N80" s="10"/>
      <c r="O80" s="6"/>
      <c r="P80" s="19"/>
      <c r="Q80" s="1"/>
      <c r="R80" s="1"/>
      <c r="S80" s="1"/>
      <c r="T80" s="1"/>
      <c r="U80" s="1">
        <v>-1240</v>
      </c>
      <c r="V80" s="38"/>
    </row>
    <row r="81" spans="1:22" ht="14.4" x14ac:dyDescent="0.3">
      <c r="B81" s="7"/>
      <c r="C81" s="8"/>
      <c r="D81" s="9"/>
      <c r="E81" s="1"/>
      <c r="F81" s="1"/>
      <c r="G81" s="1"/>
      <c r="H81" s="1"/>
      <c r="I81" s="1"/>
      <c r="J81" s="1"/>
      <c r="K81" s="1"/>
      <c r="L81" s="1"/>
      <c r="M81" s="1"/>
      <c r="N81" s="10"/>
      <c r="O81" s="6"/>
      <c r="P81" s="19"/>
      <c r="Q81" s="1"/>
      <c r="R81" s="1"/>
      <c r="S81" s="1"/>
      <c r="T81" s="1"/>
      <c r="U81" s="1"/>
      <c r="V81" s="38"/>
    </row>
    <row r="82" spans="1:22" ht="14.4" x14ac:dyDescent="0.3">
      <c r="A82" s="37">
        <v>51234</v>
      </c>
      <c r="B82" s="7"/>
      <c r="C82" s="8"/>
      <c r="D82" s="9"/>
      <c r="E82" s="1"/>
      <c r="F82" s="1"/>
      <c r="G82" s="1"/>
      <c r="H82" s="1"/>
      <c r="I82" s="1"/>
      <c r="J82" s="1"/>
      <c r="K82" s="1"/>
      <c r="L82" s="1"/>
      <c r="M82" s="1"/>
      <c r="N82" s="10"/>
      <c r="O82" s="5">
        <v>51234</v>
      </c>
      <c r="P82" s="19"/>
      <c r="Q82" s="1"/>
      <c r="R82" s="1"/>
      <c r="S82" s="1"/>
      <c r="T82" s="1"/>
      <c r="U82" s="1"/>
      <c r="V82" s="38"/>
    </row>
    <row r="83" spans="1:22" ht="14.4" x14ac:dyDescent="0.3">
      <c r="A83" s="37">
        <v>51234</v>
      </c>
      <c r="B83" s="7" t="s">
        <v>141</v>
      </c>
      <c r="C83" s="8">
        <v>44723</v>
      </c>
      <c r="D83" s="9">
        <v>31</v>
      </c>
      <c r="E83" s="1">
        <v>278080</v>
      </c>
      <c r="F83" s="1">
        <v>0</v>
      </c>
      <c r="G83" s="1">
        <f t="shared" ref="G83:G87" si="18">E83-F83</f>
        <v>278080</v>
      </c>
      <c r="H83" s="1">
        <f>ROUND(G83*18%,0)</f>
        <v>50054</v>
      </c>
      <c r="I83" s="1">
        <f t="shared" ref="I83:I87" si="19">G83+H83</f>
        <v>328134</v>
      </c>
      <c r="J83" s="1">
        <f>ROUND(G83*$J$6,)</f>
        <v>5562</v>
      </c>
      <c r="K83" s="1">
        <f>G83*5%</f>
        <v>13904</v>
      </c>
      <c r="L83" s="1">
        <f>H83</f>
        <v>50054</v>
      </c>
      <c r="M83" s="1"/>
      <c r="N83" s="10">
        <f t="shared" ref="N83:N87" si="20">ROUND(I83-SUM(J83:L83),0)</f>
        <v>258614</v>
      </c>
      <c r="O83" s="6"/>
      <c r="P83" s="1" t="s">
        <v>145</v>
      </c>
      <c r="Q83" s="1">
        <v>150000</v>
      </c>
      <c r="R83" s="1">
        <f>$R$6*Q83</f>
        <v>3000</v>
      </c>
      <c r="S83" s="1">
        <v>0</v>
      </c>
      <c r="T83" s="1">
        <v>0</v>
      </c>
      <c r="U83" s="1">
        <f t="shared" ref="U83" si="21">Q83-R83</f>
        <v>147000</v>
      </c>
      <c r="V83" s="38" t="s">
        <v>146</v>
      </c>
    </row>
    <row r="84" spans="1:22" ht="14.4" x14ac:dyDescent="0.3">
      <c r="A84" s="37">
        <v>51234</v>
      </c>
      <c r="B84" s="7" t="s">
        <v>141</v>
      </c>
      <c r="C84" s="8">
        <v>44749</v>
      </c>
      <c r="D84" s="9">
        <v>48</v>
      </c>
      <c r="E84" s="1">
        <v>94275</v>
      </c>
      <c r="F84" s="1">
        <v>0</v>
      </c>
      <c r="G84" s="1">
        <f t="shared" si="18"/>
        <v>94275</v>
      </c>
      <c r="H84" s="1">
        <f>ROUND(G84*18%,0)</f>
        <v>16970</v>
      </c>
      <c r="I84" s="1">
        <f t="shared" si="19"/>
        <v>111245</v>
      </c>
      <c r="J84" s="1">
        <f>ROUND(G84*$J$6,)</f>
        <v>1886</v>
      </c>
      <c r="K84" s="1">
        <f>G84*5%</f>
        <v>4713.75</v>
      </c>
      <c r="L84" s="1">
        <f>H84</f>
        <v>16970</v>
      </c>
      <c r="M84" s="1"/>
      <c r="N84" s="10">
        <f t="shared" si="20"/>
        <v>87675</v>
      </c>
      <c r="O84" s="6"/>
      <c r="P84" s="1" t="s">
        <v>147</v>
      </c>
      <c r="Q84" s="1">
        <v>278080</v>
      </c>
      <c r="R84" s="1">
        <f>$R$6*Q84</f>
        <v>5561.6</v>
      </c>
      <c r="S84" s="1">
        <f>Q84*5%</f>
        <v>13904</v>
      </c>
      <c r="T84" s="1">
        <v>147000</v>
      </c>
      <c r="U84" s="1">
        <f>ROUND(Q84-R84-S84-T84,0)</f>
        <v>111614</v>
      </c>
      <c r="V84" s="38" t="s">
        <v>148</v>
      </c>
    </row>
    <row r="85" spans="1:22" ht="39.6" x14ac:dyDescent="0.3">
      <c r="A85" s="37">
        <v>51234</v>
      </c>
      <c r="B85" s="7" t="s">
        <v>142</v>
      </c>
      <c r="C85" s="8">
        <v>44765</v>
      </c>
      <c r="D85" s="9" t="s">
        <v>43</v>
      </c>
      <c r="E85" s="1">
        <f>L83</f>
        <v>50054</v>
      </c>
      <c r="F85" s="1">
        <v>0</v>
      </c>
      <c r="G85" s="1">
        <f t="shared" si="18"/>
        <v>50054</v>
      </c>
      <c r="H85" s="1">
        <v>0</v>
      </c>
      <c r="I85" s="1">
        <f t="shared" si="19"/>
        <v>50054</v>
      </c>
      <c r="J85" s="1">
        <v>0</v>
      </c>
      <c r="K85" s="1"/>
      <c r="L85" s="1"/>
      <c r="M85" s="1"/>
      <c r="N85" s="10">
        <f t="shared" si="20"/>
        <v>50054</v>
      </c>
      <c r="O85" s="6"/>
      <c r="P85" s="1" t="s">
        <v>149</v>
      </c>
      <c r="Q85" s="1">
        <v>50000</v>
      </c>
      <c r="R85" s="1">
        <v>0</v>
      </c>
      <c r="S85" s="1">
        <v>0</v>
      </c>
      <c r="T85" s="1">
        <v>0</v>
      </c>
      <c r="U85" s="1">
        <f>Q85-R85-S85-T85</f>
        <v>50000</v>
      </c>
      <c r="V85" s="38" t="s">
        <v>345</v>
      </c>
    </row>
    <row r="86" spans="1:22" ht="66" x14ac:dyDescent="0.3">
      <c r="A86" s="37">
        <v>51234</v>
      </c>
      <c r="B86" s="7" t="s">
        <v>143</v>
      </c>
      <c r="C86" s="8">
        <v>44790</v>
      </c>
      <c r="D86" s="9">
        <v>2</v>
      </c>
      <c r="E86" s="1">
        <f>(-12*150)</f>
        <v>-1800</v>
      </c>
      <c r="F86" s="1">
        <v>0</v>
      </c>
      <c r="G86" s="1">
        <f t="shared" si="18"/>
        <v>-1800</v>
      </c>
      <c r="H86" s="1">
        <f>G86*18%</f>
        <v>-324</v>
      </c>
      <c r="I86" s="1">
        <f t="shared" si="19"/>
        <v>-2124</v>
      </c>
      <c r="J86" s="1">
        <v>0</v>
      </c>
      <c r="K86" s="1">
        <v>0</v>
      </c>
      <c r="L86" s="1">
        <v>0</v>
      </c>
      <c r="M86" s="1"/>
      <c r="N86" s="10">
        <f t="shared" si="20"/>
        <v>-2124</v>
      </c>
      <c r="O86" s="6"/>
      <c r="P86" s="19" t="s">
        <v>150</v>
      </c>
      <c r="Q86" s="1">
        <v>50054</v>
      </c>
      <c r="R86" s="1">
        <v>0</v>
      </c>
      <c r="S86" s="1">
        <v>0</v>
      </c>
      <c r="T86" s="1">
        <v>0</v>
      </c>
      <c r="U86" s="1">
        <f>Q86-R86-S86-T86</f>
        <v>50054</v>
      </c>
      <c r="V86" s="39" t="s">
        <v>151</v>
      </c>
    </row>
    <row r="87" spans="1:22" ht="39.6" x14ac:dyDescent="0.3">
      <c r="A87" s="37">
        <v>51234</v>
      </c>
      <c r="B87" s="7" t="s">
        <v>144</v>
      </c>
      <c r="C87" s="8">
        <v>44794</v>
      </c>
      <c r="D87" s="9" t="s">
        <v>43</v>
      </c>
      <c r="E87" s="1">
        <f>L84</f>
        <v>16970</v>
      </c>
      <c r="F87" s="1"/>
      <c r="G87" s="1">
        <f t="shared" si="18"/>
        <v>16970</v>
      </c>
      <c r="H87" s="1">
        <v>0</v>
      </c>
      <c r="I87" s="1">
        <f t="shared" si="19"/>
        <v>16970</v>
      </c>
      <c r="J87" s="1">
        <v>0</v>
      </c>
      <c r="K87" s="1">
        <v>0</v>
      </c>
      <c r="L87" s="1">
        <v>0</v>
      </c>
      <c r="M87" s="1"/>
      <c r="N87" s="10">
        <f t="shared" si="20"/>
        <v>16970</v>
      </c>
      <c r="O87" s="6"/>
      <c r="P87" s="19" t="s">
        <v>152</v>
      </c>
      <c r="Q87" s="1">
        <v>35551</v>
      </c>
      <c r="R87" s="1">
        <v>0</v>
      </c>
      <c r="S87" s="1">
        <v>0</v>
      </c>
      <c r="T87" s="1">
        <v>0</v>
      </c>
      <c r="U87" s="1">
        <f>Q87-R87-S87-T87</f>
        <v>35551</v>
      </c>
      <c r="V87" s="39" t="s">
        <v>153</v>
      </c>
    </row>
    <row r="88" spans="1:22" ht="14.4" x14ac:dyDescent="0.3">
      <c r="A88" s="37">
        <v>51234</v>
      </c>
      <c r="B88" s="7"/>
      <c r="C88" s="8"/>
      <c r="D88" s="9"/>
      <c r="E88" s="1"/>
      <c r="F88" s="1"/>
      <c r="G88" s="1"/>
      <c r="H88" s="1"/>
      <c r="I88" s="1"/>
      <c r="J88" s="1"/>
      <c r="K88" s="1"/>
      <c r="L88" s="1"/>
      <c r="M88" s="1"/>
      <c r="N88" s="10"/>
      <c r="O88" s="6"/>
      <c r="P88" s="1" t="s">
        <v>154</v>
      </c>
      <c r="Q88" s="1">
        <v>16970</v>
      </c>
      <c r="R88" s="1"/>
      <c r="S88" s="1"/>
      <c r="T88" s="1"/>
      <c r="U88" s="1">
        <v>16970</v>
      </c>
      <c r="V88" s="38" t="s">
        <v>155</v>
      </c>
    </row>
    <row r="89" spans="1:22" ht="14.4" x14ac:dyDescent="0.3">
      <c r="B89" s="7"/>
      <c r="C89" s="8"/>
      <c r="D89" s="9"/>
      <c r="E89" s="1"/>
      <c r="F89" s="1"/>
      <c r="G89" s="1"/>
      <c r="H89" s="1"/>
      <c r="I89" s="1"/>
      <c r="J89" s="1"/>
      <c r="K89" s="1"/>
      <c r="L89" s="1"/>
      <c r="M89" s="1"/>
      <c r="N89" s="10"/>
      <c r="O89" s="6"/>
      <c r="P89" s="1"/>
      <c r="Q89" s="1"/>
      <c r="R89" s="1"/>
      <c r="S89" s="1"/>
      <c r="T89" s="1"/>
      <c r="U89" s="1"/>
      <c r="V89" s="38"/>
    </row>
    <row r="90" spans="1:22" ht="14.4" x14ac:dyDescent="0.3">
      <c r="A90" s="37">
        <v>51281</v>
      </c>
      <c r="B90" s="7"/>
      <c r="C90" s="8"/>
      <c r="D90" s="9"/>
      <c r="E90" s="1"/>
      <c r="F90" s="1"/>
      <c r="G90" s="1"/>
      <c r="H90" s="1"/>
      <c r="I90" s="1"/>
      <c r="J90" s="1"/>
      <c r="K90" s="1"/>
      <c r="L90" s="1"/>
      <c r="M90" s="1"/>
      <c r="N90" s="10"/>
      <c r="O90" s="5">
        <v>51281</v>
      </c>
      <c r="P90" s="1"/>
      <c r="Q90" s="1"/>
      <c r="R90" s="1"/>
      <c r="S90" s="1"/>
      <c r="T90" s="1"/>
      <c r="U90" s="1"/>
      <c r="V90" s="38"/>
    </row>
    <row r="91" spans="1:22" ht="15.6" x14ac:dyDescent="0.3">
      <c r="A91" s="37">
        <v>51281</v>
      </c>
      <c r="B91" s="7" t="s">
        <v>156</v>
      </c>
      <c r="C91" s="8">
        <v>44732</v>
      </c>
      <c r="D91" s="9">
        <v>39</v>
      </c>
      <c r="E91" s="1">
        <v>378905</v>
      </c>
      <c r="F91" s="1">
        <v>0</v>
      </c>
      <c r="G91" s="1">
        <f t="shared" ref="G91:G93" si="22">E91-F91</f>
        <v>378905</v>
      </c>
      <c r="H91" s="1">
        <f>ROUND(G91*18%,0)-1</f>
        <v>68202</v>
      </c>
      <c r="I91" s="1">
        <f t="shared" ref="I91:I93" si="23">G91+H91</f>
        <v>447107</v>
      </c>
      <c r="J91" s="4">
        <f>ROUND(G91*$J$6,)</f>
        <v>7578</v>
      </c>
      <c r="K91" s="1">
        <f>G91*5%</f>
        <v>18945.25</v>
      </c>
      <c r="L91" s="1">
        <f>H91</f>
        <v>68202</v>
      </c>
      <c r="M91" s="1"/>
      <c r="N91" s="10">
        <f t="shared" ref="N91" si="24">ROUND(I91-SUM(J91:L91),0)</f>
        <v>352382</v>
      </c>
      <c r="O91" s="6"/>
      <c r="P91" s="1" t="s">
        <v>159</v>
      </c>
      <c r="Q91" s="1">
        <v>150000</v>
      </c>
      <c r="R91" s="1">
        <f>$R$6*Q91</f>
        <v>3000</v>
      </c>
      <c r="S91" s="1">
        <v>0</v>
      </c>
      <c r="T91" s="1">
        <v>0</v>
      </c>
      <c r="U91" s="1">
        <f>ROUND(Q91-R91-S91-T91,0)</f>
        <v>147000</v>
      </c>
      <c r="V91" s="38" t="s">
        <v>160</v>
      </c>
    </row>
    <row r="92" spans="1:22" ht="14.4" x14ac:dyDescent="0.3">
      <c r="A92" s="37">
        <v>51281</v>
      </c>
      <c r="B92" s="7" t="s">
        <v>341</v>
      </c>
      <c r="C92" s="8">
        <v>44765</v>
      </c>
      <c r="D92" s="9">
        <v>1</v>
      </c>
      <c r="E92" s="1">
        <f>L91</f>
        <v>68202</v>
      </c>
      <c r="F92" s="1">
        <v>0</v>
      </c>
      <c r="G92" s="1">
        <f t="shared" si="22"/>
        <v>68202</v>
      </c>
      <c r="H92" s="1">
        <v>0</v>
      </c>
      <c r="I92" s="1">
        <f t="shared" si="23"/>
        <v>68202</v>
      </c>
      <c r="J92" s="1">
        <v>0</v>
      </c>
      <c r="K92" s="1">
        <v>0</v>
      </c>
      <c r="L92" s="1">
        <v>0</v>
      </c>
      <c r="M92" s="1"/>
      <c r="N92" s="10">
        <f>I92-SUM(J92:L92)</f>
        <v>68202</v>
      </c>
      <c r="O92" s="6"/>
      <c r="P92" s="1" t="s">
        <v>161</v>
      </c>
      <c r="Q92" s="1">
        <v>378905</v>
      </c>
      <c r="R92" s="1"/>
      <c r="S92" s="1"/>
      <c r="T92" s="1"/>
      <c r="U92" s="1">
        <v>205382</v>
      </c>
      <c r="V92" s="38" t="s">
        <v>162</v>
      </c>
    </row>
    <row r="93" spans="1:22" ht="79.2" x14ac:dyDescent="0.3">
      <c r="A93" s="37">
        <v>51281</v>
      </c>
      <c r="B93" s="7" t="s">
        <v>157</v>
      </c>
      <c r="C93" s="8">
        <v>44790</v>
      </c>
      <c r="D93" s="7" t="s">
        <v>158</v>
      </c>
      <c r="E93" s="1">
        <f>-(140-133.7)*150</f>
        <v>-945.00000000000171</v>
      </c>
      <c r="F93" s="1">
        <v>0</v>
      </c>
      <c r="G93" s="1">
        <f t="shared" si="22"/>
        <v>-945.00000000000171</v>
      </c>
      <c r="H93" s="1">
        <f>ROUND(G93*18%,0)</f>
        <v>-170</v>
      </c>
      <c r="I93" s="1">
        <f t="shared" si="23"/>
        <v>-1115.0000000000018</v>
      </c>
      <c r="J93" s="1">
        <v>0</v>
      </c>
      <c r="K93" s="1"/>
      <c r="L93" s="1"/>
      <c r="M93" s="1"/>
      <c r="N93" s="10">
        <f>ROUND(I93-SUM(J93:L93),0)</f>
        <v>-1115</v>
      </c>
      <c r="O93" s="6"/>
      <c r="P93" s="19" t="s">
        <v>163</v>
      </c>
      <c r="Q93" s="1">
        <v>68202</v>
      </c>
      <c r="R93" s="1">
        <v>0</v>
      </c>
      <c r="S93" s="1">
        <v>0</v>
      </c>
      <c r="T93" s="1">
        <v>0</v>
      </c>
      <c r="U93" s="1">
        <f>ROUND(Q93-R93-S93-T93,0)</f>
        <v>68202</v>
      </c>
      <c r="V93" s="38" t="s">
        <v>164</v>
      </c>
    </row>
    <row r="94" spans="1:22" ht="14.4" x14ac:dyDescent="0.3">
      <c r="B94" s="7"/>
      <c r="C94" s="8"/>
      <c r="D94" s="7"/>
      <c r="E94" s="1"/>
      <c r="F94" s="1"/>
      <c r="G94" s="1"/>
      <c r="H94" s="1"/>
      <c r="I94" s="1"/>
      <c r="J94" s="1"/>
      <c r="K94" s="1"/>
      <c r="L94" s="1"/>
      <c r="M94" s="1"/>
      <c r="N94" s="10"/>
      <c r="O94" s="6"/>
      <c r="P94" s="19" t="s">
        <v>304</v>
      </c>
      <c r="Q94" s="1"/>
      <c r="R94" s="1"/>
      <c r="S94" s="1"/>
      <c r="T94" s="1"/>
      <c r="U94" s="1">
        <v>-1115</v>
      </c>
      <c r="V94" s="38"/>
    </row>
    <row r="95" spans="1:22" ht="14.4" x14ac:dyDescent="0.3">
      <c r="B95" s="7"/>
      <c r="C95" s="8"/>
      <c r="D95" s="9"/>
      <c r="E95" s="1"/>
      <c r="F95" s="1"/>
      <c r="G95" s="1"/>
      <c r="H95" s="1"/>
      <c r="I95" s="1"/>
      <c r="J95" s="1"/>
      <c r="K95" s="1"/>
      <c r="L95" s="1"/>
      <c r="M95" s="1"/>
      <c r="N95" s="10"/>
      <c r="O95" s="6"/>
      <c r="P95" s="19"/>
      <c r="Q95" s="1"/>
      <c r="R95" s="1"/>
      <c r="S95" s="1"/>
      <c r="T95" s="1"/>
      <c r="U95" s="1"/>
      <c r="V95" s="38"/>
    </row>
    <row r="96" spans="1:22" ht="14.4" x14ac:dyDescent="0.3">
      <c r="A96" s="37">
        <v>51466</v>
      </c>
      <c r="B96" s="7"/>
      <c r="C96" s="8"/>
      <c r="D96" s="9"/>
      <c r="E96" s="1"/>
      <c r="F96" s="1"/>
      <c r="G96" s="1"/>
      <c r="H96" s="1"/>
      <c r="I96" s="1"/>
      <c r="J96" s="1"/>
      <c r="K96" s="1"/>
      <c r="L96" s="1"/>
      <c r="M96" s="1"/>
      <c r="N96" s="10"/>
      <c r="O96" s="5">
        <v>51466</v>
      </c>
      <c r="P96" s="19"/>
      <c r="Q96" s="1"/>
      <c r="R96" s="1"/>
      <c r="S96" s="1"/>
      <c r="T96" s="1"/>
      <c r="U96" s="1"/>
      <c r="V96" s="38"/>
    </row>
    <row r="97" spans="1:22" ht="15.6" x14ac:dyDescent="0.3">
      <c r="A97" s="37">
        <v>51466</v>
      </c>
      <c r="B97" s="7" t="s">
        <v>165</v>
      </c>
      <c r="C97" s="8">
        <v>44750</v>
      </c>
      <c r="D97" s="9">
        <v>52</v>
      </c>
      <c r="E97" s="1">
        <v>285305</v>
      </c>
      <c r="F97" s="1">
        <v>0</v>
      </c>
      <c r="G97" s="1">
        <f t="shared" ref="G97" si="25">E97-F97</f>
        <v>285305</v>
      </c>
      <c r="H97" s="1">
        <v>51354</v>
      </c>
      <c r="I97" s="1">
        <f t="shared" ref="I97" si="26">G97+H97</f>
        <v>336659</v>
      </c>
      <c r="J97" s="4">
        <f>ROUND(G97*$J$6,)</f>
        <v>5706</v>
      </c>
      <c r="K97" s="1">
        <f>G97*5%</f>
        <v>14265.25</v>
      </c>
      <c r="L97" s="1">
        <f>H97</f>
        <v>51354</v>
      </c>
      <c r="M97" s="1"/>
      <c r="N97" s="10">
        <f>ROUND(I97-SUM(J97:L97),0)</f>
        <v>265334</v>
      </c>
      <c r="O97" s="6"/>
      <c r="P97" s="1" t="s">
        <v>167</v>
      </c>
      <c r="Q97" s="1">
        <v>150000</v>
      </c>
      <c r="R97" s="1">
        <v>0</v>
      </c>
      <c r="S97" s="1">
        <v>0</v>
      </c>
      <c r="T97" s="1">
        <v>0</v>
      </c>
      <c r="U97" s="1">
        <f t="shared" ref="U97" si="27">Q97-R97</f>
        <v>150000</v>
      </c>
      <c r="V97" s="38" t="s">
        <v>346</v>
      </c>
    </row>
    <row r="98" spans="1:22" ht="14.4" x14ac:dyDescent="0.3">
      <c r="A98" s="37">
        <v>51466</v>
      </c>
      <c r="B98" s="7" t="s">
        <v>166</v>
      </c>
      <c r="C98" s="8">
        <v>44794</v>
      </c>
      <c r="D98" s="9">
        <v>52</v>
      </c>
      <c r="E98" s="1">
        <v>51355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/>
      <c r="N98" s="10">
        <f>E98</f>
        <v>51355</v>
      </c>
      <c r="O98" s="6"/>
      <c r="P98" s="1" t="s">
        <v>168</v>
      </c>
      <c r="Q98" s="1">
        <f>G97</f>
        <v>285305</v>
      </c>
      <c r="R98" s="1"/>
      <c r="S98" s="1"/>
      <c r="T98" s="1"/>
      <c r="U98" s="1">
        <v>115334</v>
      </c>
      <c r="V98" s="38" t="s">
        <v>169</v>
      </c>
    </row>
    <row r="99" spans="1:22" ht="14.4" x14ac:dyDescent="0.3">
      <c r="A99" s="37">
        <v>51466</v>
      </c>
      <c r="B99" s="7"/>
      <c r="C99" s="8"/>
      <c r="D99" s="9"/>
      <c r="E99" s="1"/>
      <c r="F99" s="1"/>
      <c r="G99" s="1"/>
      <c r="H99" s="1"/>
      <c r="I99" s="1"/>
      <c r="J99" s="1"/>
      <c r="K99" s="1"/>
      <c r="L99" s="1"/>
      <c r="M99" s="1"/>
      <c r="N99" s="10"/>
      <c r="O99" s="6"/>
      <c r="P99" s="1" t="s">
        <v>170</v>
      </c>
      <c r="Q99" s="1">
        <v>51355</v>
      </c>
      <c r="R99" s="1">
        <v>0</v>
      </c>
      <c r="S99" s="1"/>
      <c r="T99" s="1"/>
      <c r="U99" s="1">
        <f t="shared" ref="U99" si="28">Q99-R99</f>
        <v>51355</v>
      </c>
      <c r="V99" s="38" t="s">
        <v>171</v>
      </c>
    </row>
    <row r="100" spans="1:22" ht="14.4" x14ac:dyDescent="0.3">
      <c r="B100" s="7"/>
      <c r="C100" s="8"/>
      <c r="D100" s="9"/>
      <c r="E100" s="1"/>
      <c r="F100" s="1"/>
      <c r="G100" s="1"/>
      <c r="H100" s="1"/>
      <c r="I100" s="1"/>
      <c r="J100" s="1"/>
      <c r="K100" s="1"/>
      <c r="L100" s="1"/>
      <c r="M100" s="1"/>
      <c r="N100" s="10"/>
      <c r="O100" s="6"/>
      <c r="P100" s="1"/>
      <c r="Q100" s="1"/>
      <c r="R100" s="1"/>
      <c r="S100" s="1"/>
      <c r="T100" s="1"/>
      <c r="U100" s="1"/>
      <c r="V100" s="38"/>
    </row>
    <row r="101" spans="1:22" ht="14.4" x14ac:dyDescent="0.3">
      <c r="A101" s="37">
        <v>51469</v>
      </c>
      <c r="B101" s="7"/>
      <c r="C101" s="8"/>
      <c r="D101" s="9"/>
      <c r="E101" s="1"/>
      <c r="F101" s="1"/>
      <c r="G101" s="1"/>
      <c r="H101" s="1"/>
      <c r="I101" s="1"/>
      <c r="J101" s="1"/>
      <c r="K101" s="1"/>
      <c r="L101" s="1"/>
      <c r="M101" s="1"/>
      <c r="N101" s="10"/>
      <c r="O101" s="5">
        <v>51469</v>
      </c>
      <c r="P101" s="1"/>
      <c r="Q101" s="1"/>
      <c r="R101" s="1"/>
      <c r="S101" s="1"/>
      <c r="T101" s="1"/>
      <c r="U101" s="1"/>
      <c r="V101" s="38"/>
    </row>
    <row r="102" spans="1:22" ht="26.4" x14ac:dyDescent="0.3">
      <c r="A102" s="37">
        <v>51469</v>
      </c>
      <c r="B102" s="7" t="s">
        <v>172</v>
      </c>
      <c r="C102" s="8">
        <v>44750</v>
      </c>
      <c r="D102" s="9">
        <v>53</v>
      </c>
      <c r="E102" s="1">
        <v>290685</v>
      </c>
      <c r="F102" s="1">
        <v>0</v>
      </c>
      <c r="G102" s="1">
        <f t="shared" ref="G102:G104" si="29">E102-F102</f>
        <v>290685</v>
      </c>
      <c r="H102" s="1">
        <f>ROUND(G102*18%,0)</f>
        <v>52323</v>
      </c>
      <c r="I102" s="1">
        <f t="shared" ref="I102:I104" si="30">G102+H102</f>
        <v>343008</v>
      </c>
      <c r="J102" s="4">
        <f>ROUND(G102*$J$6,)</f>
        <v>5814</v>
      </c>
      <c r="K102" s="1">
        <f>ROUND(G102*5%,0)</f>
        <v>14534</v>
      </c>
      <c r="L102" s="1">
        <f>H102</f>
        <v>52323</v>
      </c>
      <c r="M102" s="1"/>
      <c r="N102" s="10">
        <f>ROUND(I102-SUM(J102:L102),0)</f>
        <v>270337</v>
      </c>
      <c r="O102" s="6"/>
      <c r="P102" s="1" t="s">
        <v>173</v>
      </c>
      <c r="Q102" s="1">
        <v>150000</v>
      </c>
      <c r="R102" s="1">
        <f>Q102*2%</f>
        <v>3000</v>
      </c>
      <c r="S102" s="1">
        <v>0</v>
      </c>
      <c r="T102" s="1">
        <v>0</v>
      </c>
      <c r="U102" s="1">
        <f t="shared" ref="U102:U104" si="31">Q102-R102</f>
        <v>147000</v>
      </c>
      <c r="V102" s="38" t="s">
        <v>174</v>
      </c>
    </row>
    <row r="103" spans="1:22" ht="14.4" x14ac:dyDescent="0.3">
      <c r="A103" s="37">
        <v>51469</v>
      </c>
      <c r="B103" s="7" t="s">
        <v>10</v>
      </c>
      <c r="C103" s="8">
        <v>44765</v>
      </c>
      <c r="D103" s="9">
        <v>53</v>
      </c>
      <c r="E103" s="1">
        <f>L102</f>
        <v>52323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/>
      <c r="N103" s="10">
        <f>E103</f>
        <v>52323</v>
      </c>
      <c r="O103" s="6"/>
      <c r="P103" s="1" t="s">
        <v>175</v>
      </c>
      <c r="Q103" s="1">
        <v>124355</v>
      </c>
      <c r="R103" s="1">
        <v>0</v>
      </c>
      <c r="S103" s="1">
        <v>0</v>
      </c>
      <c r="T103" s="1">
        <v>0</v>
      </c>
      <c r="U103" s="1">
        <f t="shared" si="31"/>
        <v>124355</v>
      </c>
      <c r="V103" s="38" t="s">
        <v>347</v>
      </c>
    </row>
    <row r="104" spans="1:22" ht="26.4" x14ac:dyDescent="0.3">
      <c r="A104" s="37">
        <v>51469</v>
      </c>
      <c r="B104" s="7" t="s">
        <v>172</v>
      </c>
      <c r="C104" s="8">
        <v>44818</v>
      </c>
      <c r="D104" s="9">
        <v>81</v>
      </c>
      <c r="E104" s="1">
        <v>94275</v>
      </c>
      <c r="F104" s="1">
        <v>0</v>
      </c>
      <c r="G104" s="1">
        <f t="shared" si="29"/>
        <v>94275</v>
      </c>
      <c r="H104" s="1">
        <f>ROUND(G104*18%,0)</f>
        <v>16970</v>
      </c>
      <c r="I104" s="1">
        <f t="shared" si="30"/>
        <v>111245</v>
      </c>
      <c r="J104" s="4">
        <f>ROUND(G104*$J$6,)</f>
        <v>1886</v>
      </c>
      <c r="K104" s="1">
        <f>ROUND(G104*5%,0)</f>
        <v>4714</v>
      </c>
      <c r="L104" s="1">
        <f>H104</f>
        <v>16970</v>
      </c>
      <c r="M104" s="1"/>
      <c r="N104" s="10">
        <f>ROUND(I104-SUM(J104:L104),0)</f>
        <v>87675</v>
      </c>
      <c r="O104" s="6"/>
      <c r="P104" s="1" t="s">
        <v>176</v>
      </c>
      <c r="Q104" s="1">
        <f>N103</f>
        <v>52323</v>
      </c>
      <c r="R104" s="1">
        <v>0</v>
      </c>
      <c r="S104" s="1">
        <v>0</v>
      </c>
      <c r="T104" s="1"/>
      <c r="U104" s="1">
        <f t="shared" si="31"/>
        <v>52323</v>
      </c>
      <c r="V104" s="38" t="s">
        <v>177</v>
      </c>
    </row>
    <row r="105" spans="1:22" ht="14.4" x14ac:dyDescent="0.3">
      <c r="A105" s="37">
        <v>51469</v>
      </c>
      <c r="B105" s="7" t="s">
        <v>10</v>
      </c>
      <c r="C105" s="8">
        <v>44857</v>
      </c>
      <c r="D105" s="9">
        <v>81</v>
      </c>
      <c r="E105" s="1">
        <f>L104</f>
        <v>16970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/>
      <c r="N105" s="10">
        <f>E105</f>
        <v>16970</v>
      </c>
      <c r="O105" s="6"/>
      <c r="P105" s="1" t="s">
        <v>178</v>
      </c>
      <c r="Q105" s="1">
        <v>87675</v>
      </c>
      <c r="R105" s="1"/>
      <c r="S105" s="1"/>
      <c r="T105" s="1"/>
      <c r="U105" s="1">
        <f>Q105-R105-S105-T105</f>
        <v>87675</v>
      </c>
      <c r="V105" s="38" t="s">
        <v>179</v>
      </c>
    </row>
    <row r="106" spans="1:22" ht="14.4" x14ac:dyDescent="0.3">
      <c r="A106" s="37">
        <v>51469</v>
      </c>
      <c r="B106" s="7"/>
      <c r="C106" s="8"/>
      <c r="D106" s="9"/>
      <c r="E106" s="1"/>
      <c r="F106" s="1"/>
      <c r="G106" s="1"/>
      <c r="H106" s="1"/>
      <c r="I106" s="1"/>
      <c r="J106" s="1"/>
      <c r="K106" s="1"/>
      <c r="L106" s="1"/>
      <c r="M106" s="1"/>
      <c r="N106" s="10"/>
      <c r="P106" s="1" t="s">
        <v>180</v>
      </c>
      <c r="Q106" s="1">
        <v>15952</v>
      </c>
      <c r="R106" s="1"/>
      <c r="S106" s="1"/>
      <c r="T106" s="1"/>
      <c r="U106" s="1">
        <f>Q106-R106-S106-T106</f>
        <v>15952</v>
      </c>
      <c r="V106" s="38" t="s">
        <v>181</v>
      </c>
    </row>
    <row r="107" spans="1:22" ht="14.4" x14ac:dyDescent="0.3">
      <c r="B107" s="7"/>
      <c r="C107" s="8"/>
      <c r="D107" s="9"/>
      <c r="E107" s="1"/>
      <c r="F107" s="1"/>
      <c r="G107" s="1"/>
      <c r="H107" s="1"/>
      <c r="I107" s="1"/>
      <c r="J107" s="1"/>
      <c r="K107" s="1"/>
      <c r="L107" s="1"/>
      <c r="M107" s="1"/>
      <c r="N107" s="10"/>
      <c r="O107" s="6"/>
      <c r="P107" s="1"/>
      <c r="Q107" s="1"/>
      <c r="R107" s="1"/>
      <c r="S107" s="20"/>
      <c r="T107" s="20"/>
      <c r="U107" s="1"/>
      <c r="V107" s="38"/>
    </row>
    <row r="108" spans="1:22" ht="14.4" x14ac:dyDescent="0.3">
      <c r="A108" s="37">
        <v>51534</v>
      </c>
      <c r="B108" s="7"/>
      <c r="C108" s="8"/>
      <c r="D108" s="9"/>
      <c r="E108" s="1"/>
      <c r="F108" s="1"/>
      <c r="G108" s="1"/>
      <c r="H108" s="1"/>
      <c r="I108" s="1"/>
      <c r="J108" s="1"/>
      <c r="K108" s="1"/>
      <c r="L108" s="1"/>
      <c r="M108" s="1"/>
      <c r="N108" s="10"/>
      <c r="O108" s="5">
        <v>51534</v>
      </c>
      <c r="P108" s="1"/>
      <c r="Q108" s="1"/>
      <c r="R108" s="1"/>
      <c r="S108" s="1"/>
      <c r="T108" s="1"/>
      <c r="U108" s="1"/>
      <c r="V108" s="38"/>
    </row>
    <row r="109" spans="1:22" ht="26.4" x14ac:dyDescent="0.3">
      <c r="A109" s="37">
        <v>51534</v>
      </c>
      <c r="B109" s="7" t="s">
        <v>182</v>
      </c>
      <c r="C109" s="8">
        <v>44900</v>
      </c>
      <c r="D109" s="51">
        <v>176</v>
      </c>
      <c r="E109" s="1">
        <v>290515.5</v>
      </c>
      <c r="F109" s="1">
        <v>0</v>
      </c>
      <c r="G109" s="1">
        <f>ROUND(E109-F109,0)</f>
        <v>290516</v>
      </c>
      <c r="H109" s="1">
        <f>ROUND(G109*H106,0)</f>
        <v>0</v>
      </c>
      <c r="I109" s="1">
        <f t="shared" ref="I109:I112" si="32">G109+H109</f>
        <v>290516</v>
      </c>
      <c r="J109" s="1">
        <f>ROUND(G109*$J$6,)</f>
        <v>5810</v>
      </c>
      <c r="K109" s="1">
        <f>ROUND(G109*$K$6,)</f>
        <v>14526</v>
      </c>
      <c r="L109" s="1">
        <f>H109</f>
        <v>0</v>
      </c>
      <c r="M109" s="1"/>
      <c r="N109" s="10">
        <f>ROUND(I109-SUM(J109:L109),0)</f>
        <v>270180</v>
      </c>
      <c r="O109" s="6"/>
      <c r="P109" s="1" t="s">
        <v>184</v>
      </c>
      <c r="Q109" s="1">
        <v>200000</v>
      </c>
      <c r="R109" s="1">
        <f>Q109*2%</f>
        <v>4000</v>
      </c>
      <c r="S109" s="1">
        <v>0</v>
      </c>
      <c r="T109" s="1">
        <v>0</v>
      </c>
      <c r="U109" s="1">
        <f t="shared" ref="U109:U111" si="33">Q109-R109</f>
        <v>196000</v>
      </c>
      <c r="V109" s="38" t="s">
        <v>185</v>
      </c>
    </row>
    <row r="110" spans="1:22" ht="26.4" x14ac:dyDescent="0.3">
      <c r="A110" s="37">
        <v>51534</v>
      </c>
      <c r="B110" s="7" t="s">
        <v>183</v>
      </c>
      <c r="C110" s="8">
        <v>44938</v>
      </c>
      <c r="D110" s="9">
        <v>204</v>
      </c>
      <c r="E110" s="1">
        <v>94275</v>
      </c>
      <c r="F110" s="1">
        <v>0</v>
      </c>
      <c r="G110" s="1">
        <f t="shared" ref="G110:G112" si="34">E110-F110</f>
        <v>94275</v>
      </c>
      <c r="H110" s="1">
        <f>ROUND(G110*H106,0)</f>
        <v>0</v>
      </c>
      <c r="I110" s="1">
        <f t="shared" si="32"/>
        <v>94275</v>
      </c>
      <c r="J110" s="1">
        <f>ROUND(G110*$J$6,)</f>
        <v>1886</v>
      </c>
      <c r="K110" s="1">
        <f>ROUND(G110*$K$6,)</f>
        <v>4714</v>
      </c>
      <c r="L110" s="1">
        <f>H110</f>
        <v>0</v>
      </c>
      <c r="M110" s="1"/>
      <c r="N110" s="10">
        <f>ROUND(I110-SUM(J110:L110),0)</f>
        <v>87675</v>
      </c>
      <c r="O110" s="6"/>
      <c r="P110" s="1" t="s">
        <v>186</v>
      </c>
      <c r="Q110" s="1">
        <v>74179</v>
      </c>
      <c r="R110" s="1">
        <v>0</v>
      </c>
      <c r="S110" s="1">
        <v>0</v>
      </c>
      <c r="T110" s="1">
        <v>0</v>
      </c>
      <c r="U110" s="1">
        <f t="shared" si="33"/>
        <v>74179</v>
      </c>
      <c r="V110" s="38" t="s">
        <v>187</v>
      </c>
    </row>
    <row r="111" spans="1:22" ht="14.4" x14ac:dyDescent="0.3">
      <c r="A111" s="37">
        <v>51534</v>
      </c>
      <c r="B111" s="7" t="s">
        <v>10</v>
      </c>
      <c r="C111" s="8">
        <v>44947</v>
      </c>
      <c r="D111" s="9">
        <v>176</v>
      </c>
      <c r="E111" s="1">
        <v>52293</v>
      </c>
      <c r="F111" s="1"/>
      <c r="G111" s="1">
        <f t="shared" si="34"/>
        <v>52293</v>
      </c>
      <c r="H111" s="1">
        <v>0</v>
      </c>
      <c r="I111" s="1">
        <f t="shared" si="32"/>
        <v>52293</v>
      </c>
      <c r="J111" s="1">
        <v>0</v>
      </c>
      <c r="K111" s="1"/>
      <c r="L111" s="1"/>
      <c r="M111" s="1"/>
      <c r="N111" s="10">
        <f>I111-SUM(J111:L111)</f>
        <v>52293</v>
      </c>
      <c r="O111" s="6"/>
      <c r="P111" s="1" t="s">
        <v>188</v>
      </c>
      <c r="Q111" s="1">
        <v>87675</v>
      </c>
      <c r="R111" s="1">
        <v>0</v>
      </c>
      <c r="S111" s="1">
        <v>0</v>
      </c>
      <c r="T111" s="1"/>
      <c r="U111" s="1">
        <f t="shared" si="33"/>
        <v>87675</v>
      </c>
      <c r="V111" s="38" t="s">
        <v>189</v>
      </c>
    </row>
    <row r="112" spans="1:22" ht="14.4" x14ac:dyDescent="0.3">
      <c r="A112" s="37">
        <v>51534</v>
      </c>
      <c r="B112" s="7" t="s">
        <v>10</v>
      </c>
      <c r="C112" s="21">
        <v>44982</v>
      </c>
      <c r="D112" s="9">
        <v>204</v>
      </c>
      <c r="E112" s="1">
        <v>16970</v>
      </c>
      <c r="F112" s="1"/>
      <c r="G112" s="1">
        <f t="shared" si="34"/>
        <v>16970</v>
      </c>
      <c r="H112" s="1">
        <v>0</v>
      </c>
      <c r="I112" s="1">
        <f t="shared" si="32"/>
        <v>16970</v>
      </c>
      <c r="J112" s="1">
        <v>0</v>
      </c>
      <c r="K112" s="1">
        <v>0</v>
      </c>
      <c r="L112" s="1">
        <v>0</v>
      </c>
      <c r="M112" s="1"/>
      <c r="N112" s="10">
        <f>I112-SUM(J112:L112)</f>
        <v>16970</v>
      </c>
      <c r="O112" s="6"/>
      <c r="P112" s="1" t="s">
        <v>190</v>
      </c>
      <c r="Q112" s="1">
        <v>52293</v>
      </c>
      <c r="R112" s="1"/>
      <c r="S112" s="1"/>
      <c r="T112" s="1"/>
      <c r="U112" s="1">
        <f>Q112-R112-S112-T112</f>
        <v>52293</v>
      </c>
      <c r="V112" s="38" t="s">
        <v>191</v>
      </c>
    </row>
    <row r="113" spans="1:22" ht="14.4" x14ac:dyDescent="0.3">
      <c r="A113" s="37">
        <v>51534</v>
      </c>
      <c r="B113" s="7"/>
      <c r="C113" s="8"/>
      <c r="D113" s="9"/>
      <c r="E113" s="1"/>
      <c r="F113" s="1"/>
      <c r="G113" s="1"/>
      <c r="H113" s="1"/>
      <c r="I113" s="1"/>
      <c r="J113" s="1"/>
      <c r="K113" s="1"/>
      <c r="L113" s="1"/>
      <c r="M113" s="1"/>
      <c r="N113" s="10"/>
      <c r="O113" s="6"/>
      <c r="P113" s="1" t="s">
        <v>192</v>
      </c>
      <c r="Q113" s="1">
        <v>16970</v>
      </c>
      <c r="R113" s="1"/>
      <c r="S113" s="1"/>
      <c r="T113" s="1"/>
      <c r="U113" s="1">
        <f>Q113-R113-S113-T113</f>
        <v>16970</v>
      </c>
      <c r="V113" s="38" t="s">
        <v>193</v>
      </c>
    </row>
    <row r="114" spans="1:22" ht="14.4" x14ac:dyDescent="0.3">
      <c r="B114" s="7"/>
      <c r="C114" s="8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0"/>
      <c r="O114" s="6"/>
      <c r="P114" s="1"/>
      <c r="Q114" s="1"/>
      <c r="R114" s="1"/>
      <c r="S114" s="1"/>
      <c r="T114" s="1"/>
      <c r="U114" s="1"/>
      <c r="V114" s="38"/>
    </row>
    <row r="115" spans="1:22" ht="14.4" x14ac:dyDescent="0.3">
      <c r="A115" s="37">
        <v>51535</v>
      </c>
      <c r="B115" s="7"/>
      <c r="C115" s="8"/>
      <c r="D115" s="9"/>
      <c r="E115" s="1"/>
      <c r="F115" s="1"/>
      <c r="G115" s="1"/>
      <c r="H115" s="1"/>
      <c r="I115" s="1"/>
      <c r="J115" s="1"/>
      <c r="K115" s="1"/>
      <c r="L115" s="1"/>
      <c r="M115" s="1"/>
      <c r="N115" s="10"/>
      <c r="O115" s="5">
        <v>51535</v>
      </c>
      <c r="P115" s="1"/>
      <c r="Q115" s="1"/>
      <c r="R115" s="1"/>
      <c r="S115" s="1"/>
      <c r="T115" s="1"/>
      <c r="U115" s="1"/>
      <c r="V115" s="38"/>
    </row>
    <row r="116" spans="1:22" ht="15.6" x14ac:dyDescent="0.3">
      <c r="A116" s="37">
        <v>51535</v>
      </c>
      <c r="B116" s="7" t="s">
        <v>194</v>
      </c>
      <c r="C116" s="8">
        <v>44762</v>
      </c>
      <c r="D116" s="9">
        <v>58</v>
      </c>
      <c r="E116" s="1">
        <v>284285</v>
      </c>
      <c r="F116" s="1">
        <v>0</v>
      </c>
      <c r="G116" s="1">
        <f t="shared" ref="G116:G118" si="35">E116-F116</f>
        <v>284285</v>
      </c>
      <c r="H116" s="1">
        <f>ROUND(G116*18%,)</f>
        <v>51171</v>
      </c>
      <c r="I116" s="1">
        <f t="shared" ref="I116:I118" si="36">G116+H116</f>
        <v>335456</v>
      </c>
      <c r="J116" s="4">
        <f>ROUND(G116*$J$6,)</f>
        <v>5686</v>
      </c>
      <c r="K116" s="1">
        <f>G116*5%</f>
        <v>14214.25</v>
      </c>
      <c r="L116" s="1">
        <f>H116</f>
        <v>51171</v>
      </c>
      <c r="M116" s="1"/>
      <c r="N116" s="10">
        <f>ROUND(I116-SUM(J116:L116),)</f>
        <v>264385</v>
      </c>
      <c r="O116" s="6"/>
      <c r="P116" s="1" t="s">
        <v>197</v>
      </c>
      <c r="Q116" s="1">
        <v>150000</v>
      </c>
      <c r="R116" s="1">
        <f>$R$6*Q116</f>
        <v>3000</v>
      </c>
      <c r="S116" s="1">
        <v>0</v>
      </c>
      <c r="T116" s="1">
        <v>0</v>
      </c>
      <c r="U116" s="1">
        <f t="shared" ref="U116:U117" si="37">Q116-R116</f>
        <v>147000</v>
      </c>
      <c r="V116" s="38" t="s">
        <v>198</v>
      </c>
    </row>
    <row r="117" spans="1:22" ht="14.4" x14ac:dyDescent="0.3">
      <c r="A117" s="37">
        <v>51535</v>
      </c>
      <c r="B117" s="7" t="s">
        <v>195</v>
      </c>
      <c r="C117" s="8">
        <v>44794</v>
      </c>
      <c r="D117" s="9">
        <v>58</v>
      </c>
      <c r="E117" s="1">
        <v>51172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/>
      <c r="N117" s="10">
        <f>E117</f>
        <v>51172</v>
      </c>
      <c r="O117" s="6"/>
      <c r="P117" s="1" t="s">
        <v>199</v>
      </c>
      <c r="Q117" s="1">
        <v>100000</v>
      </c>
      <c r="R117" s="1">
        <v>0</v>
      </c>
      <c r="S117" s="1">
        <v>0</v>
      </c>
      <c r="T117" s="1">
        <v>0</v>
      </c>
      <c r="U117" s="1">
        <f t="shared" si="37"/>
        <v>100000</v>
      </c>
      <c r="V117" s="38" t="s">
        <v>200</v>
      </c>
    </row>
    <row r="118" spans="1:22" ht="26.4" x14ac:dyDescent="0.3">
      <c r="A118" s="37">
        <v>51535</v>
      </c>
      <c r="B118" s="7" t="s">
        <v>196</v>
      </c>
      <c r="C118" s="8">
        <v>44826</v>
      </c>
      <c r="D118" s="9">
        <v>94</v>
      </c>
      <c r="E118" s="1">
        <v>94275</v>
      </c>
      <c r="F118" s="1">
        <v>0</v>
      </c>
      <c r="G118" s="1">
        <f t="shared" si="35"/>
        <v>94275</v>
      </c>
      <c r="H118" s="1">
        <f>ROUND(G118*18%,)</f>
        <v>16970</v>
      </c>
      <c r="I118" s="1">
        <f t="shared" si="36"/>
        <v>111245</v>
      </c>
      <c r="J118" s="4">
        <f>ROUND(G118*$J$6,)</f>
        <v>1886</v>
      </c>
      <c r="K118" s="1">
        <f>G118*5%</f>
        <v>4713.75</v>
      </c>
      <c r="L118" s="1">
        <f>H118</f>
        <v>16970</v>
      </c>
      <c r="M118" s="1"/>
      <c r="N118" s="10">
        <f>ROUND(I118-SUM(J118:L118),)</f>
        <v>87675</v>
      </c>
      <c r="O118" s="6"/>
      <c r="P118" s="1" t="s">
        <v>201</v>
      </c>
      <c r="Q118" s="1">
        <v>17385</v>
      </c>
      <c r="R118" s="1">
        <v>0</v>
      </c>
      <c r="S118" s="1">
        <v>0</v>
      </c>
      <c r="T118" s="1">
        <v>0</v>
      </c>
      <c r="U118" s="1">
        <f t="shared" ref="U118" si="38">Q118-R118</f>
        <v>17385</v>
      </c>
      <c r="V118" s="38" t="s">
        <v>202</v>
      </c>
    </row>
    <row r="119" spans="1:22" ht="14.4" x14ac:dyDescent="0.3">
      <c r="A119" s="37">
        <v>51535</v>
      </c>
      <c r="B119" s="7" t="s">
        <v>195</v>
      </c>
      <c r="C119" s="8">
        <v>44857</v>
      </c>
      <c r="D119" s="9">
        <v>94</v>
      </c>
      <c r="E119" s="1">
        <v>16969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/>
      <c r="N119" s="10">
        <f>E119</f>
        <v>16969</v>
      </c>
      <c r="O119" s="6"/>
      <c r="P119" s="1" t="s">
        <v>203</v>
      </c>
      <c r="Q119" s="1">
        <v>51172</v>
      </c>
      <c r="R119" s="1">
        <v>0</v>
      </c>
      <c r="S119" s="1">
        <v>0</v>
      </c>
      <c r="T119" s="1">
        <v>0</v>
      </c>
      <c r="U119" s="1">
        <f>Q119-R119-S119-T119</f>
        <v>51172</v>
      </c>
      <c r="V119" s="38" t="s">
        <v>204</v>
      </c>
    </row>
    <row r="120" spans="1:22" ht="14.4" x14ac:dyDescent="0.3">
      <c r="A120" s="37">
        <v>51535</v>
      </c>
      <c r="B120" s="7"/>
      <c r="C120" s="8"/>
      <c r="D120" s="9"/>
      <c r="E120" s="1"/>
      <c r="F120" s="1"/>
      <c r="G120" s="1"/>
      <c r="H120" s="1"/>
      <c r="I120" s="1"/>
      <c r="J120" s="1"/>
      <c r="K120" s="1"/>
      <c r="L120" s="1"/>
      <c r="M120" s="1"/>
      <c r="N120" s="10"/>
      <c r="O120" s="6"/>
      <c r="P120" s="1" t="s">
        <v>205</v>
      </c>
      <c r="Q120" s="1">
        <v>87675</v>
      </c>
      <c r="R120" s="1">
        <v>0</v>
      </c>
      <c r="S120" s="1">
        <v>0</v>
      </c>
      <c r="T120" s="1">
        <v>0</v>
      </c>
      <c r="U120" s="1">
        <f>Q120-R120-S120-T120</f>
        <v>87675</v>
      </c>
      <c r="V120" s="38" t="s">
        <v>206</v>
      </c>
    </row>
    <row r="121" spans="1:22" ht="14.4" x14ac:dyDescent="0.3">
      <c r="A121" s="37">
        <v>51535</v>
      </c>
      <c r="B121" s="7"/>
      <c r="C121" s="8"/>
      <c r="D121" s="9"/>
      <c r="E121" s="1"/>
      <c r="F121" s="1"/>
      <c r="G121" s="1"/>
      <c r="H121" s="1"/>
      <c r="I121" s="1"/>
      <c r="J121" s="1"/>
      <c r="K121" s="1"/>
      <c r="L121" s="1"/>
      <c r="M121" s="1"/>
      <c r="N121" s="10"/>
      <c r="O121" s="6"/>
      <c r="P121" s="1" t="s">
        <v>207</v>
      </c>
      <c r="Q121" s="1">
        <v>16969</v>
      </c>
      <c r="R121" s="1"/>
      <c r="S121" s="1"/>
      <c r="T121" s="1"/>
      <c r="U121" s="1">
        <v>16969</v>
      </c>
      <c r="V121" s="38" t="s">
        <v>208</v>
      </c>
    </row>
    <row r="122" spans="1:22" ht="14.4" x14ac:dyDescent="0.3">
      <c r="B122" s="7"/>
      <c r="C122" s="8"/>
      <c r="D122" s="9"/>
      <c r="E122" s="1"/>
      <c r="F122" s="1"/>
      <c r="G122" s="1"/>
      <c r="H122" s="1"/>
      <c r="I122" s="1"/>
      <c r="J122" s="1"/>
      <c r="K122" s="1"/>
      <c r="L122" s="1"/>
      <c r="M122" s="1"/>
      <c r="N122" s="10"/>
      <c r="P122" s="1"/>
      <c r="Q122" s="1"/>
      <c r="R122" s="1"/>
      <c r="S122" s="1"/>
      <c r="T122" s="1"/>
      <c r="U122" s="1"/>
      <c r="V122" s="38"/>
    </row>
    <row r="123" spans="1:22" ht="14.4" x14ac:dyDescent="0.3">
      <c r="A123" s="37">
        <v>51682</v>
      </c>
      <c r="B123" s="7"/>
      <c r="C123" s="8"/>
      <c r="D123" s="9"/>
      <c r="E123" s="1"/>
      <c r="F123" s="1"/>
      <c r="G123" s="1"/>
      <c r="H123" s="1"/>
      <c r="I123" s="1"/>
      <c r="J123" s="1"/>
      <c r="K123" s="1"/>
      <c r="L123" s="1"/>
      <c r="M123" s="1"/>
      <c r="N123" s="10"/>
      <c r="O123" s="5">
        <v>51682</v>
      </c>
      <c r="P123" s="1"/>
      <c r="Q123" s="1"/>
      <c r="R123" s="1"/>
      <c r="S123" s="1"/>
      <c r="T123" s="1"/>
      <c r="U123" s="1"/>
      <c r="V123" s="38"/>
    </row>
    <row r="124" spans="1:22" ht="15" customHeight="1" x14ac:dyDescent="0.3">
      <c r="A124" s="37">
        <v>51682</v>
      </c>
      <c r="B124" s="7" t="s">
        <v>209</v>
      </c>
      <c r="C124" s="8">
        <v>44763</v>
      </c>
      <c r="D124" s="9">
        <v>59</v>
      </c>
      <c r="E124" s="1">
        <v>278290</v>
      </c>
      <c r="F124" s="1">
        <v>0</v>
      </c>
      <c r="G124" s="1">
        <f t="shared" ref="G124:G126" si="39">E124-F124</f>
        <v>278290</v>
      </c>
      <c r="H124" s="1">
        <f>ROUND(G124*18%,0)</f>
        <v>50092</v>
      </c>
      <c r="I124" s="1">
        <f t="shared" ref="I124:I126" si="40">G124+H124</f>
        <v>328382</v>
      </c>
      <c r="J124" s="4">
        <f>ROUND(G124*$J$6,)</f>
        <v>5566</v>
      </c>
      <c r="K124" s="1">
        <f>G124*5%</f>
        <v>13914.5</v>
      </c>
      <c r="L124" s="1">
        <f>H124</f>
        <v>50092</v>
      </c>
      <c r="M124" s="1"/>
      <c r="N124" s="10">
        <f>I124-SUM(J124:L124)</f>
        <v>258809.5</v>
      </c>
      <c r="O124" s="6"/>
      <c r="P124" s="1" t="s">
        <v>212</v>
      </c>
      <c r="Q124" s="1">
        <v>200000</v>
      </c>
      <c r="R124" s="1">
        <v>0</v>
      </c>
      <c r="S124" s="1">
        <v>0</v>
      </c>
      <c r="T124" s="1">
        <v>0</v>
      </c>
      <c r="U124" s="1">
        <f>Q124-R124</f>
        <v>200000</v>
      </c>
      <c r="V124" s="38" t="s">
        <v>213</v>
      </c>
    </row>
    <row r="125" spans="1:22" ht="14.4" x14ac:dyDescent="0.3">
      <c r="A125" s="37">
        <v>51682</v>
      </c>
      <c r="B125" s="7" t="s">
        <v>210</v>
      </c>
      <c r="C125" s="8">
        <v>44794</v>
      </c>
      <c r="D125" s="9">
        <v>59</v>
      </c>
      <c r="E125" s="1">
        <f>L124</f>
        <v>50092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/>
      <c r="N125" s="10">
        <f>E125</f>
        <v>50092</v>
      </c>
      <c r="O125" s="6"/>
      <c r="P125" s="1" t="s">
        <v>214</v>
      </c>
      <c r="Q125" s="1">
        <v>58809</v>
      </c>
      <c r="R125" s="1">
        <v>0</v>
      </c>
      <c r="S125" s="1">
        <v>0</v>
      </c>
      <c r="T125" s="1">
        <f>T121*Q125</f>
        <v>0</v>
      </c>
      <c r="U125" s="1">
        <f t="shared" ref="U125:U128" si="41">Q125-R125</f>
        <v>58809</v>
      </c>
      <c r="V125" s="39" t="s">
        <v>348</v>
      </c>
    </row>
    <row r="126" spans="1:22" ht="15" customHeight="1" x14ac:dyDescent="0.3">
      <c r="A126" s="37">
        <v>51682</v>
      </c>
      <c r="B126" s="7" t="s">
        <v>211</v>
      </c>
      <c r="C126" s="8">
        <v>44832</v>
      </c>
      <c r="D126" s="9">
        <v>98</v>
      </c>
      <c r="E126" s="1">
        <v>94275</v>
      </c>
      <c r="F126" s="1">
        <v>0</v>
      </c>
      <c r="G126" s="1">
        <f t="shared" si="39"/>
        <v>94275</v>
      </c>
      <c r="H126" s="1">
        <f>ROUND(G126*18%,0)</f>
        <v>16970</v>
      </c>
      <c r="I126" s="1">
        <f t="shared" si="40"/>
        <v>111245</v>
      </c>
      <c r="J126" s="4">
        <f>ROUND(G126*$J$6,)</f>
        <v>1886</v>
      </c>
      <c r="K126" s="1">
        <f>G126*5%</f>
        <v>4713.75</v>
      </c>
      <c r="L126" s="1">
        <f>H126</f>
        <v>16970</v>
      </c>
      <c r="M126" s="1"/>
      <c r="N126" s="10">
        <f>ROUND(I126-SUM(J126:L126),)</f>
        <v>87675</v>
      </c>
      <c r="O126" s="6"/>
      <c r="P126" s="1" t="s">
        <v>215</v>
      </c>
      <c r="Q126" s="1">
        <v>50092</v>
      </c>
      <c r="R126" s="1">
        <v>0</v>
      </c>
      <c r="S126" s="1">
        <v>0</v>
      </c>
      <c r="T126" s="1">
        <v>0</v>
      </c>
      <c r="U126" s="1">
        <f t="shared" si="41"/>
        <v>50092</v>
      </c>
      <c r="V126" s="38" t="s">
        <v>216</v>
      </c>
    </row>
    <row r="127" spans="1:22" ht="14.4" x14ac:dyDescent="0.3">
      <c r="A127" s="37">
        <v>51682</v>
      </c>
      <c r="B127" s="7" t="s">
        <v>210</v>
      </c>
      <c r="C127" s="8">
        <v>44862</v>
      </c>
      <c r="D127" s="9">
        <v>98</v>
      </c>
      <c r="E127" s="1">
        <f>H126</f>
        <v>16970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/>
      <c r="N127" s="22">
        <f>E127</f>
        <v>16970</v>
      </c>
      <c r="O127" s="6"/>
      <c r="P127" s="1" t="s">
        <v>217</v>
      </c>
      <c r="Q127" s="1">
        <v>87675</v>
      </c>
      <c r="R127" s="1"/>
      <c r="S127" s="1">
        <v>0</v>
      </c>
      <c r="T127" s="1"/>
      <c r="U127" s="1">
        <f t="shared" si="41"/>
        <v>87675</v>
      </c>
      <c r="V127" s="38" t="s">
        <v>218</v>
      </c>
    </row>
    <row r="128" spans="1:22" ht="15.6" x14ac:dyDescent="0.3">
      <c r="A128" s="40"/>
      <c r="B128" s="7"/>
      <c r="C128" s="23"/>
      <c r="D128" s="52"/>
      <c r="E128" s="3"/>
      <c r="F128" s="4"/>
      <c r="G128" s="4"/>
      <c r="H128" s="4"/>
      <c r="I128" s="4"/>
      <c r="J128" s="4"/>
      <c r="K128" s="4"/>
      <c r="L128" s="4"/>
      <c r="M128" s="4"/>
      <c r="N128" s="24"/>
      <c r="O128" s="6"/>
      <c r="P128" s="1" t="s">
        <v>303</v>
      </c>
      <c r="Q128" s="1">
        <v>16970</v>
      </c>
      <c r="R128" s="1"/>
      <c r="S128" s="1"/>
      <c r="T128" s="1"/>
      <c r="U128" s="1">
        <f t="shared" si="41"/>
        <v>16970</v>
      </c>
      <c r="V128" s="38" t="s">
        <v>302</v>
      </c>
    </row>
    <row r="129" spans="1:22" ht="15.6" x14ac:dyDescent="0.2">
      <c r="A129" s="40"/>
      <c r="B129" s="7"/>
      <c r="C129" s="23"/>
      <c r="D129" s="52"/>
      <c r="E129" s="3"/>
      <c r="F129" s="4"/>
      <c r="G129" s="4"/>
      <c r="H129" s="4"/>
      <c r="I129" s="4"/>
      <c r="J129" s="4"/>
      <c r="K129" s="4"/>
      <c r="L129" s="4"/>
      <c r="M129" s="4"/>
      <c r="N129" s="24"/>
      <c r="O129" s="6"/>
      <c r="P129" s="1"/>
      <c r="Q129" s="1"/>
      <c r="R129" s="1"/>
      <c r="S129" s="1"/>
      <c r="T129" s="1"/>
      <c r="U129" s="1"/>
      <c r="V129" s="41"/>
    </row>
    <row r="130" spans="1:22" ht="15.6" x14ac:dyDescent="0.2">
      <c r="A130" s="40">
        <v>51683</v>
      </c>
      <c r="B130" s="7"/>
      <c r="C130" s="23"/>
      <c r="D130" s="52"/>
      <c r="E130" s="3"/>
      <c r="F130" s="4"/>
      <c r="G130" s="4"/>
      <c r="H130" s="4"/>
      <c r="I130" s="4"/>
      <c r="J130" s="4"/>
      <c r="K130" s="4"/>
      <c r="L130" s="4"/>
      <c r="M130" s="4"/>
      <c r="N130" s="24"/>
      <c r="O130" s="5">
        <v>51683</v>
      </c>
      <c r="P130" s="1"/>
      <c r="Q130" s="1"/>
      <c r="R130" s="1"/>
      <c r="S130" s="1"/>
      <c r="T130" s="1"/>
      <c r="U130" s="1"/>
      <c r="V130" s="41"/>
    </row>
    <row r="131" spans="1:22" ht="15.6" x14ac:dyDescent="0.3">
      <c r="A131" s="40">
        <v>51683</v>
      </c>
      <c r="B131" s="7" t="s">
        <v>219</v>
      </c>
      <c r="C131" s="8">
        <v>44774</v>
      </c>
      <c r="D131" s="9">
        <v>62</v>
      </c>
      <c r="E131" s="1">
        <f>278050</f>
        <v>278050</v>
      </c>
      <c r="F131" s="1">
        <v>0</v>
      </c>
      <c r="G131" s="1">
        <f t="shared" ref="G131:G133" si="42">E131-F131</f>
        <v>278050</v>
      </c>
      <c r="H131" s="1">
        <f>G131*18%</f>
        <v>50049</v>
      </c>
      <c r="I131" s="1">
        <f t="shared" ref="I131:I133" si="43">G131+H131</f>
        <v>328099</v>
      </c>
      <c r="J131" s="4">
        <f>ROUND(G131*$J$6,)</f>
        <v>5561</v>
      </c>
      <c r="K131" s="1">
        <f>ROUND(G131*5%,0)</f>
        <v>13903</v>
      </c>
      <c r="L131" s="1">
        <f>H131</f>
        <v>50049</v>
      </c>
      <c r="M131" s="1"/>
      <c r="N131" s="10">
        <f>ROUND(I131-SUM(J131:L131),)</f>
        <v>258586</v>
      </c>
      <c r="O131" s="6"/>
      <c r="P131" s="1" t="s">
        <v>220</v>
      </c>
      <c r="Q131" s="1">
        <v>150000</v>
      </c>
      <c r="R131" s="1">
        <f>Q131*2%</f>
        <v>3000</v>
      </c>
      <c r="S131" s="1">
        <f>Q131*S127</f>
        <v>0</v>
      </c>
      <c r="T131" s="1">
        <v>0</v>
      </c>
      <c r="U131" s="1">
        <f>Q131-R131</f>
        <v>147000</v>
      </c>
      <c r="V131" s="38" t="s">
        <v>221</v>
      </c>
    </row>
    <row r="132" spans="1:22" ht="15.6" x14ac:dyDescent="0.3">
      <c r="A132" s="40">
        <v>51683</v>
      </c>
      <c r="B132" s="7" t="s">
        <v>10</v>
      </c>
      <c r="C132" s="8">
        <v>44823</v>
      </c>
      <c r="D132" s="9">
        <v>62</v>
      </c>
      <c r="E132" s="1">
        <f>L131</f>
        <v>50049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/>
      <c r="N132" s="10">
        <f>E132</f>
        <v>50049</v>
      </c>
      <c r="O132" s="6"/>
      <c r="P132" s="1" t="s">
        <v>222</v>
      </c>
      <c r="Q132" s="1">
        <v>111586</v>
      </c>
      <c r="R132" s="1">
        <v>0</v>
      </c>
      <c r="S132" s="1">
        <v>0</v>
      </c>
      <c r="T132" s="1">
        <v>0</v>
      </c>
      <c r="U132" s="1">
        <v>111586</v>
      </c>
      <c r="V132" s="38" t="s">
        <v>223</v>
      </c>
    </row>
    <row r="133" spans="1:22" ht="15.6" x14ac:dyDescent="0.3">
      <c r="A133" s="40">
        <v>51683</v>
      </c>
      <c r="B133" s="7" t="s">
        <v>219</v>
      </c>
      <c r="C133" s="8">
        <v>44877</v>
      </c>
      <c r="D133" s="9">
        <v>138</v>
      </c>
      <c r="E133" s="1">
        <v>94275</v>
      </c>
      <c r="F133" s="1">
        <v>0</v>
      </c>
      <c r="G133" s="1">
        <f t="shared" si="42"/>
        <v>94275</v>
      </c>
      <c r="H133" s="1">
        <f>G133*18%</f>
        <v>16969.5</v>
      </c>
      <c r="I133" s="1">
        <f t="shared" si="43"/>
        <v>111244.5</v>
      </c>
      <c r="J133" s="4">
        <f>ROUND(G133*$J$6,)</f>
        <v>1886</v>
      </c>
      <c r="K133" s="1">
        <f>ROUND(G133*5%,0)</f>
        <v>4714</v>
      </c>
      <c r="L133" s="1">
        <f>H133</f>
        <v>16969.5</v>
      </c>
      <c r="M133" s="1"/>
      <c r="N133" s="10">
        <f>ROUND(I133-SUM(J133:L133),)</f>
        <v>87675</v>
      </c>
      <c r="O133" s="6"/>
      <c r="P133" s="1" t="s">
        <v>224</v>
      </c>
      <c r="Q133" s="1">
        <v>50049</v>
      </c>
      <c r="R133" s="1">
        <v>0</v>
      </c>
      <c r="S133" s="1">
        <v>0</v>
      </c>
      <c r="T133" s="1">
        <v>0</v>
      </c>
      <c r="U133" s="1">
        <f>Q133-S133</f>
        <v>50049</v>
      </c>
      <c r="V133" s="38" t="s">
        <v>225</v>
      </c>
    </row>
    <row r="134" spans="1:22" ht="15.6" x14ac:dyDescent="0.3">
      <c r="A134" s="40">
        <v>51683</v>
      </c>
      <c r="B134" s="7" t="s">
        <v>10</v>
      </c>
      <c r="C134" s="8">
        <v>44910</v>
      </c>
      <c r="D134" s="9">
        <v>138</v>
      </c>
      <c r="E134" s="1">
        <v>16970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/>
      <c r="N134" s="22">
        <f>E134</f>
        <v>16970</v>
      </c>
      <c r="O134" s="6"/>
      <c r="P134" s="1" t="s">
        <v>226</v>
      </c>
      <c r="Q134" s="1">
        <v>87675</v>
      </c>
      <c r="R134" s="1">
        <v>0</v>
      </c>
      <c r="S134" s="1">
        <v>0</v>
      </c>
      <c r="T134" s="1"/>
      <c r="U134" s="1">
        <v>87675</v>
      </c>
      <c r="V134" s="38" t="s">
        <v>227</v>
      </c>
    </row>
    <row r="135" spans="1:22" ht="15.6" x14ac:dyDescent="0.3">
      <c r="A135" s="40">
        <v>51683</v>
      </c>
      <c r="B135" s="7"/>
      <c r="C135" s="8"/>
      <c r="D135" s="9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 t="s">
        <v>228</v>
      </c>
      <c r="Q135" s="1">
        <v>16970</v>
      </c>
      <c r="R135" s="1"/>
      <c r="S135" s="1"/>
      <c r="T135" s="1"/>
      <c r="U135" s="1">
        <v>16970</v>
      </c>
      <c r="V135" s="38" t="s">
        <v>229</v>
      </c>
    </row>
    <row r="136" spans="1:22" ht="15.6" x14ac:dyDescent="0.3">
      <c r="A136" s="40">
        <v>51683</v>
      </c>
      <c r="B136" s="7"/>
      <c r="C136" s="8"/>
      <c r="D136" s="9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Q136" s="1"/>
      <c r="R136" s="1"/>
      <c r="S136" s="1"/>
      <c r="T136" s="1"/>
      <c r="U136" s="1"/>
      <c r="V136" s="38"/>
    </row>
    <row r="137" spans="1:22" ht="14.4" x14ac:dyDescent="0.3">
      <c r="A137" s="37">
        <v>51684</v>
      </c>
      <c r="B137" s="7"/>
      <c r="C137" s="8"/>
      <c r="D137" s="9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5">
        <v>51684</v>
      </c>
      <c r="P137" s="1"/>
      <c r="Q137" s="1"/>
      <c r="R137" s="1"/>
      <c r="S137" s="1"/>
      <c r="T137" s="1"/>
      <c r="U137" s="1"/>
      <c r="V137" s="38"/>
    </row>
    <row r="138" spans="1:22" ht="26.4" x14ac:dyDescent="0.3">
      <c r="A138" s="37">
        <v>51684</v>
      </c>
      <c r="B138" s="7" t="s">
        <v>230</v>
      </c>
      <c r="C138" s="8">
        <v>44774</v>
      </c>
      <c r="D138" s="9">
        <v>61</v>
      </c>
      <c r="E138" s="1">
        <v>285530</v>
      </c>
      <c r="F138" s="1">
        <v>0</v>
      </c>
      <c r="G138" s="1">
        <f>E138-F138</f>
        <v>285530</v>
      </c>
      <c r="H138" s="1">
        <f>ROUND(G138*18%,0)</f>
        <v>51395</v>
      </c>
      <c r="I138" s="1">
        <f t="shared" ref="I138:I140" si="44">G138+H138</f>
        <v>336925</v>
      </c>
      <c r="J138" s="4">
        <f>ROUND(G138*$J$6,)</f>
        <v>5711</v>
      </c>
      <c r="K138" s="1">
        <f>G138*5%</f>
        <v>14276.5</v>
      </c>
      <c r="L138" s="1">
        <f>H138</f>
        <v>51395</v>
      </c>
      <c r="M138" s="1"/>
      <c r="N138" s="10">
        <f t="shared" ref="N138" si="45">ROUND(I138-SUM(J138:L138),0)</f>
        <v>265543</v>
      </c>
      <c r="O138" s="6"/>
      <c r="P138" s="1" t="s">
        <v>233</v>
      </c>
      <c r="Q138" s="1">
        <v>150000</v>
      </c>
      <c r="R138" s="1">
        <f>Q138*2%</f>
        <v>3000</v>
      </c>
      <c r="S138" s="1">
        <f>Q138*S135</f>
        <v>0</v>
      </c>
      <c r="T138" s="1">
        <v>0</v>
      </c>
      <c r="U138" s="1">
        <f>Q138-R138</f>
        <v>147000</v>
      </c>
      <c r="V138" s="38" t="s">
        <v>234</v>
      </c>
    </row>
    <row r="139" spans="1:22" ht="14.4" x14ac:dyDescent="0.3">
      <c r="A139" s="37">
        <v>51684</v>
      </c>
      <c r="B139" s="7" t="s">
        <v>231</v>
      </c>
      <c r="C139" s="8">
        <v>44823</v>
      </c>
      <c r="D139" s="9">
        <v>61</v>
      </c>
      <c r="E139" s="1">
        <f>L138</f>
        <v>51395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/>
      <c r="N139" s="10">
        <f>E139</f>
        <v>51395</v>
      </c>
      <c r="O139" s="6"/>
      <c r="P139" s="1" t="s">
        <v>235</v>
      </c>
      <c r="Q139" s="1">
        <v>118542</v>
      </c>
      <c r="R139" s="1">
        <v>0</v>
      </c>
      <c r="S139" s="1">
        <v>0</v>
      </c>
      <c r="T139" s="1">
        <v>0</v>
      </c>
      <c r="U139" s="1">
        <v>118542</v>
      </c>
      <c r="V139" s="38" t="s">
        <v>236</v>
      </c>
    </row>
    <row r="140" spans="1:22" ht="26.4" x14ac:dyDescent="0.3">
      <c r="A140" s="37">
        <v>51684</v>
      </c>
      <c r="B140" s="7" t="s">
        <v>232</v>
      </c>
      <c r="C140" s="8">
        <v>44832</v>
      </c>
      <c r="D140" s="9">
        <v>99</v>
      </c>
      <c r="E140" s="1">
        <v>94275</v>
      </c>
      <c r="F140" s="1">
        <v>0</v>
      </c>
      <c r="G140" s="1">
        <f>E140-F140</f>
        <v>94275</v>
      </c>
      <c r="H140" s="1">
        <f>ROUND(G140*18%,0)</f>
        <v>16970</v>
      </c>
      <c r="I140" s="1">
        <f t="shared" si="44"/>
        <v>111245</v>
      </c>
      <c r="J140" s="4">
        <f>ROUND(G140*$J$6,)</f>
        <v>1886</v>
      </c>
      <c r="K140" s="1">
        <f>G140*5%</f>
        <v>4713.75</v>
      </c>
      <c r="L140" s="1">
        <f>H140</f>
        <v>16970</v>
      </c>
      <c r="M140" s="1"/>
      <c r="N140" s="10">
        <f>ROUND(I140-SUM(J140:L140),0)</f>
        <v>87675</v>
      </c>
      <c r="O140" s="6"/>
      <c r="P140" s="1" t="s">
        <v>237</v>
      </c>
      <c r="Q140" s="1">
        <f>N139</f>
        <v>51395</v>
      </c>
      <c r="R140" s="1">
        <v>0</v>
      </c>
      <c r="S140" s="1">
        <v>0</v>
      </c>
      <c r="T140" s="1">
        <v>0</v>
      </c>
      <c r="U140" s="1">
        <v>51395</v>
      </c>
      <c r="V140" s="38" t="s">
        <v>238</v>
      </c>
    </row>
    <row r="141" spans="1:22" ht="14.4" x14ac:dyDescent="0.3">
      <c r="A141" s="37">
        <v>51684</v>
      </c>
      <c r="B141" s="7" t="s">
        <v>231</v>
      </c>
      <c r="C141" s="8">
        <v>44857</v>
      </c>
      <c r="D141" s="9">
        <v>99</v>
      </c>
      <c r="E141" s="1">
        <f>L140</f>
        <v>16970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/>
      <c r="N141" s="10">
        <f>E141</f>
        <v>16970</v>
      </c>
      <c r="O141" s="6"/>
      <c r="P141" s="1" t="s">
        <v>239</v>
      </c>
      <c r="Q141" s="1">
        <v>87675</v>
      </c>
      <c r="R141" s="1">
        <v>0</v>
      </c>
      <c r="S141" s="1">
        <v>0</v>
      </c>
      <c r="T141" s="1">
        <v>0</v>
      </c>
      <c r="U141" s="1">
        <v>87675</v>
      </c>
      <c r="V141" s="38" t="s">
        <v>240</v>
      </c>
    </row>
    <row r="142" spans="1:22" ht="14.4" x14ac:dyDescent="0.3">
      <c r="A142" s="37">
        <v>51684</v>
      </c>
      <c r="B142" s="1"/>
      <c r="C142" s="1"/>
      <c r="D142" s="5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6"/>
      <c r="P142" s="1" t="s">
        <v>241</v>
      </c>
      <c r="Q142" s="1">
        <v>16970</v>
      </c>
      <c r="R142" s="1">
        <v>0</v>
      </c>
      <c r="S142" s="1"/>
      <c r="T142" s="1"/>
      <c r="U142" s="1">
        <f>Q142-R142</f>
        <v>16970</v>
      </c>
      <c r="V142" s="38" t="s">
        <v>242</v>
      </c>
    </row>
    <row r="143" spans="1:22" ht="14.4" x14ac:dyDescent="0.3">
      <c r="A143" s="37">
        <v>51684</v>
      </c>
      <c r="B143" s="1"/>
      <c r="C143" s="1"/>
      <c r="D143" s="5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6"/>
      <c r="P143" s="1"/>
      <c r="Q143" s="1"/>
      <c r="R143" s="1"/>
      <c r="S143" s="1"/>
      <c r="T143" s="1"/>
      <c r="U143" s="1"/>
      <c r="V143" s="38"/>
    </row>
    <row r="144" spans="1:22" ht="30" customHeight="1" x14ac:dyDescent="0.3">
      <c r="A144" s="37">
        <v>51799</v>
      </c>
      <c r="B144" s="7" t="s">
        <v>243</v>
      </c>
      <c r="C144" s="8">
        <v>44780</v>
      </c>
      <c r="D144" s="9">
        <v>67</v>
      </c>
      <c r="E144" s="1">
        <v>280730</v>
      </c>
      <c r="F144" s="1">
        <v>0</v>
      </c>
      <c r="G144" s="1">
        <f>E144-F144</f>
        <v>280730</v>
      </c>
      <c r="H144" s="1">
        <f>ROUND(G144*18%,0)</f>
        <v>50531</v>
      </c>
      <c r="I144" s="1">
        <f t="shared" ref="I144:I146" si="46">G144+H144</f>
        <v>331261</v>
      </c>
      <c r="J144" s="4">
        <f>ROUND(G144*$J$6,)</f>
        <v>5615</v>
      </c>
      <c r="K144" s="1">
        <f>G144*5%</f>
        <v>14036.5</v>
      </c>
      <c r="L144" s="1">
        <f>H144</f>
        <v>50531</v>
      </c>
      <c r="M144" s="1">
        <f>2*1100</f>
        <v>2200</v>
      </c>
      <c r="N144" s="10">
        <f>ROUND(I144-SUM(J144:M144),0)</f>
        <v>258879</v>
      </c>
      <c r="O144" s="5">
        <v>51799</v>
      </c>
      <c r="P144" s="1" t="s">
        <v>245</v>
      </c>
      <c r="Q144" s="1">
        <v>150000</v>
      </c>
      <c r="R144" s="1">
        <f>Q144*2%</f>
        <v>3000</v>
      </c>
      <c r="S144" s="1">
        <v>0</v>
      </c>
      <c r="T144" s="1"/>
      <c r="U144" s="1">
        <f>Q144-R144</f>
        <v>147000</v>
      </c>
      <c r="V144" s="39" t="s">
        <v>246</v>
      </c>
    </row>
    <row r="145" spans="1:22" ht="14.4" x14ac:dyDescent="0.3">
      <c r="A145" s="37">
        <v>51799</v>
      </c>
      <c r="B145" s="7" t="s">
        <v>10</v>
      </c>
      <c r="C145" s="8">
        <v>44823</v>
      </c>
      <c r="D145" s="9">
        <v>67</v>
      </c>
      <c r="E145" s="1">
        <v>50532</v>
      </c>
      <c r="F145" s="1">
        <v>0</v>
      </c>
      <c r="G145" s="1"/>
      <c r="H145" s="1">
        <v>0</v>
      </c>
      <c r="I145" s="1"/>
      <c r="J145" s="1">
        <v>0</v>
      </c>
      <c r="K145" s="1">
        <v>0</v>
      </c>
      <c r="L145" s="1">
        <v>0</v>
      </c>
      <c r="M145" s="1"/>
      <c r="N145" s="10">
        <f>E145</f>
        <v>50532</v>
      </c>
      <c r="O145" s="6"/>
      <c r="P145" s="1" t="s">
        <v>247</v>
      </c>
      <c r="Q145" s="1">
        <f>F144</f>
        <v>0</v>
      </c>
      <c r="R145" s="1">
        <f>$S$6*Q145</f>
        <v>0</v>
      </c>
      <c r="S145" s="1">
        <f>S142*Q145</f>
        <v>0</v>
      </c>
      <c r="T145" s="1">
        <v>0</v>
      </c>
      <c r="U145" s="1">
        <v>111878</v>
      </c>
      <c r="V145" s="38" t="s">
        <v>248</v>
      </c>
    </row>
    <row r="146" spans="1:22" ht="26.4" x14ac:dyDescent="0.3">
      <c r="A146" s="37">
        <v>51799</v>
      </c>
      <c r="B146" s="7" t="s">
        <v>244</v>
      </c>
      <c r="C146" s="8">
        <v>44840</v>
      </c>
      <c r="D146" s="9">
        <v>104</v>
      </c>
      <c r="E146" s="1">
        <v>94275</v>
      </c>
      <c r="F146" s="1">
        <v>0</v>
      </c>
      <c r="G146" s="1">
        <f>E146-F146</f>
        <v>94275</v>
      </c>
      <c r="H146" s="1">
        <f>ROUND(G146*18%,0)</f>
        <v>16970</v>
      </c>
      <c r="I146" s="1">
        <f t="shared" si="46"/>
        <v>111245</v>
      </c>
      <c r="J146" s="4">
        <f>ROUND(G146*$J$6,)</f>
        <v>1886</v>
      </c>
      <c r="K146" s="1">
        <f>ROUND(G146*5%,)</f>
        <v>4714</v>
      </c>
      <c r="L146" s="1">
        <f>H146</f>
        <v>16970</v>
      </c>
      <c r="M146" s="1">
        <v>0</v>
      </c>
      <c r="N146" s="10">
        <f>ROUND(I146-SUM(J146:M146),0)</f>
        <v>87675</v>
      </c>
      <c r="O146" s="6"/>
      <c r="P146" s="1" t="s">
        <v>249</v>
      </c>
      <c r="Q146" s="1">
        <f>N145</f>
        <v>50532</v>
      </c>
      <c r="R146" s="1">
        <v>0</v>
      </c>
      <c r="S146" s="1">
        <v>0</v>
      </c>
      <c r="T146" s="1">
        <v>0</v>
      </c>
      <c r="U146" s="1">
        <v>50532</v>
      </c>
      <c r="V146" s="38" t="s">
        <v>250</v>
      </c>
    </row>
    <row r="147" spans="1:22" ht="14.4" x14ac:dyDescent="0.3">
      <c r="A147" s="37">
        <v>51799</v>
      </c>
      <c r="B147" s="7" t="s">
        <v>10</v>
      </c>
      <c r="C147" s="8">
        <v>44888</v>
      </c>
      <c r="D147" s="9">
        <v>104</v>
      </c>
      <c r="E147" s="1">
        <v>16969</v>
      </c>
      <c r="F147" s="1">
        <v>0</v>
      </c>
      <c r="G147" s="1"/>
      <c r="H147" s="1"/>
      <c r="I147" s="1"/>
      <c r="J147" s="1">
        <v>0</v>
      </c>
      <c r="K147" s="1">
        <v>0</v>
      </c>
      <c r="L147" s="1">
        <v>0</v>
      </c>
      <c r="M147" s="1"/>
      <c r="N147" s="10">
        <f>E147</f>
        <v>16969</v>
      </c>
      <c r="O147" s="6"/>
      <c r="P147" s="1" t="s">
        <v>251</v>
      </c>
      <c r="Q147" s="1">
        <v>87675</v>
      </c>
      <c r="R147" s="1">
        <v>0</v>
      </c>
      <c r="S147" s="1">
        <f>ROUND(Q147*S142,)</f>
        <v>0</v>
      </c>
      <c r="T147" s="1">
        <v>0</v>
      </c>
      <c r="U147" s="1">
        <v>87675</v>
      </c>
      <c r="V147" s="38" t="s">
        <v>252</v>
      </c>
    </row>
    <row r="148" spans="1:22" ht="14.4" x14ac:dyDescent="0.3">
      <c r="A148" s="37">
        <v>51799</v>
      </c>
      <c r="B148" s="1"/>
      <c r="C148" s="1"/>
      <c r="D148" s="5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6"/>
      <c r="P148" s="1" t="s">
        <v>253</v>
      </c>
      <c r="Q148" s="1">
        <v>16969</v>
      </c>
      <c r="R148" s="1">
        <v>0</v>
      </c>
      <c r="S148" s="1"/>
      <c r="T148" s="1"/>
      <c r="U148" s="1">
        <v>16969</v>
      </c>
      <c r="V148" s="38" t="s">
        <v>254</v>
      </c>
    </row>
    <row r="149" spans="1:22" ht="14.4" x14ac:dyDescent="0.3">
      <c r="A149" s="37">
        <v>51799</v>
      </c>
      <c r="B149" s="1"/>
      <c r="C149" s="1"/>
      <c r="D149" s="5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6"/>
      <c r="P149" s="1"/>
      <c r="Q149" s="1"/>
      <c r="R149" s="1"/>
      <c r="S149" s="1"/>
      <c r="T149" s="1"/>
      <c r="U149" s="1"/>
      <c r="V149" s="38"/>
    </row>
    <row r="150" spans="1:22" ht="14.4" x14ac:dyDescent="0.3">
      <c r="A150" s="37">
        <v>51799</v>
      </c>
      <c r="B150" s="1"/>
      <c r="C150" s="1"/>
      <c r="D150" s="5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6"/>
      <c r="P150" s="1"/>
      <c r="Q150" s="1"/>
      <c r="R150" s="1"/>
      <c r="S150" s="1"/>
      <c r="T150" s="1"/>
      <c r="U150" s="1"/>
      <c r="V150" s="38"/>
    </row>
    <row r="151" spans="1:22" ht="15.6" x14ac:dyDescent="0.3">
      <c r="A151" s="37">
        <v>51800</v>
      </c>
      <c r="B151" s="7" t="s">
        <v>255</v>
      </c>
      <c r="C151" s="8">
        <v>44780</v>
      </c>
      <c r="D151" s="9">
        <v>66</v>
      </c>
      <c r="E151" s="1">
        <v>290445</v>
      </c>
      <c r="F151" s="1"/>
      <c r="G151" s="1">
        <f>E151-F151</f>
        <v>290445</v>
      </c>
      <c r="H151" s="1">
        <f>ROUND(G151*18%,0)</f>
        <v>52280</v>
      </c>
      <c r="I151" s="1">
        <f t="shared" ref="I151:I154" si="47">G151+H151</f>
        <v>342725</v>
      </c>
      <c r="J151" s="4">
        <f>ROUND(G151*$J$6,)</f>
        <v>5809</v>
      </c>
      <c r="K151" s="1">
        <f>ROUND(G151*5%,0)</f>
        <v>14522</v>
      </c>
      <c r="L151" s="1">
        <f>H151</f>
        <v>52280</v>
      </c>
      <c r="M151" s="1"/>
      <c r="N151" s="10">
        <f>G151-J151-K151</f>
        <v>270114</v>
      </c>
      <c r="O151" s="5">
        <v>51800</v>
      </c>
      <c r="P151" s="1" t="s">
        <v>257</v>
      </c>
      <c r="Q151" s="1">
        <v>150000</v>
      </c>
      <c r="R151" s="1">
        <f>Q151*R6</f>
        <v>3000</v>
      </c>
      <c r="S151" s="1">
        <v>0</v>
      </c>
      <c r="T151" s="1"/>
      <c r="U151" s="1">
        <f>Q151-R151</f>
        <v>147000</v>
      </c>
      <c r="V151" s="39" t="s">
        <v>258</v>
      </c>
    </row>
    <row r="152" spans="1:22" ht="14.4" x14ac:dyDescent="0.3">
      <c r="A152" s="37">
        <v>51800</v>
      </c>
      <c r="B152" s="7" t="s">
        <v>10</v>
      </c>
      <c r="C152" s="8">
        <v>44823</v>
      </c>
      <c r="D152" s="9">
        <v>66</v>
      </c>
      <c r="E152" s="1">
        <f>L151</f>
        <v>52280</v>
      </c>
      <c r="F152" s="1">
        <v>0</v>
      </c>
      <c r="G152" s="1"/>
      <c r="H152" s="1"/>
      <c r="I152" s="1"/>
      <c r="J152" s="1">
        <v>0</v>
      </c>
      <c r="K152" s="1">
        <v>0</v>
      </c>
      <c r="L152" s="1">
        <v>0</v>
      </c>
      <c r="M152" s="1"/>
      <c r="N152" s="10">
        <f>E152</f>
        <v>52280</v>
      </c>
      <c r="O152" s="6"/>
      <c r="P152" s="1" t="s">
        <v>259</v>
      </c>
      <c r="Q152" s="1">
        <v>123114</v>
      </c>
      <c r="R152" s="1">
        <v>0</v>
      </c>
      <c r="S152" s="1">
        <f>S148*Q152</f>
        <v>0</v>
      </c>
      <c r="T152" s="1">
        <v>0</v>
      </c>
      <c r="U152" s="1">
        <v>123114</v>
      </c>
      <c r="V152" s="38" t="s">
        <v>260</v>
      </c>
    </row>
    <row r="153" spans="1:22" ht="26.4" x14ac:dyDescent="0.3">
      <c r="A153" s="37">
        <v>51800</v>
      </c>
      <c r="B153" s="7" t="s">
        <v>256</v>
      </c>
      <c r="C153" s="8">
        <v>44840</v>
      </c>
      <c r="D153" s="9">
        <v>105</v>
      </c>
      <c r="E153" s="1">
        <v>94275</v>
      </c>
      <c r="F153" s="1">
        <v>0</v>
      </c>
      <c r="G153" s="1">
        <f>E153-F153</f>
        <v>94275</v>
      </c>
      <c r="H153" s="1">
        <f>ROUND(G153*18%,0)</f>
        <v>16970</v>
      </c>
      <c r="I153" s="1">
        <f t="shared" si="47"/>
        <v>111245</v>
      </c>
      <c r="J153" s="4">
        <f>ROUND(G153*$J$6,)</f>
        <v>1886</v>
      </c>
      <c r="K153" s="1">
        <f>G153*5%</f>
        <v>4713.75</v>
      </c>
      <c r="L153" s="1">
        <f>G153*L6</f>
        <v>16969.5</v>
      </c>
      <c r="M153" s="1"/>
      <c r="N153" s="10">
        <f>G153-J153-K153</f>
        <v>87675.25</v>
      </c>
      <c r="O153" s="6"/>
      <c r="P153" s="1" t="s">
        <v>261</v>
      </c>
      <c r="Q153" s="1">
        <v>52280</v>
      </c>
      <c r="R153" s="1">
        <v>0</v>
      </c>
      <c r="S153" s="1">
        <v>0</v>
      </c>
      <c r="T153" s="1">
        <v>0</v>
      </c>
      <c r="U153" s="1">
        <v>52280</v>
      </c>
      <c r="V153" s="38" t="s">
        <v>262</v>
      </c>
    </row>
    <row r="154" spans="1:22" ht="14.4" x14ac:dyDescent="0.3">
      <c r="A154" s="37">
        <v>51800</v>
      </c>
      <c r="B154" s="7" t="s">
        <v>10</v>
      </c>
      <c r="C154" s="8">
        <v>44888</v>
      </c>
      <c r="D154" s="9">
        <v>105</v>
      </c>
      <c r="E154" s="1">
        <f>L153</f>
        <v>16969.5</v>
      </c>
      <c r="F154" s="1">
        <v>0</v>
      </c>
      <c r="G154" s="1"/>
      <c r="H154" s="1">
        <v>0</v>
      </c>
      <c r="I154" s="1">
        <f t="shared" si="47"/>
        <v>0</v>
      </c>
      <c r="J154" s="1">
        <v>0</v>
      </c>
      <c r="K154" s="1">
        <v>0</v>
      </c>
      <c r="L154" s="1">
        <v>0</v>
      </c>
      <c r="M154" s="1"/>
      <c r="N154" s="10">
        <f>E154</f>
        <v>16969.5</v>
      </c>
      <c r="O154" s="6"/>
      <c r="P154" s="1" t="s">
        <v>263</v>
      </c>
      <c r="Q154" s="1">
        <v>87675</v>
      </c>
      <c r="R154" s="1">
        <v>0</v>
      </c>
      <c r="S154" s="1">
        <v>0</v>
      </c>
      <c r="T154" s="1">
        <v>0</v>
      </c>
      <c r="U154" s="1">
        <v>87675</v>
      </c>
      <c r="V154" s="38" t="s">
        <v>264</v>
      </c>
    </row>
    <row r="155" spans="1:22" ht="14.4" x14ac:dyDescent="0.3">
      <c r="A155" s="37">
        <v>51800</v>
      </c>
      <c r="B155" s="1"/>
      <c r="C155" s="1"/>
      <c r="D155" s="5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6"/>
      <c r="P155" s="1" t="s">
        <v>265</v>
      </c>
      <c r="Q155" s="1">
        <v>16970</v>
      </c>
      <c r="R155" s="1"/>
      <c r="S155" s="1"/>
      <c r="T155" s="1"/>
      <c r="U155" s="1">
        <v>16970</v>
      </c>
      <c r="V155" s="38" t="s">
        <v>266</v>
      </c>
    </row>
    <row r="156" spans="1:22" ht="14.4" x14ac:dyDescent="0.3">
      <c r="A156" s="37">
        <v>51800</v>
      </c>
      <c r="B156" s="1"/>
      <c r="C156" s="1"/>
      <c r="D156" s="5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6"/>
      <c r="P156" s="1"/>
      <c r="Q156" s="1"/>
      <c r="R156" s="1"/>
      <c r="S156" s="1"/>
      <c r="T156" s="1"/>
      <c r="U156" s="1"/>
      <c r="V156" s="43"/>
    </row>
    <row r="157" spans="1:22" ht="15.6" x14ac:dyDescent="0.3">
      <c r="A157" s="40">
        <v>57967</v>
      </c>
      <c r="B157" s="7" t="s">
        <v>267</v>
      </c>
      <c r="C157" s="23">
        <v>45098</v>
      </c>
      <c r="D157" s="52">
        <v>51</v>
      </c>
      <c r="E157" s="3">
        <v>291805.5</v>
      </c>
      <c r="F157" s="4">
        <v>0</v>
      </c>
      <c r="G157" s="4">
        <f>ROUND(E157-F157,0)</f>
        <v>291806</v>
      </c>
      <c r="H157" s="4">
        <f>ROUND(G157*H156,0)</f>
        <v>0</v>
      </c>
      <c r="I157" s="4">
        <f>G157+H157</f>
        <v>291806</v>
      </c>
      <c r="J157" s="4">
        <f>ROUND(G157*$J$6,)</f>
        <v>5836</v>
      </c>
      <c r="K157" s="4">
        <f>ROUND(G157*$K$6,)</f>
        <v>14590</v>
      </c>
      <c r="L157" s="4">
        <f>H157</f>
        <v>0</v>
      </c>
      <c r="M157" s="4">
        <f>(150.17-145)*150</f>
        <v>775.49999999999818</v>
      </c>
      <c r="N157" s="24">
        <f>ROUND(I157-SUM(J157:M157),0)</f>
        <v>270605</v>
      </c>
      <c r="O157" s="5">
        <v>57967</v>
      </c>
      <c r="P157" s="1" t="s">
        <v>299</v>
      </c>
      <c r="Q157" s="1">
        <v>270604</v>
      </c>
      <c r="R157" s="1"/>
      <c r="S157" s="1"/>
      <c r="T157" s="1"/>
      <c r="U157" s="1">
        <v>270604</v>
      </c>
      <c r="V157" s="43" t="s">
        <v>298</v>
      </c>
    </row>
    <row r="158" spans="1:22" ht="15.6" x14ac:dyDescent="0.3">
      <c r="A158" s="40">
        <v>57967</v>
      </c>
      <c r="B158" s="7" t="s">
        <v>10</v>
      </c>
      <c r="C158" s="23">
        <v>45098</v>
      </c>
      <c r="D158" s="52">
        <v>51</v>
      </c>
      <c r="E158" s="1">
        <v>52525</v>
      </c>
      <c r="F158" s="1"/>
      <c r="G158" s="1"/>
      <c r="H158" s="1"/>
      <c r="I158" s="1"/>
      <c r="J158" s="1"/>
      <c r="K158" s="1"/>
      <c r="L158" s="1"/>
      <c r="M158" s="1"/>
      <c r="N158" s="24">
        <f>E158</f>
        <v>52525</v>
      </c>
      <c r="O158" s="6"/>
      <c r="P158" s="1" t="s">
        <v>301</v>
      </c>
      <c r="Q158" s="1">
        <v>52525</v>
      </c>
      <c r="R158" s="1"/>
      <c r="S158" s="1"/>
      <c r="T158" s="1"/>
      <c r="U158" s="1">
        <v>52525</v>
      </c>
      <c r="V158" s="43" t="s">
        <v>300</v>
      </c>
    </row>
    <row r="159" spans="1:22" ht="14.4" x14ac:dyDescent="0.3">
      <c r="B159" s="1"/>
      <c r="C159" s="1"/>
      <c r="D159" s="5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6"/>
      <c r="P159" s="1"/>
      <c r="Q159" s="1"/>
      <c r="R159" s="1"/>
      <c r="S159" s="1"/>
      <c r="T159" s="1"/>
      <c r="U159" s="1"/>
      <c r="V159" s="43"/>
    </row>
    <row r="160" spans="1:22" ht="14.4" x14ac:dyDescent="0.3">
      <c r="B160" s="1"/>
      <c r="C160" s="1"/>
      <c r="D160" s="5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6"/>
      <c r="P160" s="1"/>
      <c r="Q160" s="1"/>
      <c r="R160" s="1"/>
      <c r="S160" s="1"/>
      <c r="T160" s="1"/>
      <c r="U160" s="1"/>
      <c r="V160" s="43"/>
    </row>
    <row r="161" spans="1:22" ht="15.6" x14ac:dyDescent="0.3">
      <c r="A161" s="40">
        <v>57964</v>
      </c>
      <c r="B161" s="7" t="s">
        <v>268</v>
      </c>
      <c r="C161" s="8">
        <v>45098</v>
      </c>
      <c r="D161" s="51">
        <v>52</v>
      </c>
      <c r="E161" s="1">
        <v>275980</v>
      </c>
      <c r="F161" s="1">
        <v>0</v>
      </c>
      <c r="G161" s="1">
        <f>ROUND(E161-F161,0)</f>
        <v>275980</v>
      </c>
      <c r="H161" s="1">
        <f>ROUND(G161*H160,0)</f>
        <v>0</v>
      </c>
      <c r="I161" s="1">
        <f>G161+H161</f>
        <v>275980</v>
      </c>
      <c r="J161" s="1">
        <f>ROUND(G161*$J$6,)</f>
        <v>5520</v>
      </c>
      <c r="K161" s="1">
        <f>ROUND(G161*$K$6,)</f>
        <v>13799</v>
      </c>
      <c r="L161" s="1">
        <f>H161</f>
        <v>0</v>
      </c>
      <c r="M161" s="1">
        <v>0</v>
      </c>
      <c r="N161" s="1">
        <f>ROUND(I161-SUM(J161:M161),0)</f>
        <v>256661</v>
      </c>
      <c r="O161" s="5">
        <v>57964</v>
      </c>
      <c r="P161" s="1" t="s">
        <v>296</v>
      </c>
      <c r="Q161" s="1">
        <v>256661</v>
      </c>
      <c r="R161" s="1"/>
      <c r="S161" s="1"/>
      <c r="T161" s="1"/>
      <c r="U161" s="1">
        <f>ROUND(Q161-R161-S161-T161,0)</f>
        <v>256661</v>
      </c>
      <c r="V161" s="43" t="s">
        <v>294</v>
      </c>
    </row>
    <row r="162" spans="1:22" ht="15.6" x14ac:dyDescent="0.3">
      <c r="A162" s="40">
        <v>57964</v>
      </c>
      <c r="B162" s="7" t="s">
        <v>271</v>
      </c>
      <c r="C162" s="8">
        <v>45134</v>
      </c>
      <c r="D162" s="51">
        <v>52</v>
      </c>
      <c r="E162" s="1">
        <v>49676</v>
      </c>
      <c r="F162" s="1"/>
      <c r="G162" s="1"/>
      <c r="H162" s="1"/>
      <c r="I162" s="1"/>
      <c r="J162" s="1"/>
      <c r="K162" s="1"/>
      <c r="L162" s="1"/>
      <c r="M162" s="1"/>
      <c r="N162" s="1">
        <f>E162</f>
        <v>49676</v>
      </c>
      <c r="O162" s="6"/>
      <c r="P162" s="1" t="s">
        <v>297</v>
      </c>
      <c r="Q162" s="1">
        <v>49676</v>
      </c>
      <c r="R162" s="1"/>
      <c r="S162" s="1"/>
      <c r="T162" s="1"/>
      <c r="U162" s="1">
        <f t="shared" ref="U162" si="48">ROUND(Q162-R162-S162-T162,0)</f>
        <v>49676</v>
      </c>
      <c r="V162" s="43" t="s">
        <v>295</v>
      </c>
    </row>
    <row r="163" spans="1:22" ht="15.6" x14ac:dyDescent="0.3">
      <c r="A163" s="40">
        <v>57964</v>
      </c>
      <c r="B163" s="1"/>
      <c r="C163" s="1"/>
      <c r="D163" s="5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6"/>
      <c r="P163" s="1"/>
      <c r="Q163" s="1"/>
      <c r="R163" s="1"/>
      <c r="S163" s="1"/>
      <c r="T163" s="1"/>
      <c r="U163" s="1"/>
      <c r="V163" s="43"/>
    </row>
    <row r="164" spans="1:22" ht="14.4" x14ac:dyDescent="0.3">
      <c r="B164" s="1"/>
      <c r="C164" s="1"/>
      <c r="D164" s="5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6"/>
      <c r="P164" s="1"/>
      <c r="Q164" s="1"/>
      <c r="R164" s="1"/>
      <c r="S164" s="1"/>
      <c r="T164" s="1"/>
      <c r="U164" s="1"/>
      <c r="V164" s="43"/>
    </row>
    <row r="165" spans="1:22" ht="14.4" x14ac:dyDescent="0.3">
      <c r="A165" s="30">
        <v>56870</v>
      </c>
      <c r="B165" s="7" t="s">
        <v>270</v>
      </c>
      <c r="C165" s="8">
        <v>45055</v>
      </c>
      <c r="D165" s="51">
        <v>21</v>
      </c>
      <c r="E165" s="1">
        <v>280615</v>
      </c>
      <c r="F165" s="1">
        <v>0</v>
      </c>
      <c r="G165" s="1">
        <f>ROUND(E165-F165,0)</f>
        <v>280615</v>
      </c>
      <c r="H165" s="1">
        <f>ROUND(G165*18%,0)</f>
        <v>50511</v>
      </c>
      <c r="I165" s="1">
        <f>G165+H165</f>
        <v>331126</v>
      </c>
      <c r="J165" s="1">
        <f>ROUND(G165*$J$6,)</f>
        <v>5612</v>
      </c>
      <c r="K165" s="1">
        <f>ROUND(G165*$K$6,)</f>
        <v>14031</v>
      </c>
      <c r="L165" s="1">
        <f>H165</f>
        <v>50511</v>
      </c>
      <c r="M165" s="1">
        <f>(143.9-140)*150</f>
        <v>585.00000000000091</v>
      </c>
      <c r="N165" s="1">
        <f>ROUND(I165-SUM(J165:M165),0)</f>
        <v>260387</v>
      </c>
      <c r="O165" s="5">
        <f>A165</f>
        <v>56870</v>
      </c>
      <c r="P165" s="1" t="s">
        <v>272</v>
      </c>
      <c r="Q165" s="1">
        <v>260388</v>
      </c>
      <c r="R165" s="1">
        <v>0</v>
      </c>
      <c r="S165" s="1">
        <v>0</v>
      </c>
      <c r="T165" s="1">
        <v>0</v>
      </c>
      <c r="U165" s="1">
        <f>ROUND(Q165-R165-S165-T165,0)</f>
        <v>260388</v>
      </c>
      <c r="V165" s="43" t="s">
        <v>273</v>
      </c>
    </row>
    <row r="166" spans="1:22" ht="14.4" x14ac:dyDescent="0.3">
      <c r="A166" s="30">
        <v>56870</v>
      </c>
      <c r="B166" s="7" t="s">
        <v>270</v>
      </c>
      <c r="C166" s="8">
        <v>45095</v>
      </c>
      <c r="D166" s="51">
        <v>47</v>
      </c>
      <c r="E166" s="1">
        <v>94275</v>
      </c>
      <c r="F166" s="1">
        <v>0</v>
      </c>
      <c r="G166" s="1">
        <f>ROUND(E166-F166,0)</f>
        <v>94275</v>
      </c>
      <c r="H166" s="1">
        <f>ROUND(G166*18%,0)</f>
        <v>16970</v>
      </c>
      <c r="I166" s="1">
        <f>G166+H166</f>
        <v>111245</v>
      </c>
      <c r="J166" s="1">
        <f>ROUND(G166*$J$6,)</f>
        <v>1886</v>
      </c>
      <c r="K166" s="1">
        <f>ROUND(G166*$K$6,)</f>
        <v>4714</v>
      </c>
      <c r="L166" s="1">
        <f>H166</f>
        <v>16970</v>
      </c>
      <c r="M166" s="1">
        <v>0</v>
      </c>
      <c r="N166" s="1">
        <f>ROUND(I166-SUM(J166:M166),0)</f>
        <v>87675</v>
      </c>
      <c r="O166" s="6"/>
      <c r="P166" s="1" t="s">
        <v>285</v>
      </c>
      <c r="Q166" s="1">
        <v>50511</v>
      </c>
      <c r="R166" s="1"/>
      <c r="S166" s="1"/>
      <c r="T166" s="1"/>
      <c r="U166" s="1">
        <f t="shared" ref="U166:U168" si="49">ROUND(Q166-R166-S166-T166,0)</f>
        <v>50511</v>
      </c>
      <c r="V166" s="43" t="s">
        <v>274</v>
      </c>
    </row>
    <row r="167" spans="1:22" ht="14.4" x14ac:dyDescent="0.3">
      <c r="A167" s="30">
        <v>56870</v>
      </c>
      <c r="B167" s="7" t="s">
        <v>271</v>
      </c>
      <c r="C167" s="8">
        <v>45055</v>
      </c>
      <c r="D167" s="9">
        <v>21</v>
      </c>
      <c r="E167" s="1">
        <v>50511</v>
      </c>
      <c r="F167" s="1">
        <v>0</v>
      </c>
      <c r="G167" s="1">
        <v>0</v>
      </c>
      <c r="H167" s="1">
        <f>ROUND(G167*H155,0)</f>
        <v>0</v>
      </c>
      <c r="I167" s="1">
        <f>G167+H167</f>
        <v>0</v>
      </c>
      <c r="J167" s="1">
        <f>ROUND(G167*$J$6,)</f>
        <v>0</v>
      </c>
      <c r="K167" s="1">
        <f>ROUND(G167*$K$6,)</f>
        <v>0</v>
      </c>
      <c r="L167" s="1">
        <f>H167</f>
        <v>0</v>
      </c>
      <c r="M167" s="1"/>
      <c r="N167" s="1">
        <f>E167</f>
        <v>50511</v>
      </c>
      <c r="O167" s="6"/>
      <c r="P167" s="1" t="s">
        <v>291</v>
      </c>
      <c r="Q167" s="1">
        <v>87675</v>
      </c>
      <c r="R167" s="1"/>
      <c r="S167" s="1"/>
      <c r="T167" s="1"/>
      <c r="U167" s="1">
        <f t="shared" si="49"/>
        <v>87675</v>
      </c>
      <c r="V167" s="43" t="s">
        <v>290</v>
      </c>
    </row>
    <row r="168" spans="1:22" ht="14.4" x14ac:dyDescent="0.3">
      <c r="A168" s="30">
        <v>56870</v>
      </c>
      <c r="B168" s="7" t="s">
        <v>271</v>
      </c>
      <c r="C168" s="8">
        <v>45095</v>
      </c>
      <c r="D168" s="9">
        <v>47</v>
      </c>
      <c r="E168" s="1">
        <v>16970</v>
      </c>
      <c r="F168" s="1"/>
      <c r="G168" s="1"/>
      <c r="H168" s="1"/>
      <c r="I168" s="1"/>
      <c r="J168" s="1"/>
      <c r="K168" s="1"/>
      <c r="L168" s="1"/>
      <c r="M168" s="1"/>
      <c r="N168" s="1">
        <f>E168</f>
        <v>16970</v>
      </c>
      <c r="O168" s="6"/>
      <c r="P168" s="1" t="s">
        <v>293</v>
      </c>
      <c r="Q168" s="1">
        <v>16970</v>
      </c>
      <c r="R168" s="1"/>
      <c r="S168" s="1"/>
      <c r="T168" s="1"/>
      <c r="U168" s="1">
        <f t="shared" si="49"/>
        <v>16970</v>
      </c>
      <c r="V168" s="43" t="s">
        <v>292</v>
      </c>
    </row>
    <row r="169" spans="1:22" ht="14.4" x14ac:dyDescent="0.3">
      <c r="A169" s="30">
        <v>56870</v>
      </c>
      <c r="B169" s="1"/>
      <c r="C169" s="1"/>
      <c r="D169" s="5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6"/>
      <c r="P169" s="1"/>
      <c r="Q169" s="1"/>
      <c r="R169" s="1"/>
      <c r="S169" s="1"/>
      <c r="T169" s="1"/>
      <c r="U169" s="1"/>
      <c r="V169" s="27"/>
    </row>
    <row r="170" spans="1:22" ht="14.4" x14ac:dyDescent="0.3">
      <c r="A170" s="30">
        <v>56227</v>
      </c>
      <c r="B170" s="7" t="s">
        <v>275</v>
      </c>
      <c r="C170" s="8">
        <v>45055</v>
      </c>
      <c r="D170" s="51">
        <v>24</v>
      </c>
      <c r="E170" s="1">
        <v>281380</v>
      </c>
      <c r="F170" s="1">
        <v>0</v>
      </c>
      <c r="G170" s="1">
        <f>ROUND(E170-F170,0)</f>
        <v>281380</v>
      </c>
      <c r="H170" s="1">
        <f>ROUND(G170*18%,0)</f>
        <v>50648</v>
      </c>
      <c r="I170" s="1">
        <f>G170+H170</f>
        <v>332028</v>
      </c>
      <c r="J170" s="1">
        <f>ROUND(G170*$J$6,)</f>
        <v>5628</v>
      </c>
      <c r="K170" s="1">
        <f>ROUND(G170*$K$6,)</f>
        <v>14069</v>
      </c>
      <c r="L170" s="1">
        <f>H170</f>
        <v>50648</v>
      </c>
      <c r="M170" s="1">
        <f>9*150</f>
        <v>1350</v>
      </c>
      <c r="N170" s="1">
        <f>ROUND(I170-SUM(J170:M170),0)</f>
        <v>260333</v>
      </c>
      <c r="O170" s="5">
        <f>A170</f>
        <v>56227</v>
      </c>
      <c r="P170" s="1" t="s">
        <v>276</v>
      </c>
      <c r="Q170" s="1">
        <v>260333</v>
      </c>
      <c r="R170" s="1">
        <v>0</v>
      </c>
      <c r="S170" s="1">
        <v>0</v>
      </c>
      <c r="T170" s="1">
        <v>0</v>
      </c>
      <c r="U170" s="1">
        <f>ROUND(Q170-R170-S170-T170,0)</f>
        <v>260333</v>
      </c>
      <c r="V170" s="43" t="s">
        <v>277</v>
      </c>
    </row>
    <row r="171" spans="1:22" ht="14.4" x14ac:dyDescent="0.3">
      <c r="A171" s="30">
        <v>56227</v>
      </c>
      <c r="B171" s="7" t="s">
        <v>10</v>
      </c>
      <c r="C171" s="8">
        <v>45097</v>
      </c>
      <c r="D171" s="51">
        <v>24</v>
      </c>
      <c r="E171" s="1">
        <v>50648</v>
      </c>
      <c r="F171" s="1"/>
      <c r="G171" s="1"/>
      <c r="H171" s="1"/>
      <c r="I171" s="1"/>
      <c r="J171" s="1"/>
      <c r="K171" s="1"/>
      <c r="L171" s="1"/>
      <c r="M171" s="1"/>
      <c r="N171" s="1">
        <v>50648</v>
      </c>
      <c r="O171" s="6"/>
      <c r="P171" s="1" t="s">
        <v>278</v>
      </c>
      <c r="Q171" s="1">
        <v>50648</v>
      </c>
      <c r="R171" s="1"/>
      <c r="S171" s="1"/>
      <c r="T171" s="1"/>
      <c r="U171" s="1">
        <f>Q171</f>
        <v>50648</v>
      </c>
      <c r="V171" s="43" t="s">
        <v>279</v>
      </c>
    </row>
    <row r="172" spans="1:22" ht="14.4" x14ac:dyDescent="0.3">
      <c r="A172" s="30">
        <v>56227</v>
      </c>
      <c r="B172" s="7" t="s">
        <v>275</v>
      </c>
      <c r="C172" s="8">
        <v>45095</v>
      </c>
      <c r="D172" s="51">
        <v>48</v>
      </c>
      <c r="E172" s="1">
        <v>94275</v>
      </c>
      <c r="F172" s="1">
        <v>0</v>
      </c>
      <c r="G172" s="1">
        <f>ROUND(E172-F172,0)</f>
        <v>94275</v>
      </c>
      <c r="H172" s="1">
        <f>ROUND(G172*18%,0)</f>
        <v>16970</v>
      </c>
      <c r="I172" s="1">
        <f>G172+H172</f>
        <v>111245</v>
      </c>
      <c r="J172" s="1">
        <f>ROUND(G172*$J$6,)</f>
        <v>1886</v>
      </c>
      <c r="K172" s="1">
        <f>ROUND(G172*$K$6,)</f>
        <v>4714</v>
      </c>
      <c r="L172" s="1">
        <f>H172</f>
        <v>16970</v>
      </c>
      <c r="M172" s="1">
        <v>0</v>
      </c>
      <c r="N172" s="1">
        <f>ROUND(I172-SUM(J172:M172),0)</f>
        <v>87675</v>
      </c>
      <c r="O172" s="6"/>
      <c r="P172" s="1" t="s">
        <v>287</v>
      </c>
      <c r="Q172" s="1">
        <v>87675</v>
      </c>
      <c r="R172" s="1"/>
      <c r="S172" s="1"/>
      <c r="T172" s="1"/>
      <c r="U172" s="1">
        <f>Q172</f>
        <v>87675</v>
      </c>
      <c r="V172" s="43" t="s">
        <v>286</v>
      </c>
    </row>
    <row r="173" spans="1:22" ht="14.4" x14ac:dyDescent="0.3">
      <c r="A173" s="30">
        <v>56227</v>
      </c>
      <c r="B173" s="7" t="s">
        <v>10</v>
      </c>
      <c r="C173" s="8">
        <v>45134</v>
      </c>
      <c r="D173" s="50">
        <v>48</v>
      </c>
      <c r="E173" s="1">
        <v>16970</v>
      </c>
      <c r="F173" s="1"/>
      <c r="G173" s="1"/>
      <c r="H173" s="1"/>
      <c r="I173" s="1"/>
      <c r="J173" s="1"/>
      <c r="K173" s="1"/>
      <c r="L173" s="1"/>
      <c r="M173" s="1"/>
      <c r="N173" s="1">
        <f>E173</f>
        <v>16970</v>
      </c>
      <c r="O173" s="6"/>
      <c r="P173" s="1" t="s">
        <v>289</v>
      </c>
      <c r="Q173" s="1">
        <v>16970</v>
      </c>
      <c r="R173" s="1"/>
      <c r="S173" s="1"/>
      <c r="T173" s="1"/>
      <c r="U173" s="1">
        <f>Q173</f>
        <v>16970</v>
      </c>
      <c r="V173" s="43" t="s">
        <v>288</v>
      </c>
    </row>
    <row r="174" spans="1:22" ht="14.4" x14ac:dyDescent="0.3">
      <c r="A174" s="30">
        <v>56227</v>
      </c>
      <c r="B174" s="1"/>
      <c r="C174" s="1"/>
      <c r="D174" s="5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"/>
      <c r="P174" s="1"/>
      <c r="Q174" s="1"/>
      <c r="R174" s="1"/>
      <c r="S174" s="1"/>
      <c r="T174" s="1"/>
      <c r="U174" s="1"/>
      <c r="V174" s="27"/>
    </row>
    <row r="175" spans="1:22" ht="15.6" x14ac:dyDescent="0.3">
      <c r="A175" s="37">
        <v>58200</v>
      </c>
      <c r="B175" s="7" t="s">
        <v>280</v>
      </c>
      <c r="C175" s="8">
        <v>45107</v>
      </c>
      <c r="D175" s="52">
        <v>59</v>
      </c>
      <c r="E175" s="3">
        <v>279874</v>
      </c>
      <c r="F175" s="4">
        <v>0</v>
      </c>
      <c r="G175" s="4">
        <f>ROUND(E175-F175,0)</f>
        <v>279874</v>
      </c>
      <c r="H175" s="4">
        <f>ROUND(G175*18%,0)</f>
        <v>50377</v>
      </c>
      <c r="I175" s="4">
        <f>G175+H175</f>
        <v>330251</v>
      </c>
      <c r="J175" s="4">
        <f>ROUND(G175*$J$6,)</f>
        <v>5597</v>
      </c>
      <c r="K175" s="4">
        <f>ROUND(G175*$K$6,)</f>
        <v>13994</v>
      </c>
      <c r="L175" s="4">
        <f>H175</f>
        <v>50377</v>
      </c>
      <c r="M175" s="4"/>
      <c r="N175" s="4">
        <f>ROUND(I175-SUM(J175:M175),0)</f>
        <v>260283</v>
      </c>
      <c r="O175" s="5">
        <f>A175</f>
        <v>58200</v>
      </c>
      <c r="P175" s="1" t="s">
        <v>283</v>
      </c>
      <c r="Q175" s="1">
        <v>260283</v>
      </c>
      <c r="R175" s="1"/>
      <c r="S175" s="1"/>
      <c r="T175" s="1"/>
      <c r="U175" s="1">
        <v>260283</v>
      </c>
      <c r="V175" s="43" t="s">
        <v>281</v>
      </c>
    </row>
    <row r="176" spans="1:22" ht="15.6" x14ac:dyDescent="0.3">
      <c r="A176" s="37">
        <v>58200</v>
      </c>
      <c r="B176" s="2" t="s">
        <v>271</v>
      </c>
      <c r="C176" s="8">
        <v>45137</v>
      </c>
      <c r="D176" s="52">
        <v>59</v>
      </c>
      <c r="E176" s="4">
        <v>50377</v>
      </c>
      <c r="F176" s="1"/>
      <c r="G176" s="1"/>
      <c r="H176" s="1"/>
      <c r="I176" s="1"/>
      <c r="J176" s="1"/>
      <c r="K176" s="1"/>
      <c r="L176" s="1"/>
      <c r="M176" s="1"/>
      <c r="N176" s="1">
        <f>E176</f>
        <v>50377</v>
      </c>
      <c r="O176" s="6"/>
      <c r="P176" s="1" t="s">
        <v>284</v>
      </c>
      <c r="Q176" s="1">
        <v>50377</v>
      </c>
      <c r="R176" s="1"/>
      <c r="S176" s="1"/>
      <c r="T176" s="1"/>
      <c r="U176" s="1">
        <v>50377</v>
      </c>
      <c r="V176" s="43" t="s">
        <v>282</v>
      </c>
    </row>
    <row r="177" spans="1:22" ht="14.4" x14ac:dyDescent="0.3">
      <c r="B177" s="1"/>
      <c r="C177" s="1"/>
      <c r="D177" s="5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6"/>
      <c r="P177" s="1"/>
      <c r="Q177" s="1"/>
      <c r="R177" s="1"/>
      <c r="S177" s="1"/>
      <c r="T177" s="1"/>
      <c r="U177" s="1"/>
      <c r="V177" s="27"/>
    </row>
    <row r="178" spans="1:22" ht="14.4" x14ac:dyDescent="0.3">
      <c r="A178" s="37">
        <v>58456</v>
      </c>
      <c r="B178" s="7" t="s">
        <v>306</v>
      </c>
      <c r="C178" s="8">
        <v>45113</v>
      </c>
      <c r="D178" s="9">
        <v>67</v>
      </c>
      <c r="E178" s="1">
        <v>50000</v>
      </c>
      <c r="F178" s="1">
        <v>0</v>
      </c>
      <c r="G178" s="1">
        <f>E178-F178</f>
        <v>50000</v>
      </c>
      <c r="H178" s="1">
        <f>ROUND(G178*18%,0)</f>
        <v>9000</v>
      </c>
      <c r="I178" s="1">
        <f>G178+H178</f>
        <v>59000</v>
      </c>
      <c r="J178" s="1">
        <f>ROUND(G178*J177,0)</f>
        <v>0</v>
      </c>
      <c r="K178" s="1">
        <f>ROUND(G178*5%,0)</f>
        <v>2500</v>
      </c>
      <c r="L178" s="1">
        <f>H178</f>
        <v>9000</v>
      </c>
      <c r="M178" s="1">
        <v>0</v>
      </c>
      <c r="N178" s="1">
        <f>ROUND(I178-SUM(J178:M178),)</f>
        <v>47500</v>
      </c>
      <c r="O178" s="5">
        <v>58456</v>
      </c>
      <c r="P178" s="1" t="s">
        <v>307</v>
      </c>
      <c r="Q178" s="1">
        <v>46500</v>
      </c>
      <c r="R178" s="1">
        <v>0</v>
      </c>
      <c r="S178" s="1">
        <v>0</v>
      </c>
      <c r="T178" s="1"/>
      <c r="U178" s="1">
        <f>ROUND(Q178-SUM(R178:T178),)</f>
        <v>46500</v>
      </c>
      <c r="V178" s="44" t="s">
        <v>308</v>
      </c>
    </row>
    <row r="179" spans="1:22" ht="14.4" x14ac:dyDescent="0.3">
      <c r="A179" s="37">
        <v>58456</v>
      </c>
      <c r="B179" s="7" t="s">
        <v>305</v>
      </c>
      <c r="C179" s="8">
        <v>45161</v>
      </c>
      <c r="D179" s="9">
        <v>67</v>
      </c>
      <c r="E179" s="1">
        <v>9000</v>
      </c>
      <c r="F179" s="1">
        <v>0</v>
      </c>
      <c r="G179" s="1">
        <f>E179-F179</f>
        <v>9000</v>
      </c>
      <c r="H179" s="1">
        <v>0</v>
      </c>
      <c r="I179" s="1">
        <f>G179+H179</f>
        <v>9000</v>
      </c>
      <c r="J179" s="1">
        <v>0</v>
      </c>
      <c r="K179" s="1">
        <v>0</v>
      </c>
      <c r="L179" s="1">
        <v>0</v>
      </c>
      <c r="M179" s="1"/>
      <c r="N179" s="1">
        <f>I179-SUM(J179:L179)</f>
        <v>9000</v>
      </c>
      <c r="O179" s="6"/>
      <c r="P179" s="1"/>
      <c r="Q179" s="1">
        <v>0</v>
      </c>
      <c r="R179" s="1">
        <v>0</v>
      </c>
      <c r="S179" s="1">
        <f>ROUND(S177*Q179,)</f>
        <v>0</v>
      </c>
      <c r="T179" s="1"/>
      <c r="U179" s="1"/>
      <c r="V179" s="43"/>
    </row>
    <row r="180" spans="1:22" ht="14.4" x14ac:dyDescent="0.3">
      <c r="A180" s="37">
        <v>58456</v>
      </c>
      <c r="B180" s="7"/>
      <c r="C180" s="8"/>
      <c r="D180" s="9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"/>
      <c r="P180" s="1"/>
      <c r="Q180" s="1"/>
      <c r="R180" s="1"/>
      <c r="S180" s="1"/>
      <c r="T180" s="1"/>
      <c r="U180" s="1"/>
      <c r="V180" s="43"/>
    </row>
    <row r="181" spans="1:22" ht="14.4" x14ac:dyDescent="0.3">
      <c r="A181" s="37">
        <v>58456</v>
      </c>
      <c r="B181" s="7"/>
      <c r="C181" s="8"/>
      <c r="D181" s="9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"/>
      <c r="P181" s="1"/>
      <c r="Q181" s="1"/>
      <c r="R181" s="1"/>
      <c r="S181" s="1"/>
      <c r="T181" s="1"/>
      <c r="U181" s="1"/>
      <c r="V181" s="43"/>
    </row>
    <row r="182" spans="1:22" ht="14.4" x14ac:dyDescent="0.3">
      <c r="A182" s="42"/>
      <c r="B182" s="7"/>
      <c r="C182" s="8"/>
      <c r="D182" s="9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45">
        <v>58455</v>
      </c>
      <c r="P182" s="1"/>
      <c r="Q182" s="1"/>
      <c r="R182" s="1"/>
      <c r="S182" s="1"/>
      <c r="T182" s="1"/>
      <c r="U182" s="1"/>
      <c r="V182" s="43"/>
    </row>
    <row r="183" spans="1:22" ht="14.4" x14ac:dyDescent="0.25">
      <c r="A183" s="42">
        <v>58455</v>
      </c>
      <c r="B183" s="7" t="s">
        <v>309</v>
      </c>
      <c r="C183" s="8">
        <v>45113</v>
      </c>
      <c r="D183" s="9">
        <v>66</v>
      </c>
      <c r="E183" s="1">
        <v>50000</v>
      </c>
      <c r="F183" s="1">
        <v>0</v>
      </c>
      <c r="G183" s="1">
        <f>E183-F183</f>
        <v>50000</v>
      </c>
      <c r="H183" s="1">
        <f>ROUND(G183*18%,0)</f>
        <v>9000</v>
      </c>
      <c r="I183" s="1">
        <f>G183+H183</f>
        <v>59000</v>
      </c>
      <c r="J183" s="1">
        <f>ROUND(G183*J182,0)</f>
        <v>0</v>
      </c>
      <c r="K183" s="1">
        <f>ROUND(G183*5%,0)</f>
        <v>2500</v>
      </c>
      <c r="L183" s="1">
        <f>H183</f>
        <v>9000</v>
      </c>
      <c r="M183" s="1">
        <v>0</v>
      </c>
      <c r="N183" s="1">
        <f>ROUND(I183-SUM(J183:M183),)</f>
        <v>47500</v>
      </c>
      <c r="O183" s="6"/>
      <c r="P183" s="1" t="s">
        <v>311</v>
      </c>
      <c r="Q183" s="1">
        <v>46500</v>
      </c>
      <c r="R183" s="1">
        <v>0</v>
      </c>
      <c r="S183" s="1">
        <v>0</v>
      </c>
      <c r="T183" s="1"/>
      <c r="U183" s="1">
        <f>ROUND(Q183-SUM(R183:T183),)</f>
        <v>46500</v>
      </c>
      <c r="V183" s="46" t="s">
        <v>312</v>
      </c>
    </row>
    <row r="184" spans="1:22" ht="14.4" x14ac:dyDescent="0.3">
      <c r="A184" s="42">
        <v>58455</v>
      </c>
      <c r="B184" s="7" t="s">
        <v>310</v>
      </c>
      <c r="C184" s="8">
        <v>45161</v>
      </c>
      <c r="D184" s="9">
        <v>66</v>
      </c>
      <c r="E184" s="1">
        <v>9000</v>
      </c>
      <c r="F184" s="1">
        <v>0</v>
      </c>
      <c r="G184" s="1">
        <f>E184-F184</f>
        <v>9000</v>
      </c>
      <c r="H184" s="1">
        <v>0</v>
      </c>
      <c r="I184" s="1">
        <f>G184+H184</f>
        <v>9000</v>
      </c>
      <c r="J184" s="1">
        <v>0</v>
      </c>
      <c r="K184" s="1">
        <v>0</v>
      </c>
      <c r="L184" s="1">
        <v>0</v>
      </c>
      <c r="M184" s="1"/>
      <c r="N184" s="1">
        <f>I184-SUM(J184:L184)</f>
        <v>9000</v>
      </c>
      <c r="O184" s="6"/>
      <c r="P184" s="1"/>
      <c r="Q184" s="1"/>
      <c r="R184" s="1"/>
      <c r="S184" s="1"/>
      <c r="T184" s="1"/>
      <c r="U184" s="1"/>
      <c r="V184" s="43"/>
    </row>
    <row r="185" spans="1:22" ht="14.4" x14ac:dyDescent="0.3">
      <c r="A185" s="42"/>
      <c r="B185" s="7"/>
      <c r="C185" s="8"/>
      <c r="D185" s="9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5">
        <v>58457</v>
      </c>
      <c r="P185" s="1"/>
      <c r="Q185" s="1"/>
      <c r="R185" s="1"/>
      <c r="S185" s="1"/>
      <c r="T185" s="1"/>
      <c r="U185" s="1"/>
      <c r="V185" s="43"/>
    </row>
    <row r="186" spans="1:22" ht="14.4" x14ac:dyDescent="0.25">
      <c r="A186" s="36">
        <v>58457</v>
      </c>
      <c r="B186" s="7" t="s">
        <v>313</v>
      </c>
      <c r="C186" s="8">
        <v>45113</v>
      </c>
      <c r="D186" s="9">
        <v>69</v>
      </c>
      <c r="E186" s="1">
        <v>50000</v>
      </c>
      <c r="F186" s="1">
        <v>0</v>
      </c>
      <c r="G186" s="1">
        <f>E186-F186</f>
        <v>50000</v>
      </c>
      <c r="H186" s="1">
        <f>ROUND(G186*18%,0)</f>
        <v>9000</v>
      </c>
      <c r="I186" s="1">
        <f>G186+H186</f>
        <v>59000</v>
      </c>
      <c r="J186" s="1">
        <f>ROUND(G186*J185,0)</f>
        <v>0</v>
      </c>
      <c r="K186" s="1">
        <f>ROUND(G186*5%,0)</f>
        <v>2500</v>
      </c>
      <c r="L186" s="1">
        <f>H186</f>
        <v>9000</v>
      </c>
      <c r="M186" s="1">
        <v>0</v>
      </c>
      <c r="N186" s="1">
        <f>ROUND(I186-SUM(J186:M186),)</f>
        <v>47500</v>
      </c>
      <c r="O186" s="6"/>
      <c r="P186" s="1" t="s">
        <v>315</v>
      </c>
      <c r="Q186" s="1">
        <v>0</v>
      </c>
      <c r="R186" s="1">
        <v>0</v>
      </c>
      <c r="S186" s="1">
        <v>0</v>
      </c>
      <c r="T186" s="1"/>
      <c r="U186" s="1">
        <v>46500</v>
      </c>
      <c r="V186" s="46" t="s">
        <v>316</v>
      </c>
    </row>
    <row r="187" spans="1:22" ht="14.4" x14ac:dyDescent="0.3">
      <c r="A187" s="36">
        <v>58457</v>
      </c>
      <c r="B187" s="7" t="s">
        <v>314</v>
      </c>
      <c r="C187" s="8">
        <v>45114</v>
      </c>
      <c r="D187" s="9">
        <v>69</v>
      </c>
      <c r="E187" s="1">
        <v>9000</v>
      </c>
      <c r="F187" s="1">
        <v>0</v>
      </c>
      <c r="G187" s="1">
        <f>E187-F187</f>
        <v>9000</v>
      </c>
      <c r="H187" s="1">
        <v>0</v>
      </c>
      <c r="I187" s="1">
        <f>G187+H187</f>
        <v>9000</v>
      </c>
      <c r="J187" s="1">
        <v>0</v>
      </c>
      <c r="K187" s="1">
        <v>0</v>
      </c>
      <c r="L187" s="1">
        <v>0</v>
      </c>
      <c r="M187" s="1"/>
      <c r="N187" s="1">
        <f>I187-SUM(J187:L187)</f>
        <v>9000</v>
      </c>
      <c r="O187" s="6"/>
      <c r="P187" s="1"/>
      <c r="Q187" s="1"/>
      <c r="R187" s="1"/>
      <c r="S187" s="1"/>
      <c r="T187" s="1"/>
      <c r="U187" s="1"/>
      <c r="V187" s="1"/>
    </row>
    <row r="188" spans="1:22" ht="14.4" x14ac:dyDescent="0.3">
      <c r="A188" s="36">
        <v>58457</v>
      </c>
      <c r="B188" s="7"/>
      <c r="C188" s="8"/>
      <c r="D188" s="9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6"/>
      <c r="P188" s="1"/>
      <c r="Q188" s="1"/>
      <c r="R188" s="1"/>
      <c r="S188" s="1"/>
      <c r="T188" s="1"/>
      <c r="U188" s="1"/>
      <c r="V188" s="1"/>
    </row>
    <row r="189" spans="1:22" ht="14.4" x14ac:dyDescent="0.3">
      <c r="B189" s="7"/>
      <c r="C189" s="8"/>
      <c r="D189" s="9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6"/>
      <c r="P189" s="1"/>
      <c r="Q189" s="1"/>
      <c r="R189" s="1"/>
      <c r="S189" s="1"/>
      <c r="T189" s="1"/>
      <c r="U189" s="1"/>
      <c r="V189" s="1"/>
    </row>
    <row r="190" spans="1:22" ht="14.4" x14ac:dyDescent="0.25">
      <c r="A190" s="36">
        <v>58458</v>
      </c>
      <c r="B190" s="7" t="s">
        <v>309</v>
      </c>
      <c r="C190" s="8">
        <v>45113</v>
      </c>
      <c r="D190" s="9">
        <v>68</v>
      </c>
      <c r="E190" s="1">
        <v>50000</v>
      </c>
      <c r="F190" s="1">
        <v>0</v>
      </c>
      <c r="G190" s="1">
        <f>E190-F190</f>
        <v>50000</v>
      </c>
      <c r="H190" s="1">
        <f>ROUND(G190*18%,0)</f>
        <v>9000</v>
      </c>
      <c r="I190" s="1">
        <f>G190+H190</f>
        <v>59000</v>
      </c>
      <c r="J190" s="1">
        <f>ROUND(G190*J189,0)</f>
        <v>0</v>
      </c>
      <c r="K190" s="1">
        <f>ROUND(G190*5%,0)</f>
        <v>2500</v>
      </c>
      <c r="L190" s="1">
        <f>H190</f>
        <v>9000</v>
      </c>
      <c r="M190" s="1">
        <v>0</v>
      </c>
      <c r="N190" s="1">
        <f>ROUND(I190-SUM(J190:M190),)</f>
        <v>47500</v>
      </c>
      <c r="O190" s="5">
        <v>58458</v>
      </c>
      <c r="P190" s="1" t="s">
        <v>318</v>
      </c>
      <c r="Q190" s="1">
        <v>46500</v>
      </c>
      <c r="R190" s="1">
        <v>0</v>
      </c>
      <c r="S190" s="1">
        <v>0</v>
      </c>
      <c r="T190" s="1"/>
      <c r="U190" s="1">
        <v>46500</v>
      </c>
      <c r="V190" s="46" t="s">
        <v>317</v>
      </c>
    </row>
    <row r="191" spans="1:22" ht="14.4" x14ac:dyDescent="0.3">
      <c r="A191" s="36">
        <v>58458</v>
      </c>
      <c r="B191" s="7" t="s">
        <v>314</v>
      </c>
      <c r="C191" s="8">
        <v>45161</v>
      </c>
      <c r="D191" s="9">
        <v>68</v>
      </c>
      <c r="E191" s="1">
        <v>9000</v>
      </c>
      <c r="F191" s="1">
        <v>0</v>
      </c>
      <c r="G191" s="1">
        <f>E191-F191</f>
        <v>9000</v>
      </c>
      <c r="H191" s="1">
        <v>0</v>
      </c>
      <c r="I191" s="1">
        <f>G191+H191</f>
        <v>9000</v>
      </c>
      <c r="J191" s="1">
        <v>0</v>
      </c>
      <c r="K191" s="1">
        <v>0</v>
      </c>
      <c r="L191" s="1">
        <v>0</v>
      </c>
      <c r="M191" s="1"/>
      <c r="N191" s="1">
        <f>I191-SUM(J191:L191)</f>
        <v>9000</v>
      </c>
      <c r="O191" s="6"/>
      <c r="P191" s="1"/>
      <c r="Q191" s="1"/>
      <c r="R191" s="1"/>
      <c r="S191" s="1"/>
      <c r="T191" s="1"/>
      <c r="U191" s="1"/>
      <c r="V191" s="1"/>
    </row>
    <row r="192" spans="1:22" ht="14.4" x14ac:dyDescent="0.3">
      <c r="A192" s="36">
        <v>58458</v>
      </c>
      <c r="B192" s="7"/>
      <c r="C192" s="8"/>
      <c r="D192" s="9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6"/>
      <c r="P192" s="1"/>
      <c r="Q192" s="1"/>
      <c r="R192" s="1"/>
      <c r="S192" s="1"/>
      <c r="T192" s="1"/>
      <c r="U192" s="1"/>
      <c r="V192" s="1"/>
    </row>
    <row r="193" spans="1:22" ht="26.4" x14ac:dyDescent="0.25">
      <c r="A193" s="36">
        <v>65318</v>
      </c>
      <c r="B193" s="7" t="s">
        <v>342</v>
      </c>
      <c r="C193" s="8">
        <v>45531</v>
      </c>
      <c r="D193" s="9">
        <v>26</v>
      </c>
      <c r="E193" s="9">
        <v>278256</v>
      </c>
      <c r="F193" s="1">
        <v>66608</v>
      </c>
      <c r="G193" s="1">
        <f>E193-F193</f>
        <v>211648</v>
      </c>
      <c r="H193" s="1">
        <f>ROUND(G193*18%,0)</f>
        <v>38097</v>
      </c>
      <c r="I193" s="1">
        <f>G193+H193</f>
        <v>249745</v>
      </c>
      <c r="J193" s="1">
        <f>G193*2%</f>
        <v>4232.96</v>
      </c>
      <c r="K193" s="1">
        <f>ROUND(G193*5%,0)</f>
        <v>10582</v>
      </c>
      <c r="L193" s="1">
        <f>H193</f>
        <v>38097</v>
      </c>
      <c r="M193" s="1">
        <v>0</v>
      </c>
      <c r="N193" s="4">
        <f>ROUND(I193-SUM(J193:M193),0)</f>
        <v>196833</v>
      </c>
      <c r="O193" s="5">
        <f>A193</f>
        <v>65318</v>
      </c>
      <c r="P193" s="1"/>
      <c r="Q193" s="1"/>
      <c r="R193" s="1"/>
      <c r="S193" s="1"/>
      <c r="T193" s="1"/>
      <c r="U193" s="1"/>
      <c r="V193" s="46"/>
    </row>
    <row r="194" spans="1:22" ht="14.4" x14ac:dyDescent="0.3">
      <c r="B194" s="7"/>
      <c r="C194" s="8"/>
      <c r="D194" s="9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6"/>
      <c r="P194" s="1"/>
      <c r="Q194" s="1"/>
      <c r="R194" s="1"/>
      <c r="S194" s="1"/>
      <c r="T194" s="1"/>
      <c r="U194" s="1"/>
      <c r="V194" s="1"/>
    </row>
    <row r="195" spans="1:22" ht="26.4" x14ac:dyDescent="0.25">
      <c r="A195" s="36">
        <v>65475</v>
      </c>
      <c r="B195" s="7" t="s">
        <v>343</v>
      </c>
      <c r="C195" s="8">
        <v>45531</v>
      </c>
      <c r="D195" s="9">
        <v>25</v>
      </c>
      <c r="E195" s="9">
        <v>280125</v>
      </c>
      <c r="F195" s="1">
        <v>0</v>
      </c>
      <c r="G195" s="1">
        <f>E195-F195</f>
        <v>280125</v>
      </c>
      <c r="H195" s="1">
        <f>ROUND(G195*18%,0)</f>
        <v>50423</v>
      </c>
      <c r="I195" s="1">
        <f>G195+H195</f>
        <v>330548</v>
      </c>
      <c r="J195" s="1">
        <f>G195*2%</f>
        <v>5602.5</v>
      </c>
      <c r="K195" s="1">
        <f>ROUND(G195*5%,0)</f>
        <v>14006</v>
      </c>
      <c r="L195" s="1">
        <f>H195</f>
        <v>50423</v>
      </c>
      <c r="M195" s="1">
        <v>0</v>
      </c>
      <c r="N195" s="4">
        <f>ROUND(I195-SUM(J195:M195),0)</f>
        <v>260517</v>
      </c>
      <c r="O195" s="5">
        <f>A195</f>
        <v>65475</v>
      </c>
      <c r="P195" s="1"/>
      <c r="Q195" s="1"/>
      <c r="R195" s="1"/>
      <c r="S195" s="1"/>
      <c r="T195" s="1"/>
      <c r="U195" s="1"/>
      <c r="V195" s="46"/>
    </row>
    <row r="196" spans="1:22" ht="14.4" x14ac:dyDescent="0.3">
      <c r="B196" s="7"/>
      <c r="C196" s="8"/>
      <c r="D196" s="9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6"/>
      <c r="P196" s="1"/>
      <c r="Q196" s="1"/>
      <c r="R196" s="1"/>
      <c r="S196" s="1"/>
      <c r="T196" s="1"/>
      <c r="U196" s="1"/>
      <c r="V196" s="1"/>
    </row>
    <row r="197" spans="1:22" ht="14.4" x14ac:dyDescent="0.3">
      <c r="B197" s="7"/>
      <c r="C197" s="8"/>
      <c r="D197" s="9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6"/>
      <c r="P197" s="1"/>
      <c r="Q197" s="1"/>
      <c r="R197" s="1"/>
      <c r="S197" s="1"/>
      <c r="T197" s="1"/>
      <c r="U197" s="1"/>
      <c r="V197" s="1"/>
    </row>
    <row r="198" spans="1:22" ht="14.4" x14ac:dyDescent="0.3">
      <c r="B198" s="7"/>
      <c r="C198" s="8"/>
      <c r="D198" s="9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6"/>
      <c r="P198" s="1"/>
      <c r="Q198" s="1"/>
      <c r="R198" s="1"/>
      <c r="S198" s="1"/>
      <c r="T198" s="1"/>
      <c r="U198" s="1"/>
      <c r="V198" s="1"/>
    </row>
    <row r="199" spans="1:22" ht="14.4" x14ac:dyDescent="0.3">
      <c r="B199" s="7"/>
      <c r="C199" s="8"/>
      <c r="D199" s="9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6"/>
      <c r="P199" s="1"/>
      <c r="Q199" s="1"/>
      <c r="R199" s="1"/>
      <c r="S199" s="1"/>
      <c r="T199" s="1"/>
      <c r="U199" s="1"/>
      <c r="V199" s="1"/>
    </row>
    <row r="200" spans="1:22" ht="14.4" x14ac:dyDescent="0.3">
      <c r="B200" s="7"/>
      <c r="C200" s="8"/>
      <c r="D200" s="9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6"/>
      <c r="P200" s="1"/>
      <c r="Q200" s="1"/>
      <c r="R200" s="1"/>
      <c r="S200" s="1"/>
      <c r="T200" s="1"/>
      <c r="U200" s="1"/>
      <c r="V200" s="1"/>
    </row>
    <row r="201" spans="1:22" ht="14.4" x14ac:dyDescent="0.3">
      <c r="B201" s="7"/>
      <c r="C201" s="8"/>
      <c r="D201" s="9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6"/>
      <c r="P201" s="1"/>
      <c r="Q201" s="1"/>
      <c r="R201" s="1"/>
      <c r="S201" s="1"/>
      <c r="T201" s="1"/>
      <c r="U201" s="1"/>
      <c r="V201" s="1"/>
    </row>
    <row r="202" spans="1:22" ht="13.2" x14ac:dyDescent="0.3">
      <c r="A202" s="47"/>
      <c r="B202" s="1"/>
      <c r="C202" s="1"/>
      <c r="D202" s="5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3.2" x14ac:dyDescent="0.3">
      <c r="A203" s="47"/>
      <c r="B203" s="1"/>
      <c r="C203" s="1"/>
      <c r="D203" s="5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4" x14ac:dyDescent="0.3">
      <c r="A204" s="47"/>
      <c r="B204" s="1"/>
      <c r="C204" s="1"/>
      <c r="D204" s="50"/>
      <c r="E204" s="1"/>
      <c r="F204" s="1"/>
      <c r="G204" s="1"/>
      <c r="H204" s="1"/>
      <c r="I204" s="1"/>
      <c r="J204" s="48" t="s">
        <v>7</v>
      </c>
      <c r="K204" s="48"/>
      <c r="L204" s="48"/>
      <c r="M204" s="48">
        <f>SUM(N7:N145)</f>
        <v>8532428.25</v>
      </c>
      <c r="N204" s="48">
        <f>SUM(N7:N202)</f>
        <v>11518757</v>
      </c>
      <c r="O204" s="48"/>
      <c r="P204" s="48"/>
      <c r="Q204" s="48"/>
      <c r="R204" s="48"/>
      <c r="S204" s="48" t="s">
        <v>9</v>
      </c>
      <c r="T204" s="48"/>
      <c r="U204" s="48">
        <f>SUM(U7:U202)</f>
        <v>11021402</v>
      </c>
      <c r="V204" s="1"/>
    </row>
    <row r="205" spans="1:22" ht="13.2" x14ac:dyDescent="0.3">
      <c r="A205" s="47"/>
      <c r="B205" s="1"/>
      <c r="C205" s="1"/>
      <c r="D205" s="5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4" x14ac:dyDescent="0.3">
      <c r="A206" s="47"/>
      <c r="B206" s="1"/>
      <c r="C206" s="1"/>
      <c r="D206" s="5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48" t="s">
        <v>8</v>
      </c>
      <c r="T206" s="1"/>
      <c r="U206" s="48">
        <f>N204-U204</f>
        <v>497355</v>
      </c>
      <c r="V206" s="1"/>
    </row>
    <row r="207" spans="1:22" ht="13.2" x14ac:dyDescent="0.3">
      <c r="A207" s="47"/>
      <c r="B207" s="1"/>
      <c r="C207" s="1"/>
      <c r="D207" s="5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</sheetData>
  <pageMargins left="0.7" right="0.7" top="0.75" bottom="0.75" header="0.3" footer="0.3"/>
  <pageSetup orientation="portrait" r:id="rId1"/>
  <ignoredErrors>
    <ignoredError sqref="N152:N153 N145:N146 N139:N140 N132:N133 N126 N117:N118 U15 U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28"/>
  <sheetViews>
    <sheetView workbookViewId="0">
      <selection activeCell="C1" sqref="C1"/>
    </sheetView>
  </sheetViews>
  <sheetFormatPr defaultRowHeight="14.4" x14ac:dyDescent="0.3"/>
  <sheetData>
    <row r="2" spans="3:3" ht="21" x14ac:dyDescent="0.4">
      <c r="C2" s="13">
        <v>50367</v>
      </c>
    </row>
    <row r="3" spans="3:3" ht="21" x14ac:dyDescent="0.4">
      <c r="C3" s="13">
        <v>50621</v>
      </c>
    </row>
    <row r="4" spans="3:3" ht="21" x14ac:dyDescent="0.4">
      <c r="C4" s="13">
        <v>50625</v>
      </c>
    </row>
    <row r="5" spans="3:3" ht="21" x14ac:dyDescent="0.4">
      <c r="C5" s="13">
        <v>50875</v>
      </c>
    </row>
    <row r="6" spans="3:3" ht="21" x14ac:dyDescent="0.4">
      <c r="C6" s="13">
        <v>50964</v>
      </c>
    </row>
    <row r="7" spans="3:3" ht="21" x14ac:dyDescent="0.4">
      <c r="C7" s="13">
        <v>50967</v>
      </c>
    </row>
    <row r="8" spans="3:3" ht="21" x14ac:dyDescent="0.4">
      <c r="C8" s="13">
        <v>51227</v>
      </c>
    </row>
    <row r="9" spans="3:3" ht="21" x14ac:dyDescent="0.4">
      <c r="C9" s="13">
        <v>51230</v>
      </c>
    </row>
    <row r="10" spans="3:3" ht="21" x14ac:dyDescent="0.4">
      <c r="C10" s="13">
        <v>51231</v>
      </c>
    </row>
    <row r="11" spans="3:3" ht="21" x14ac:dyDescent="0.4">
      <c r="C11" s="13">
        <v>51232</v>
      </c>
    </row>
    <row r="12" spans="3:3" ht="21" x14ac:dyDescent="0.4">
      <c r="C12" s="13">
        <v>51233</v>
      </c>
    </row>
    <row r="13" spans="3:3" ht="21" x14ac:dyDescent="0.4">
      <c r="C13" s="13">
        <v>51234</v>
      </c>
    </row>
    <row r="14" spans="3:3" ht="21.75" customHeight="1" x14ac:dyDescent="0.4">
      <c r="C14" s="13">
        <v>51281</v>
      </c>
    </row>
    <row r="15" spans="3:3" ht="21" x14ac:dyDescent="0.4">
      <c r="C15" s="13">
        <v>51466</v>
      </c>
    </row>
    <row r="16" spans="3:3" ht="21" x14ac:dyDescent="0.4">
      <c r="C16" s="13">
        <v>51469</v>
      </c>
    </row>
    <row r="17" spans="3:3" ht="21" x14ac:dyDescent="0.4">
      <c r="C17" s="13">
        <v>51534</v>
      </c>
    </row>
    <row r="18" spans="3:3" ht="21" x14ac:dyDescent="0.4">
      <c r="C18" s="13">
        <v>51535</v>
      </c>
    </row>
    <row r="19" spans="3:3" ht="21" x14ac:dyDescent="0.4">
      <c r="C19" s="13">
        <v>51682</v>
      </c>
    </row>
    <row r="20" spans="3:3" ht="21" x14ac:dyDescent="0.4">
      <c r="C20" s="13">
        <v>51683</v>
      </c>
    </row>
    <row r="21" spans="3:3" ht="21" x14ac:dyDescent="0.4">
      <c r="C21" s="13">
        <v>51684</v>
      </c>
    </row>
    <row r="22" spans="3:3" ht="21" x14ac:dyDescent="0.4">
      <c r="C22" s="13">
        <v>51799</v>
      </c>
    </row>
    <row r="23" spans="3:3" ht="21" x14ac:dyDescent="0.4">
      <c r="C23" s="13">
        <v>51800</v>
      </c>
    </row>
    <row r="24" spans="3:3" ht="21" x14ac:dyDescent="0.4">
      <c r="C24" s="13">
        <v>57967</v>
      </c>
    </row>
    <row r="25" spans="3:3" ht="21" x14ac:dyDescent="0.4">
      <c r="C25" s="13">
        <v>57964</v>
      </c>
    </row>
    <row r="26" spans="3:3" ht="21" x14ac:dyDescent="0.4">
      <c r="C26" s="13">
        <v>56870</v>
      </c>
    </row>
    <row r="27" spans="3:3" ht="21" x14ac:dyDescent="0.4">
      <c r="C27" s="13">
        <v>56227</v>
      </c>
    </row>
    <row r="28" spans="3:3" ht="21" x14ac:dyDescent="0.4">
      <c r="C28" s="13">
        <v>58200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2023-09-06T12:08:04Z</cp:lastPrinted>
  <dcterms:created xsi:type="dcterms:W3CDTF">2022-06-10T14:11:52Z</dcterms:created>
  <dcterms:modified xsi:type="dcterms:W3CDTF">2025-05-30T08:38:14Z</dcterms:modified>
</cp:coreProperties>
</file>