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CC05FEA8-A29F-4426-A3B4-F9E16E00BFB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Sheet1!$F$1:$F$91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M29" i="1" s="1"/>
  <c r="J29" i="1" l="1"/>
  <c r="K29" i="1"/>
  <c r="H29" i="1"/>
  <c r="P29" i="1" s="1"/>
  <c r="L29" i="1"/>
  <c r="O78" i="1"/>
  <c r="K88" i="1" s="1"/>
  <c r="Q50" i="1"/>
  <c r="G52" i="1"/>
  <c r="H52" i="1" s="1"/>
  <c r="P52" i="1" s="1"/>
  <c r="Q48" i="1"/>
  <c r="Q47" i="1"/>
  <c r="Q46" i="1"/>
  <c r="Q42" i="1"/>
  <c r="Q41" i="1"/>
  <c r="Q24" i="1"/>
  <c r="Q23" i="1"/>
  <c r="Q16" i="1"/>
  <c r="Q15" i="1"/>
  <c r="Q9" i="1"/>
  <c r="T36" i="1"/>
  <c r="U36" i="1" s="1"/>
  <c r="G54" i="1"/>
  <c r="G65" i="1"/>
  <c r="M65" i="1" s="1"/>
  <c r="K52" i="1" l="1"/>
  <c r="L52" i="1"/>
  <c r="I29" i="1"/>
  <c r="Q29" i="1" s="1"/>
  <c r="J52" i="1"/>
  <c r="M52" i="1"/>
  <c r="I52" i="1"/>
  <c r="L65" i="1"/>
  <c r="K65" i="1"/>
  <c r="J65" i="1"/>
  <c r="H65" i="1"/>
  <c r="I65" i="1" s="1"/>
  <c r="H54" i="1"/>
  <c r="P54" i="1" s="1"/>
  <c r="J54" i="1"/>
  <c r="K54" i="1"/>
  <c r="L54" i="1"/>
  <c r="M54" i="1"/>
  <c r="U72" i="1"/>
  <c r="T58" i="1"/>
  <c r="U58" i="1" s="1"/>
  <c r="U13" i="1"/>
  <c r="G27" i="1"/>
  <c r="M27" i="1" s="1"/>
  <c r="T35" i="1"/>
  <c r="U35" i="1" s="1"/>
  <c r="T34" i="1"/>
  <c r="U34" i="1" s="1"/>
  <c r="T33" i="1"/>
  <c r="U33" i="1" s="1"/>
  <c r="U9" i="1"/>
  <c r="U10" i="1"/>
  <c r="U12" i="1"/>
  <c r="U71" i="1"/>
  <c r="G64" i="1"/>
  <c r="M64" i="1" s="1"/>
  <c r="U63" i="1"/>
  <c r="U64" i="1"/>
  <c r="Q52" i="1" l="1"/>
  <c r="P65" i="1"/>
  <c r="Q65" i="1" s="1"/>
  <c r="I54" i="1"/>
  <c r="Q54" i="1" s="1"/>
  <c r="H27" i="1"/>
  <c r="P27" i="1" s="1"/>
  <c r="E28" i="1" s="1"/>
  <c r="Q28" i="1" s="1"/>
  <c r="L27" i="1"/>
  <c r="J27" i="1"/>
  <c r="K27" i="1"/>
  <c r="L64" i="1"/>
  <c r="J64" i="1"/>
  <c r="K64" i="1"/>
  <c r="H64" i="1"/>
  <c r="P64" i="1" s="1"/>
  <c r="E66" i="1" s="1"/>
  <c r="Q66" i="1" s="1"/>
  <c r="T70" i="1"/>
  <c r="U70" i="1" s="1"/>
  <c r="G70" i="1"/>
  <c r="M70" i="1" s="1"/>
  <c r="U32" i="1"/>
  <c r="G62" i="1"/>
  <c r="I27" i="1" l="1"/>
  <c r="Q27" i="1" s="1"/>
  <c r="I64" i="1"/>
  <c r="Q64" i="1" s="1"/>
  <c r="L70" i="1"/>
  <c r="H70" i="1"/>
  <c r="P70" i="1" s="1"/>
  <c r="E71" i="1" s="1"/>
  <c r="Q71" i="1" s="1"/>
  <c r="J70" i="1"/>
  <c r="K70" i="1"/>
  <c r="K62" i="1"/>
  <c r="H62" i="1"/>
  <c r="P62" i="1" s="1"/>
  <c r="E63" i="1" s="1"/>
  <c r="Q63" i="1" s="1"/>
  <c r="J62" i="1"/>
  <c r="T62" i="1"/>
  <c r="U62" i="1" s="1"/>
  <c r="I70" i="1" l="1"/>
  <c r="Q70" i="1" s="1"/>
  <c r="W74" i="1" s="1"/>
  <c r="I62" i="1"/>
  <c r="Q62" i="1" s="1"/>
  <c r="W69" i="1" s="1"/>
  <c r="T56" i="1"/>
  <c r="U56" i="1" s="1"/>
  <c r="U49" i="1"/>
  <c r="U47" i="1"/>
  <c r="U53" i="1"/>
  <c r="U55" i="1"/>
  <c r="T54" i="1"/>
  <c r="U54" i="1" s="1"/>
  <c r="T52" i="1"/>
  <c r="U52" i="1" s="1"/>
  <c r="T51" i="1"/>
  <c r="U51" i="1" s="1"/>
  <c r="T48" i="1"/>
  <c r="U48" i="1" s="1"/>
  <c r="T50" i="1"/>
  <c r="U50" i="1" s="1"/>
  <c r="T46" i="1"/>
  <c r="U46" i="1" s="1"/>
  <c r="U42" i="1"/>
  <c r="U43" i="1"/>
  <c r="T41" i="1"/>
  <c r="U41" i="1" s="1"/>
  <c r="T11" i="1"/>
  <c r="U11" i="1" s="1"/>
  <c r="T8" i="1"/>
  <c r="U8" i="1" s="1"/>
  <c r="U17" i="1"/>
  <c r="U18" i="1"/>
  <c r="T16" i="1"/>
  <c r="U16" i="1" s="1"/>
  <c r="T15" i="1"/>
  <c r="U15" i="1" s="1"/>
  <c r="H15" i="1"/>
  <c r="G25" i="1"/>
  <c r="M25" i="1" s="1"/>
  <c r="U29" i="1"/>
  <c r="U26" i="1"/>
  <c r="U27" i="1"/>
  <c r="T31" i="1"/>
  <c r="U31" i="1" s="1"/>
  <c r="T30" i="1"/>
  <c r="U30" i="1" s="1"/>
  <c r="T28" i="1"/>
  <c r="U28" i="1" s="1"/>
  <c r="W45" i="1" l="1"/>
  <c r="W20" i="1"/>
  <c r="E53" i="1"/>
  <c r="Q53" i="1" s="1"/>
  <c r="H25" i="1"/>
  <c r="I25" i="1" s="1"/>
  <c r="J25" i="1"/>
  <c r="K25" i="1"/>
  <c r="L25" i="1"/>
  <c r="G22" i="1"/>
  <c r="G21" i="1"/>
  <c r="T25" i="1"/>
  <c r="U25" i="1" s="1"/>
  <c r="T24" i="1"/>
  <c r="U24" i="1" s="1"/>
  <c r="T23" i="1"/>
  <c r="U23" i="1" s="1"/>
  <c r="T22" i="1"/>
  <c r="U22" i="1" s="1"/>
  <c r="T21" i="1"/>
  <c r="U21" i="1" s="1"/>
  <c r="G10" i="1"/>
  <c r="N10" i="1" s="1"/>
  <c r="W61" i="1" l="1"/>
  <c r="P25" i="1"/>
  <c r="E26" i="1" s="1"/>
  <c r="Q26" i="1" s="1"/>
  <c r="M21" i="1"/>
  <c r="H21" i="1"/>
  <c r="P21" i="1" s="1"/>
  <c r="K22" i="1"/>
  <c r="H22" i="1"/>
  <c r="P22" i="1" s="1"/>
  <c r="L22" i="1"/>
  <c r="M22" i="1"/>
  <c r="K21" i="1"/>
  <c r="J21" i="1"/>
  <c r="L21" i="1"/>
  <c r="J22" i="1"/>
  <c r="H10" i="1"/>
  <c r="P10" i="1" s="1"/>
  <c r="E11" i="1" s="1"/>
  <c r="Q11" i="1" s="1"/>
  <c r="J10" i="1"/>
  <c r="K10" i="1"/>
  <c r="L78" i="1" l="1"/>
  <c r="M78" i="1"/>
  <c r="Q25" i="1"/>
  <c r="I22" i="1"/>
  <c r="Q22" i="1" s="1"/>
  <c r="I21" i="1"/>
  <c r="Q21" i="1" s="1"/>
  <c r="I10" i="1"/>
  <c r="Q10" i="1" s="1"/>
  <c r="W40" i="1" l="1"/>
  <c r="G8" i="1"/>
  <c r="N8" i="1" s="1"/>
  <c r="N78" i="1" s="1"/>
  <c r="H8" i="1" l="1"/>
  <c r="P8" i="1" s="1"/>
  <c r="P78" i="1" s="1"/>
  <c r="K91" i="1" s="1"/>
  <c r="K8" i="1"/>
  <c r="K78" i="1" s="1"/>
  <c r="K87" i="1" s="1"/>
  <c r="J8" i="1"/>
  <c r="I8" i="1" l="1"/>
  <c r="Q8" i="1" s="1"/>
  <c r="Q78" i="1" l="1"/>
  <c r="W14" i="1"/>
  <c r="U78" i="1"/>
  <c r="U80" i="1" l="1"/>
  <c r="K89" i="1" s="1"/>
</calcChain>
</file>

<file path=xl/sharedStrings.xml><?xml version="1.0" encoding="utf-8"?>
<sst xmlns="http://schemas.openxmlformats.org/spreadsheetml/2006/main" count="170" uniqueCount="147">
  <si>
    <t>Amount</t>
  </si>
  <si>
    <t>PAYMENT NOTE No.</t>
  </si>
  <si>
    <t>UTR</t>
  </si>
  <si>
    <t>Pipeline laying work</t>
  </si>
  <si>
    <t>Total Paid Amount Rs.-</t>
  </si>
  <si>
    <t>Balance Payable Amount Rs.-</t>
  </si>
  <si>
    <t>M/s DNA Enterprises</t>
  </si>
  <si>
    <t>20-04-2023 20-04-2023 NEFT/AXISP00383281386/SPUP23/0215/MS DNA ENTERPRI 99000.00</t>
  </si>
  <si>
    <t>SPUP23/0215</t>
  </si>
  <si>
    <t xml:space="preserve">Painting and Finishing </t>
  </si>
  <si>
    <t>10-05-2023 NEFT/AXISP00388990936/RIUP23/178/MS DNA ENTERPRIS 21672.00</t>
  </si>
  <si>
    <t>RIUP23/178</t>
  </si>
  <si>
    <t>GST Release Note</t>
  </si>
  <si>
    <t>24-05-2023 NEFT/AXISP00392230455/RIUP23/362/MS DNA ENTERPRIS 24405.00</t>
  </si>
  <si>
    <t>RIUP23/362</t>
  </si>
  <si>
    <t>05-06-2023 NEFT/AXISP00395669164/RIUP23/510/MS DNA ENTERPRIS 49500.00</t>
  </si>
  <si>
    <t>RIUP23/510</t>
  </si>
  <si>
    <t>0.05/10%</t>
  </si>
  <si>
    <t>21-06-2023 NEFT/AXISP00399842965/RIUP23/752/MS DNA ENTERPRIS 118392.00</t>
  </si>
  <si>
    <t>RIUP23/752</t>
  </si>
  <si>
    <t>21-03-2023 NEFT/AXISP00373201704/RIUP22/2687/MS DNA ENTERPRI 148500.00</t>
  </si>
  <si>
    <t>GST release note</t>
  </si>
  <si>
    <t>27-03-2023 NEFT/AXISP00374579146/RIUP22/2743/MS DNA ENTERPRI 49500.00</t>
  </si>
  <si>
    <t>06-05-2023 NEFT/AXISP00388047281/RIUP23/116/MS DNA ENTERPRIS 33771.00</t>
  </si>
  <si>
    <t>06-05-2023 NEFT/AXISP00388047282/RIUP23/117/MS DNA ENTERPRIS 56377.00</t>
  </si>
  <si>
    <t xml:space="preserve">Unchgaon Village - Khairan Block Pipe laying work </t>
  </si>
  <si>
    <t>06-03-2023 NEFT/AXISP00369001734/RIUP22/2473/MS DNA ENTERPRI 198000.00</t>
  </si>
  <si>
    <t>27-03-2023 NEFT/AXISP00374603534/RIUP22/2735/MS DNA ENTERPRI 99000.00</t>
  </si>
  <si>
    <t>11-04-2023 NEFT/AXISP00380905285/SPUP23/0070/DNA ENTERPRI 49500.00</t>
  </si>
  <si>
    <t>24-04-2023 24-04-2023 NEFT/AXISP00383950326/SPUP23/0241/MS DNA ENTERPRI 198000.00</t>
  </si>
  <si>
    <t>10-05-2023 NEFT/AXISP00388990942/RIUP23/163/MS DNA ENTERPRIS 110344.00</t>
  </si>
  <si>
    <t>24-05-2023 NEFT/AXISP00392230454/RIUP23/361/MS DNA ENTERPRIS 62521.00</t>
  </si>
  <si>
    <t>Jandheri Village - Boundary wall work</t>
  </si>
  <si>
    <t>11-04-2023 NEFT/AXISP00380947708/SPUP23/0091/MS DNA ENTERPRI 148500.00</t>
  </si>
  <si>
    <t>13-06-2023 NEFT/AXISP00398036688/RIUP23/620/MS DNA ENTERPRIS 127675.00</t>
  </si>
  <si>
    <t>28-06-2023 NEFT/AXISP00401332297/RIUP23/909/MS DNA ENTERPRIS 56714.00</t>
  </si>
  <si>
    <t>Manakpur-Yunishpur Village Pipeline laying work</t>
  </si>
  <si>
    <t>23-01-2023 NEFT/AXISP00356620225/RIUP22/1946/MS DNA ENTERPRI ₹ 2,97,000.00</t>
  </si>
  <si>
    <t>13-02-2023 NEFT/AXISP00362757395/RIUP22/2154/MS DNA ENTERPRI ₹ 1,19,331.00</t>
  </si>
  <si>
    <t>17-02-2023 NEFT/AXISP00364121241/RIUP22/2210/MS DNA ENTERPRI 79200.00</t>
  </si>
  <si>
    <t>08-03-2023 NEFT/AXISP00369766183/RIUP22/2496/MS DNA ENTERPRI 49500.00</t>
  </si>
  <si>
    <t>11-04-2023 NEFT/AXISP00380905281/SPUP23/0074/DNA ENTERPRI 29700.00</t>
  </si>
  <si>
    <t>17-05-2023 NEFT/AXISP00390799662/RIUP23/297/MS DNA ENTERPRIS ₹ 1,48,500.00</t>
  </si>
  <si>
    <t>25-05-2023 NEFT/AXISP00392595797/RIUP23/319/MS DNA ENTERPRIS 27193.00</t>
  </si>
  <si>
    <t>30-05-2023 NEFT/AXISP00393348673/RIUP23/443/MS DNA ENTERPRIS 99000.00</t>
  </si>
  <si>
    <t>28-06-2023 NEFT/AXISP00401442268/RIUP23/900/MS DNA ENTERPRIS 81266.00</t>
  </si>
  <si>
    <t>RIUP22/2686</t>
  </si>
  <si>
    <t>21-03-2023 NEFT/AXISP00373201703/RIUP22/2686/MS DNA ENTERPRI 99000.00</t>
  </si>
  <si>
    <t>RIUP22/2473</t>
  </si>
  <si>
    <t>RIUP22/2735</t>
  </si>
  <si>
    <t>SPUP23/0070</t>
  </si>
  <si>
    <t>SPUP23/0241</t>
  </si>
  <si>
    <t>RIUP23/163</t>
  </si>
  <si>
    <t>RIUP23/361</t>
  </si>
  <si>
    <t>17-07-2023 NEFT/AXISP00407544695/RIUP23/1122/MS DNA ENTERPRI 99000.00</t>
  </si>
  <si>
    <t>02-08-2023 NEFT/AXISP00412149932/RIUP23/1354/MS DNA ENTERPRI 138741.00</t>
  </si>
  <si>
    <t>14-08-2023 NEFT/AXISP00415763060/RIUP23/1523/MS DNA ENTERPRI ₹ 99,000.00</t>
  </si>
  <si>
    <t>12-09-2023 NEFT/AXISP00423960528/RIUP23/1962/MS DNA ENTERPRISES/SBIN0000017 99000.00</t>
  </si>
  <si>
    <t>RIUP23/1122</t>
  </si>
  <si>
    <t>RIUP23/1354</t>
  </si>
  <si>
    <t>RIUP23/1523</t>
  </si>
  <si>
    <t>RIUP23/1962</t>
  </si>
  <si>
    <t>RIUP23/2687</t>
  </si>
  <si>
    <t>RIUP23/2743</t>
  </si>
  <si>
    <t>RIUP23/116</t>
  </si>
  <si>
    <t>RIUP23/117</t>
  </si>
  <si>
    <t>RIUP23/0091</t>
  </si>
  <si>
    <t>RIUP23/620</t>
  </si>
  <si>
    <t>RIUP23/909</t>
  </si>
  <si>
    <t>RIUP23/1946</t>
  </si>
  <si>
    <t>RIUP23/2154</t>
  </si>
  <si>
    <t>RIUP23/2210</t>
  </si>
  <si>
    <t>RIUP23/2496</t>
  </si>
  <si>
    <t>RIUP23/0074</t>
  </si>
  <si>
    <t>RIUP23/297</t>
  </si>
  <si>
    <t>RIUP23/319</t>
  </si>
  <si>
    <t>RIUP23/443</t>
  </si>
  <si>
    <t>RIUP23/900</t>
  </si>
  <si>
    <t>27-02-2023 NEFT/AXISP00365798941/RIUP22/2309/MS DNA ENTERPRI 150402.00</t>
  </si>
  <si>
    <t>RIUP23/2309</t>
  </si>
  <si>
    <t>14-08-2023 NEFT/AXISP00415763056/RIUP23/1516/MS DNA ENTERPRI ₹ 1,48,500.00</t>
  </si>
  <si>
    <t>RIUP23/1516</t>
  </si>
  <si>
    <t>29-08-2023 NEFT/AXISP00418978120/RIUP23/1771/MS DNA ENTERPRISES/SBIN0000017 198000.00</t>
  </si>
  <si>
    <t>RIUP23/1771</t>
  </si>
  <si>
    <t xml:space="preserve">Hold Amount for excess Qty. against DPR/ Advance </t>
  </si>
  <si>
    <t>RIUP23/2038</t>
  </si>
  <si>
    <t>15-09-2023 NEFT/AXISP00425251742/RIUP23/2038/MS DNA ENTERPRISES/SBIN0000017 ₹ 84,830.00</t>
  </si>
  <si>
    <t>30-09-2023 NEFT/AXISP00428978249/RIUP23/2248/MS DNA ENTERPRISES/SBIN0000017 40573.00</t>
  </si>
  <si>
    <t>RIUP23/2248</t>
  </si>
  <si>
    <t>18-09-2023 NEFT/AXISP00425751852/RIUP23/2105/MS DNA ENTERPRISES/SBIN0000017 207427.00</t>
  </si>
  <si>
    <t>RIUP23/2105</t>
  </si>
  <si>
    <t>23-10-2023 NEFT/AXISP00436552881/RIUP23/2835/MS DNA ENTERPRISES/SBIN0000017 99000.00</t>
  </si>
  <si>
    <t>RIUP23/2835</t>
  </si>
  <si>
    <t>25-10-2023 NEFT/AXISP00436731127/RIUP23/2855/MS DNA ENTERPRISES/SBIN0000017 99000.00</t>
  </si>
  <si>
    <t>09-11-2023 NEFT/AXISP00442541909/RIUP23/3173/MS DNA ENTERPRISES/SBIN0000017 99000.00</t>
  </si>
  <si>
    <t>RIUP23/2855</t>
  </si>
  <si>
    <t>RIUP23/3173</t>
  </si>
  <si>
    <t>09-11-2023 NEFT/AXISP00442541914/RIUP23/3174/MS DNA ENTERPRISES/SBIN0000017 99000.00</t>
  </si>
  <si>
    <t>RIUP23/3174</t>
  </si>
  <si>
    <t>18-11-2023 NEFT/AXISP00445057523/RIUP23/3297/MS DNA ENTERPRISES/SBIN0000017 77635.00</t>
  </si>
  <si>
    <t>RIUP23/3297</t>
  </si>
  <si>
    <t>18-11-2023 NEFT/AXISP00445057524/RIUP23/3298/MS DNA ENTERPRISES/SBIN0000017 25467.00</t>
  </si>
  <si>
    <t>RIUP23/3175</t>
  </si>
  <si>
    <t>15-01-2024 NEFT/AXISP00462583085/RIUP23/4268/MS DNA ENTERPRISES/SBIN0000017 198000.00</t>
  </si>
  <si>
    <t>RIUP23/4268</t>
  </si>
  <si>
    <t>Total Hold</t>
  </si>
  <si>
    <t>Advance / Surplus</t>
  </si>
  <si>
    <t>Debit</t>
  </si>
  <si>
    <t>Nil</t>
  </si>
  <si>
    <t>Advance Village Wise</t>
  </si>
  <si>
    <t>02-02-2024 NEFT/AXISP00467749359/RIUP23/4360/MS DNA ENTERPRISES/SBIN0000017 41039.00</t>
  </si>
  <si>
    <t>RIUP23/4360</t>
  </si>
  <si>
    <t>16-02-2024 NEFT/AXISP00472105178/RIUP23/4729/MS DNA ENTERPRISES/SBIN0000017 148500.00</t>
  </si>
  <si>
    <t>RIUP23/4729</t>
  </si>
  <si>
    <t>06-03-2024 NEFT/AXISP00477669912/RIUP23/4342/MS DNA ENTERPRISES/SBIN0000017 50354.00</t>
  </si>
  <si>
    <t>06-03-2024 NEFT/AXISP00477822859/RIUP23/5028/MS DNA ENTERPRISES/SBIN0000017 ₹ 1,98,000.00</t>
  </si>
  <si>
    <t>RIUP23/5028</t>
  </si>
  <si>
    <t>17-05-2024 NEFT/AXISP00500883097/RIUP24/0551/MS DNA ENTERPRISES/SBIN0000017 158400.00</t>
  </si>
  <si>
    <t>DPR Excess</t>
  </si>
  <si>
    <t>GST Remaining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</si>
  <si>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</si>
  <si>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</si>
  <si>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</si>
  <si>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</si>
  <si>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</si>
  <si>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</si>
  <si>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</si>
  <si>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</si>
  <si>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</si>
  <si>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</si>
  <si>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</si>
  <si>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</si>
  <si>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</si>
  <si>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</si>
  <si>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</si>
  <si>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</si>
  <si>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</si>
  <si>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</si>
  <si>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</si>
  <si>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</si>
  <si>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</si>
  <si>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</si>
  <si>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</si>
  <si>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Khanpur village  Boundary Wall work</t>
  </si>
  <si>
    <t xml:space="preserve">Paotikalan Village   Pipe laying work </t>
  </si>
  <si>
    <t>Jhanjeri Village   Pipeline Road Restoration work</t>
  </si>
  <si>
    <t xml:space="preserve">Kajipur Thirwa Village  Pipeline Road Restoration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</si>
</sst>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7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1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0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43" fontId="0" fillId="2" borderId="6" xfId="0" applyNumberForma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43" fontId="0" fillId="3" borderId="6" xfId="0" applyNumberForma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43" fontId="3" fillId="3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vertical="center" wrapText="1"/>
    </xf>
    <xf numFmtId="43" fontId="3" fillId="2" borderId="6" xfId="1" applyNumberFormat="1" applyFont="1" applyFill="1" applyBorder="1" applyAlignment="1">
      <alignment horizontal="right"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8" xfId="0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164" fontId="10" fillId="2" borderId="9" xfId="1" applyFont="1" applyFill="1" applyBorder="1" applyAlignment="1">
      <alignment horizontal="center" vertical="center"/>
    </xf>
    <xf numFmtId="164" fontId="6" fillId="2" borderId="9" xfId="1" applyFont="1" applyFill="1" applyBorder="1" applyAlignment="1">
      <alignment horizontal="center" vertical="center"/>
    </xf>
    <xf numFmtId="0" fontId="6" fillId="0" borderId="0" xfId="0" applyFont="1"/>
    <xf numFmtId="43" fontId="8" fillId="2" borderId="3" xfId="1" applyNumberFormat="1" applyFont="1" applyFill="1" applyBorder="1" applyAlignment="1">
      <alignment horizontal="center" vertical="center"/>
    </xf>
    <xf numFmtId="43" fontId="8" fillId="2" borderId="4" xfId="1" applyNumberFormat="1" applyFont="1" applyFill="1" applyBorder="1" applyAlignment="1">
      <alignment horizontal="center" vertical="center"/>
    </xf>
    <xf numFmtId="43" fontId="8" fillId="2" borderId="15" xfId="1" applyNumberFormat="1" applyFont="1" applyFill="1" applyBorder="1" applyAlignment="1">
      <alignment horizontal="center"/>
    </xf>
    <xf numFmtId="43" fontId="8" fillId="2" borderId="16" xfId="1" applyNumberFormat="1" applyFont="1" applyFill="1" applyBorder="1" applyAlignment="1">
      <alignment horizontal="center"/>
    </xf>
    <xf numFmtId="43" fontId="8" fillId="2" borderId="15" xfId="1" applyNumberFormat="1" applyFont="1" applyFill="1" applyBorder="1" applyAlignment="1">
      <alignment horizontal="center" vertical="center"/>
    </xf>
    <xf numFmtId="43" fontId="8" fillId="2" borderId="17" xfId="1" applyNumberFormat="1" applyFont="1" applyFill="1" applyBorder="1" applyAlignment="1">
      <alignment horizontal="center" vertical="center"/>
    </xf>
    <xf numFmtId="43" fontId="8" fillId="2" borderId="15" xfId="1" applyNumberFormat="1" applyFont="1" applyFill="1" applyBorder="1" applyAlignment="1">
      <alignment horizontal="right"/>
    </xf>
    <xf numFmtId="43" fontId="8" fillId="2" borderId="16" xfId="1" applyNumberFormat="1" applyFont="1" applyFill="1" applyBorder="1" applyAlignment="1">
      <alignment horizontal="right"/>
    </xf>
    <xf numFmtId="43" fontId="8" fillId="2" borderId="13" xfId="1" applyNumberFormat="1" applyFont="1" applyFill="1" applyBorder="1" applyAlignment="1">
      <alignment horizontal="center" vertical="center"/>
    </xf>
    <xf numFmtId="43" fontId="8" fillId="2" borderId="2" xfId="1" applyNumberFormat="1" applyFont="1" applyFill="1" applyBorder="1" applyAlignment="1">
      <alignment horizontal="center" vertical="center"/>
    </xf>
    <xf numFmtId="43" fontId="8" fillId="2" borderId="14" xfId="1" applyNumberFormat="1" applyFont="1" applyFill="1" applyBorder="1" applyAlignment="1">
      <alignment horizontal="center" vertical="center"/>
    </xf>
    <xf numFmtId="14" fontId="9" fillId="2" borderId="10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67" fontId="0" fillId="2" borderId="0" xfId="0" applyNumberFormat="1" applyFill="1" applyAlignment="1">
      <alignment vertical="center"/>
    </xf>
    <xf numFmtId="167" fontId="2" fillId="2" borderId="0" xfId="1" applyNumberFormat="1" applyFont="1" applyFill="1" applyBorder="1" applyAlignment="1">
      <alignment vertical="center"/>
    </xf>
    <xf numFmtId="167" fontId="3" fillId="2" borderId="2" xfId="0" applyNumberFormat="1" applyFont="1" applyFill="1" applyBorder="1" applyAlignment="1">
      <alignment vertical="center"/>
    </xf>
    <xf numFmtId="167" fontId="6" fillId="2" borderId="9" xfId="0" applyNumberFormat="1" applyFont="1" applyFill="1" applyBorder="1" applyAlignment="1">
      <alignment horizontal="center" vertical="center"/>
    </xf>
    <xf numFmtId="167" fontId="3" fillId="2" borderId="7" xfId="1" applyNumberFormat="1" applyFont="1" applyFill="1" applyBorder="1" applyAlignment="1">
      <alignment vertical="center"/>
    </xf>
    <xf numFmtId="167" fontId="3" fillId="3" borderId="5" xfId="1" applyNumberFormat="1" applyFont="1" applyFill="1" applyBorder="1" applyAlignment="1">
      <alignment vertical="center"/>
    </xf>
    <xf numFmtId="167" fontId="3" fillId="0" borderId="6" xfId="0" applyNumberFormat="1" applyFont="1" applyBorder="1" applyAlignment="1">
      <alignment horizontal="center" vertical="center"/>
    </xf>
    <xf numFmtId="167" fontId="3" fillId="2" borderId="6" xfId="1" applyNumberFormat="1" applyFont="1" applyFill="1" applyBorder="1" applyAlignment="1">
      <alignment vertical="center"/>
    </xf>
    <xf numFmtId="167" fontId="3" fillId="3" borderId="6" xfId="1" applyNumberFormat="1" applyFont="1" applyFill="1" applyBorder="1" applyAlignment="1">
      <alignment vertical="center"/>
    </xf>
    <xf numFmtId="167" fontId="3" fillId="2" borderId="6" xfId="0" applyNumberFormat="1" applyFont="1" applyFill="1" applyBorder="1" applyAlignment="1">
      <alignment horizontal="center" vertical="center"/>
    </xf>
    <xf numFmtId="167" fontId="3" fillId="2" borderId="6" xfId="1" applyNumberFormat="1" applyFont="1" applyFill="1" applyBorder="1" applyAlignment="1">
      <alignment horizontal="center" vertical="center"/>
    </xf>
    <xf numFmtId="167" fontId="3" fillId="2" borderId="8" xfId="1" applyNumberFormat="1" applyFont="1" applyFill="1" applyBorder="1" applyAlignment="1">
      <alignment vertical="center"/>
    </xf>
    <xf numFmtId="167" fontId="3" fillId="2" borderId="9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1"/>
  <sheetViews>
    <sheetView tabSelected="1" zoomScaleNormal="100" workbookViewId="0">
      <pane ySplit="5" topLeftCell="A6" activePane="bottomLeft" state="frozen"/>
      <selection pane="bottomLeft" activeCell="C1" sqref="C1:C1048576"/>
    </sheetView>
  </sheetViews>
  <sheetFormatPr defaultColWidth="9" defaultRowHeight="15" x14ac:dyDescent="0.25"/>
  <cols>
    <col min="1" max="1" width="9" style="2"/>
    <col min="2" max="2" width="30" style="2" customWidth="1"/>
    <col min="3" max="3" width="16.28515625" style="68" bestFit="1" customWidth="1"/>
    <col min="4" max="4" width="11.5703125" style="2" bestFit="1" customWidth="1"/>
    <col min="5" max="5" width="13.28515625" style="2" bestFit="1" customWidth="1"/>
    <col min="6" max="6" width="13.28515625" style="2" customWidth="1"/>
    <col min="7" max="7" width="15.5703125" style="2" bestFit="1" customWidth="1"/>
    <col min="8" max="8" width="14.7109375" style="15" customWidth="1"/>
    <col min="9" max="9" width="12.85546875" style="15" bestFit="1" customWidth="1"/>
    <col min="10" max="10" width="14.5703125" style="2" bestFit="1" customWidth="1"/>
    <col min="11" max="13" width="14.42578125" style="2" customWidth="1"/>
    <col min="14" max="17" width="14.85546875" style="2" customWidth="1"/>
    <col min="18" max="18" width="21.7109375" style="2" bestFit="1" customWidth="1"/>
    <col min="19" max="19" width="14.140625" style="2" customWidth="1"/>
    <col min="20" max="20" width="14.5703125" style="2" bestFit="1" customWidth="1"/>
    <col min="21" max="21" width="16.7109375" style="2" customWidth="1"/>
    <col min="22" max="22" width="90.140625" style="2" customWidth="1"/>
    <col min="23" max="23" width="13" style="2" bestFit="1" customWidth="1"/>
    <col min="24" max="16384" width="9" style="2"/>
  </cols>
  <sheetData>
    <row r="1" spans="1:73" ht="15.75" thickBot="1" x14ac:dyDescent="0.3">
      <c r="A1" s="53" t="s">
        <v>139</v>
      </c>
      <c r="B1" s="1" t="s">
        <v>6</v>
      </c>
      <c r="E1" s="3"/>
      <c r="F1" s="3"/>
      <c r="G1" s="3"/>
      <c r="H1" s="4"/>
      <c r="I1" s="4"/>
    </row>
    <row r="2" spans="1:73" ht="21.75" thickBot="1" x14ac:dyDescent="0.3">
      <c r="A2" s="53" t="s">
        <v>140</v>
      </c>
      <c r="B2" s="5" t="s">
        <v>120</v>
      </c>
      <c r="C2" s="69"/>
      <c r="D2" s="6"/>
      <c r="H2" s="16" t="s">
        <v>3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73" ht="21.75" thickBot="1" x14ac:dyDescent="0.3">
      <c r="A3" s="53" t="s">
        <v>141</v>
      </c>
      <c r="B3" s="47" t="s">
        <v>121</v>
      </c>
      <c r="C3" s="69"/>
      <c r="D3" s="6"/>
      <c r="H3" s="1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73" ht="15.75" thickBot="1" x14ac:dyDescent="0.3">
      <c r="A4" s="53" t="s">
        <v>142</v>
      </c>
      <c r="B4" s="9" t="s">
        <v>121</v>
      </c>
      <c r="C4" s="70"/>
      <c r="D4" s="9"/>
      <c r="E4" s="9"/>
      <c r="F4" s="8"/>
      <c r="G4" s="8"/>
      <c r="H4" s="10"/>
      <c r="I4" s="10"/>
      <c r="J4" s="8"/>
      <c r="K4" s="8"/>
      <c r="L4" s="8"/>
      <c r="M4" s="8"/>
      <c r="R4" s="8"/>
      <c r="S4" s="11"/>
      <c r="T4" s="11"/>
      <c r="U4" s="11"/>
      <c r="V4" s="11"/>
    </row>
    <row r="5" spans="1:73" ht="52.5" customHeight="1" x14ac:dyDescent="0.25">
      <c r="A5" s="48" t="s">
        <v>122</v>
      </c>
      <c r="B5" s="49" t="s">
        <v>123</v>
      </c>
      <c r="C5" s="71" t="s">
        <v>124</v>
      </c>
      <c r="D5" s="50" t="s">
        <v>125</v>
      </c>
      <c r="E5" s="49" t="s">
        <v>126</v>
      </c>
      <c r="F5" s="49" t="s">
        <v>127</v>
      </c>
      <c r="G5" s="50" t="s">
        <v>128</v>
      </c>
      <c r="H5" s="51" t="s">
        <v>129</v>
      </c>
      <c r="I5" s="52" t="s">
        <v>0</v>
      </c>
      <c r="J5" s="49" t="s">
        <v>130</v>
      </c>
      <c r="K5" s="49" t="s">
        <v>131</v>
      </c>
      <c r="L5" s="49" t="s">
        <v>132</v>
      </c>
      <c r="M5" s="49" t="s">
        <v>133</v>
      </c>
      <c r="N5" s="27" t="s">
        <v>9</v>
      </c>
      <c r="O5" s="27" t="s">
        <v>84</v>
      </c>
      <c r="P5" s="27" t="s">
        <v>134</v>
      </c>
      <c r="Q5" s="27" t="s">
        <v>135</v>
      </c>
      <c r="R5" s="27" t="s">
        <v>1</v>
      </c>
      <c r="S5" s="49" t="s">
        <v>136</v>
      </c>
      <c r="T5" s="49" t="s">
        <v>137</v>
      </c>
      <c r="U5" s="49" t="s">
        <v>138</v>
      </c>
      <c r="V5" s="49" t="s">
        <v>2</v>
      </c>
      <c r="W5" s="28" t="s">
        <v>109</v>
      </c>
    </row>
    <row r="6" spans="1:73" ht="15.75" thickBot="1" x14ac:dyDescent="0.3">
      <c r="A6" s="39"/>
      <c r="B6" s="14"/>
      <c r="C6" s="72"/>
      <c r="D6" s="14"/>
      <c r="E6" s="14"/>
      <c r="F6" s="14"/>
      <c r="G6" s="14"/>
      <c r="H6" s="14"/>
      <c r="I6" s="14"/>
      <c r="J6" s="43">
        <v>0.01</v>
      </c>
      <c r="K6" s="43">
        <v>0.05</v>
      </c>
      <c r="L6" s="43">
        <v>0.1</v>
      </c>
      <c r="M6" s="43">
        <v>0.1</v>
      </c>
      <c r="N6" s="14" t="s">
        <v>17</v>
      </c>
      <c r="O6" s="14"/>
      <c r="P6" s="14"/>
      <c r="Q6" s="14"/>
      <c r="R6" s="14"/>
      <c r="S6" s="14"/>
      <c r="T6" s="43">
        <v>0.01</v>
      </c>
      <c r="U6" s="14"/>
      <c r="V6" s="14"/>
      <c r="W6" s="39"/>
    </row>
    <row r="7" spans="1:73" s="18" customFormat="1" x14ac:dyDescent="0.25">
      <c r="A7" s="40"/>
      <c r="B7" s="41"/>
      <c r="C7" s="73"/>
      <c r="D7" s="41"/>
      <c r="E7" s="41"/>
      <c r="F7" s="41"/>
      <c r="G7" s="41"/>
      <c r="H7" s="41"/>
      <c r="I7" s="41"/>
      <c r="J7" s="42"/>
      <c r="K7" s="42"/>
      <c r="L7" s="42"/>
      <c r="M7" s="42"/>
      <c r="N7" s="41"/>
      <c r="O7" s="41"/>
      <c r="P7" s="41"/>
      <c r="Q7" s="41"/>
      <c r="R7" s="41"/>
      <c r="S7" s="41"/>
      <c r="T7" s="42"/>
      <c r="U7" s="41"/>
      <c r="V7" s="41"/>
      <c r="W7" s="40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ht="36.6" customHeight="1" x14ac:dyDescent="0.25">
      <c r="A8" s="22">
        <v>56258</v>
      </c>
      <c r="B8" s="30" t="s">
        <v>143</v>
      </c>
      <c r="C8" s="74">
        <v>45055</v>
      </c>
      <c r="D8" s="31">
        <v>2</v>
      </c>
      <c r="E8" s="20">
        <v>189000</v>
      </c>
      <c r="F8" s="20">
        <v>53414</v>
      </c>
      <c r="G8" s="20">
        <f>E8-F8</f>
        <v>135586</v>
      </c>
      <c r="H8" s="20">
        <f>ROUND(G8*18%,)</f>
        <v>24405</v>
      </c>
      <c r="I8" s="20">
        <f>ROUND(G8+H8,)</f>
        <v>159991</v>
      </c>
      <c r="J8" s="20">
        <f>ROUND(G8*J6,)</f>
        <v>1356</v>
      </c>
      <c r="K8" s="20">
        <f>ROUND(G8*5%,)</f>
        <v>6779</v>
      </c>
      <c r="L8" s="20">
        <v>0</v>
      </c>
      <c r="M8" s="20">
        <v>0</v>
      </c>
      <c r="N8" s="20">
        <f>G8*5%</f>
        <v>6779.3</v>
      </c>
      <c r="O8" s="20">
        <v>0</v>
      </c>
      <c r="P8" s="20">
        <f>H8</f>
        <v>24405</v>
      </c>
      <c r="Q8" s="20">
        <f>I8-SUM(J8:P8)</f>
        <v>120671.7</v>
      </c>
      <c r="R8" s="12" t="s">
        <v>8</v>
      </c>
      <c r="S8" s="12">
        <v>100000</v>
      </c>
      <c r="T8" s="12">
        <f>S8*T6</f>
        <v>1000</v>
      </c>
      <c r="U8" s="12">
        <f>S8-T8</f>
        <v>99000</v>
      </c>
      <c r="V8" s="32" t="s">
        <v>7</v>
      </c>
      <c r="W8" s="22"/>
    </row>
    <row r="9" spans="1:73" ht="36.6" customHeight="1" x14ac:dyDescent="0.25">
      <c r="A9" s="22">
        <v>56258</v>
      </c>
      <c r="B9" s="30" t="s">
        <v>12</v>
      </c>
      <c r="C9" s="74">
        <v>45067</v>
      </c>
      <c r="D9" s="31">
        <v>2</v>
      </c>
      <c r="E9" s="20">
        <v>24405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>
        <f>E9</f>
        <v>24405</v>
      </c>
      <c r="R9" s="12" t="s">
        <v>11</v>
      </c>
      <c r="S9" s="12">
        <v>21672</v>
      </c>
      <c r="T9" s="12"/>
      <c r="U9" s="12">
        <f t="shared" ref="U9:U12" si="0">S9-T9</f>
        <v>21672</v>
      </c>
      <c r="V9" s="32" t="s">
        <v>10</v>
      </c>
      <c r="W9" s="22"/>
    </row>
    <row r="10" spans="1:73" ht="28.5" x14ac:dyDescent="0.25">
      <c r="A10" s="22">
        <v>56258</v>
      </c>
      <c r="B10" s="30" t="s">
        <v>143</v>
      </c>
      <c r="C10" s="74">
        <v>45097</v>
      </c>
      <c r="D10" s="33">
        <v>5</v>
      </c>
      <c r="E10" s="12">
        <v>232575</v>
      </c>
      <c r="F10" s="12">
        <v>4578</v>
      </c>
      <c r="G10" s="20">
        <f>E10-F10</f>
        <v>227997</v>
      </c>
      <c r="H10" s="20">
        <f>ROUND(G10*18%,)</f>
        <v>41039</v>
      </c>
      <c r="I10" s="20">
        <f>ROUND(G10+H10,)</f>
        <v>269036</v>
      </c>
      <c r="J10" s="20">
        <f>ROUND(G10*1%,)</f>
        <v>2280</v>
      </c>
      <c r="K10" s="20">
        <f>ROUND(G10*5%,)</f>
        <v>11400</v>
      </c>
      <c r="L10" s="20">
        <v>0</v>
      </c>
      <c r="M10" s="20">
        <v>0</v>
      </c>
      <c r="N10" s="20">
        <f>G10*10%</f>
        <v>22799.7</v>
      </c>
      <c r="O10" s="20">
        <v>23625</v>
      </c>
      <c r="P10" s="20">
        <f>H10</f>
        <v>41039</v>
      </c>
      <c r="Q10" s="20">
        <f>I10-SUM(J10:P10)</f>
        <v>167892.3</v>
      </c>
      <c r="R10" s="12" t="s">
        <v>14</v>
      </c>
      <c r="S10" s="12">
        <v>24405</v>
      </c>
      <c r="T10" s="12"/>
      <c r="U10" s="12">
        <f t="shared" si="0"/>
        <v>24405</v>
      </c>
      <c r="V10" s="32" t="s">
        <v>13</v>
      </c>
      <c r="W10" s="22"/>
    </row>
    <row r="11" spans="1:73" x14ac:dyDescent="0.25">
      <c r="A11" s="22">
        <v>56258</v>
      </c>
      <c r="B11" s="30" t="s">
        <v>12</v>
      </c>
      <c r="C11" s="74"/>
      <c r="D11" s="31">
        <v>5</v>
      </c>
      <c r="E11" s="20">
        <f>P10</f>
        <v>41039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>
        <f>E11</f>
        <v>41039</v>
      </c>
      <c r="R11" s="12" t="s">
        <v>16</v>
      </c>
      <c r="S11" s="12">
        <v>50000</v>
      </c>
      <c r="T11" s="12">
        <f>S11*T6</f>
        <v>500</v>
      </c>
      <c r="U11" s="12">
        <f t="shared" si="0"/>
        <v>49500</v>
      </c>
      <c r="V11" s="32" t="s">
        <v>15</v>
      </c>
      <c r="W11" s="22"/>
    </row>
    <row r="12" spans="1:73" x14ac:dyDescent="0.25">
      <c r="A12" s="22">
        <v>56258</v>
      </c>
      <c r="B12" s="12"/>
      <c r="C12" s="7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 t="s">
        <v>19</v>
      </c>
      <c r="S12" s="12">
        <v>118392</v>
      </c>
      <c r="T12" s="12"/>
      <c r="U12" s="12">
        <f t="shared" si="0"/>
        <v>118392</v>
      </c>
      <c r="V12" s="32" t="s">
        <v>18</v>
      </c>
      <c r="W12" s="22"/>
    </row>
    <row r="13" spans="1:73" x14ac:dyDescent="0.25">
      <c r="A13" s="22">
        <v>56258</v>
      </c>
      <c r="B13" s="12"/>
      <c r="C13" s="7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 t="s">
        <v>111</v>
      </c>
      <c r="S13" s="12">
        <v>41039</v>
      </c>
      <c r="T13" s="12"/>
      <c r="U13" s="12">
        <f t="shared" ref="U13" si="1">S13-T13</f>
        <v>41039</v>
      </c>
      <c r="V13" s="32" t="s">
        <v>110</v>
      </c>
      <c r="W13" s="22"/>
    </row>
    <row r="14" spans="1:73" s="18" customFormat="1" x14ac:dyDescent="0.25">
      <c r="A14" s="24"/>
      <c r="B14" s="29"/>
      <c r="C14" s="76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4"/>
      <c r="W14" s="25">
        <f>SUM(Q8:Q13,0)-SUM(U8:U13,0)</f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x14ac:dyDescent="0.25">
      <c r="A15" s="22">
        <v>55445</v>
      </c>
      <c r="B15" s="12" t="s">
        <v>144</v>
      </c>
      <c r="C15" s="75">
        <v>45001</v>
      </c>
      <c r="D15" s="12">
        <v>6</v>
      </c>
      <c r="E15" s="12">
        <v>313203</v>
      </c>
      <c r="F15" s="12">
        <v>0</v>
      </c>
      <c r="G15" s="12">
        <v>313203</v>
      </c>
      <c r="H15" s="20">
        <f>ROUND(G15*18%,)</f>
        <v>56377</v>
      </c>
      <c r="I15" s="12">
        <v>369580</v>
      </c>
      <c r="J15" s="12">
        <v>3132.03</v>
      </c>
      <c r="K15" s="12">
        <v>15660.150000000001</v>
      </c>
      <c r="L15" s="12">
        <v>31320.300000000003</v>
      </c>
      <c r="M15" s="12">
        <v>31320.300000000003</v>
      </c>
      <c r="N15" s="12"/>
      <c r="O15" s="12"/>
      <c r="P15" s="12">
        <v>56376.54</v>
      </c>
      <c r="Q15" s="20">
        <f>I15-SUM(J15:P15)</f>
        <v>231770.68</v>
      </c>
      <c r="R15" s="12" t="s">
        <v>62</v>
      </c>
      <c r="S15" s="12">
        <v>150000</v>
      </c>
      <c r="T15" s="12">
        <f>S15*1%</f>
        <v>1500</v>
      </c>
      <c r="U15" s="12">
        <f>S15-T15</f>
        <v>148500</v>
      </c>
      <c r="V15" s="32" t="s">
        <v>20</v>
      </c>
      <c r="W15" s="23"/>
    </row>
    <row r="16" spans="1:73" x14ac:dyDescent="0.25">
      <c r="A16" s="22">
        <v>55445</v>
      </c>
      <c r="B16" s="12" t="s">
        <v>21</v>
      </c>
      <c r="C16" s="75">
        <v>45051</v>
      </c>
      <c r="D16" s="12">
        <v>6</v>
      </c>
      <c r="E16" s="12">
        <v>56376.54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0">
        <f>E16</f>
        <v>56376.54</v>
      </c>
      <c r="R16" s="12" t="s">
        <v>63</v>
      </c>
      <c r="S16" s="12">
        <v>50000</v>
      </c>
      <c r="T16" s="12">
        <f>S16*1%</f>
        <v>500</v>
      </c>
      <c r="U16" s="12">
        <f t="shared" ref="U16:U18" si="2">S16-T16</f>
        <v>49500</v>
      </c>
      <c r="V16" s="32" t="s">
        <v>22</v>
      </c>
      <c r="W16" s="23"/>
    </row>
    <row r="17" spans="1:73" x14ac:dyDescent="0.25">
      <c r="A17" s="22">
        <v>55445</v>
      </c>
      <c r="B17" s="12"/>
      <c r="C17" s="7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 t="s">
        <v>64</v>
      </c>
      <c r="S17" s="12">
        <v>33771</v>
      </c>
      <c r="T17" s="12"/>
      <c r="U17" s="12">
        <f t="shared" si="2"/>
        <v>33771</v>
      </c>
      <c r="V17" s="32" t="s">
        <v>23</v>
      </c>
      <c r="W17" s="23"/>
    </row>
    <row r="18" spans="1:73" x14ac:dyDescent="0.25">
      <c r="A18" s="22">
        <v>55445</v>
      </c>
      <c r="B18" s="12"/>
      <c r="C18" s="7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 t="s">
        <v>65</v>
      </c>
      <c r="S18" s="12">
        <v>56377</v>
      </c>
      <c r="T18" s="12"/>
      <c r="U18" s="12">
        <f t="shared" si="2"/>
        <v>56377</v>
      </c>
      <c r="V18" s="32" t="s">
        <v>24</v>
      </c>
      <c r="W18" s="22"/>
    </row>
    <row r="19" spans="1:73" x14ac:dyDescent="0.25">
      <c r="A19" s="22">
        <v>55445</v>
      </c>
      <c r="B19" s="12"/>
      <c r="C19" s="7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32"/>
      <c r="W19" s="22"/>
    </row>
    <row r="20" spans="1:73" s="18" customFormat="1" x14ac:dyDescent="0.25">
      <c r="A20" s="24"/>
      <c r="B20" s="29"/>
      <c r="C20" s="76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4"/>
      <c r="W20" s="25">
        <f>SUM(Q14:Q19,0)-SUM(U14:U19,0)</f>
        <v>-0.78000000002793968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ht="28.5" x14ac:dyDescent="0.25">
      <c r="A21" s="22">
        <v>55444</v>
      </c>
      <c r="B21" s="30" t="s">
        <v>25</v>
      </c>
      <c r="C21" s="77">
        <v>45001</v>
      </c>
      <c r="D21" s="34">
        <v>5</v>
      </c>
      <c r="E21" s="12">
        <v>613025</v>
      </c>
      <c r="F21" s="12">
        <v>2</v>
      </c>
      <c r="G21" s="12">
        <f t="shared" ref="G21:G25" si="3">E21-F21</f>
        <v>613023</v>
      </c>
      <c r="H21" s="20">
        <f>ROUND(G21*18%,)</f>
        <v>110344</v>
      </c>
      <c r="I21" s="12">
        <f>ROUND(G21+H21,)</f>
        <v>723367</v>
      </c>
      <c r="J21" s="12">
        <f>G21*$J$6</f>
        <v>6130.2300000000005</v>
      </c>
      <c r="K21" s="12">
        <f>G21*$K$6</f>
        <v>30651.15</v>
      </c>
      <c r="L21" s="12">
        <f>G21*$L$6</f>
        <v>61302.3</v>
      </c>
      <c r="M21" s="12">
        <f>G21*$M$6</f>
        <v>61302.3</v>
      </c>
      <c r="N21" s="22">
        <v>29407.5</v>
      </c>
      <c r="O21" s="12"/>
      <c r="P21" s="12">
        <f>H21</f>
        <v>110344</v>
      </c>
      <c r="Q21" s="20">
        <f t="shared" ref="Q21:Q22" si="4">I21-SUM(J21:P21)</f>
        <v>424229.52</v>
      </c>
      <c r="R21" s="12" t="s">
        <v>48</v>
      </c>
      <c r="S21" s="12">
        <v>200000</v>
      </c>
      <c r="T21" s="12">
        <f>S21*1%</f>
        <v>2000</v>
      </c>
      <c r="U21" s="12">
        <f>S21-T21</f>
        <v>198000</v>
      </c>
      <c r="V21" s="32" t="s">
        <v>26</v>
      </c>
      <c r="W21" s="22"/>
    </row>
    <row r="22" spans="1:73" ht="28.5" x14ac:dyDescent="0.25">
      <c r="A22" s="22">
        <v>55444</v>
      </c>
      <c r="B22" s="30" t="s">
        <v>25</v>
      </c>
      <c r="C22" s="77">
        <v>45031</v>
      </c>
      <c r="D22" s="34">
        <v>1</v>
      </c>
      <c r="E22" s="12">
        <v>365351</v>
      </c>
      <c r="F22" s="12">
        <v>18014</v>
      </c>
      <c r="G22" s="12">
        <f t="shared" si="3"/>
        <v>347337</v>
      </c>
      <c r="H22" s="20">
        <f>ROUND(G22*18%,)</f>
        <v>62521</v>
      </c>
      <c r="I22" s="12">
        <f>ROUND(G22+H22,)</f>
        <v>409858</v>
      </c>
      <c r="J22" s="12">
        <f>G22*$J$6</f>
        <v>3473.37</v>
      </c>
      <c r="K22" s="12">
        <f>G22*$K$6</f>
        <v>17366.850000000002</v>
      </c>
      <c r="L22" s="12">
        <f>G22*$L$6</f>
        <v>34733.700000000004</v>
      </c>
      <c r="M22" s="12">
        <f>G22*$M$6</f>
        <v>34733.700000000004</v>
      </c>
      <c r="N22" s="35">
        <v>0</v>
      </c>
      <c r="O22" s="12"/>
      <c r="P22" s="12">
        <f>H22</f>
        <v>62521</v>
      </c>
      <c r="Q22" s="20">
        <f t="shared" si="4"/>
        <v>257029.38</v>
      </c>
      <c r="R22" s="12" t="s">
        <v>46</v>
      </c>
      <c r="S22" s="12">
        <v>100000</v>
      </c>
      <c r="T22" s="12">
        <f>S22*1%</f>
        <v>1000</v>
      </c>
      <c r="U22" s="12">
        <f t="shared" ref="U22:U35" si="5">S22-T22</f>
        <v>99000</v>
      </c>
      <c r="V22" s="32" t="s">
        <v>47</v>
      </c>
      <c r="W22" s="22"/>
    </row>
    <row r="23" spans="1:73" x14ac:dyDescent="0.25">
      <c r="A23" s="22">
        <v>55444</v>
      </c>
      <c r="B23" s="30" t="s">
        <v>21</v>
      </c>
      <c r="C23" s="77">
        <v>45019</v>
      </c>
      <c r="D23" s="33">
        <v>5</v>
      </c>
      <c r="E23" s="12">
        <v>110344.14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20">
        <f>E23</f>
        <v>110344.14</v>
      </c>
      <c r="R23" s="12" t="s">
        <v>49</v>
      </c>
      <c r="S23" s="12">
        <v>100000</v>
      </c>
      <c r="T23" s="12">
        <f>S23*1%</f>
        <v>1000</v>
      </c>
      <c r="U23" s="12">
        <f t="shared" si="5"/>
        <v>99000</v>
      </c>
      <c r="V23" s="32" t="s">
        <v>27</v>
      </c>
      <c r="W23" s="22"/>
    </row>
    <row r="24" spans="1:73" x14ac:dyDescent="0.25">
      <c r="A24" s="22">
        <v>55444</v>
      </c>
      <c r="B24" s="30" t="s">
        <v>21</v>
      </c>
      <c r="C24" s="78">
        <v>45067</v>
      </c>
      <c r="D24" s="33">
        <v>1</v>
      </c>
      <c r="E24" s="12">
        <v>62520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20">
        <f>E24</f>
        <v>62520</v>
      </c>
      <c r="R24" s="12" t="s">
        <v>50</v>
      </c>
      <c r="S24" s="12">
        <v>50000</v>
      </c>
      <c r="T24" s="12">
        <f>S24*1%</f>
        <v>500</v>
      </c>
      <c r="U24" s="12">
        <f t="shared" si="5"/>
        <v>49500</v>
      </c>
      <c r="V24" s="32" t="s">
        <v>28</v>
      </c>
      <c r="W24" s="22"/>
    </row>
    <row r="25" spans="1:73" ht="28.5" x14ac:dyDescent="0.25">
      <c r="A25" s="22">
        <v>55444</v>
      </c>
      <c r="B25" s="30" t="s">
        <v>25</v>
      </c>
      <c r="C25" s="77">
        <v>45134</v>
      </c>
      <c r="D25" s="34">
        <v>6</v>
      </c>
      <c r="E25" s="12">
        <v>471276</v>
      </c>
      <c r="F25" s="12">
        <v>0</v>
      </c>
      <c r="G25" s="12">
        <f t="shared" si="3"/>
        <v>471276</v>
      </c>
      <c r="H25" s="20">
        <f>ROUND(G25*18%,)</f>
        <v>84830</v>
      </c>
      <c r="I25" s="12">
        <f>ROUND(G25+H25,)</f>
        <v>556106</v>
      </c>
      <c r="J25" s="12">
        <f>G25*$J$6</f>
        <v>4712.76</v>
      </c>
      <c r="K25" s="12">
        <f>G25*$K$6</f>
        <v>23563.800000000003</v>
      </c>
      <c r="L25" s="12">
        <f>G25*$L$6</f>
        <v>47127.600000000006</v>
      </c>
      <c r="M25" s="12">
        <f>G25*$M$6</f>
        <v>47127.600000000006</v>
      </c>
      <c r="N25" s="21">
        <v>0</v>
      </c>
      <c r="O25" s="22">
        <v>15798</v>
      </c>
      <c r="P25" s="12">
        <f>H25</f>
        <v>84830</v>
      </c>
      <c r="Q25" s="20">
        <f>I25-SUM(J25:P25)</f>
        <v>332946.24</v>
      </c>
      <c r="R25" s="35" t="s">
        <v>51</v>
      </c>
      <c r="S25" s="12">
        <v>200000</v>
      </c>
      <c r="T25" s="12">
        <f>S25*1%</f>
        <v>2000</v>
      </c>
      <c r="U25" s="12">
        <f t="shared" si="5"/>
        <v>198000</v>
      </c>
      <c r="V25" s="32" t="s">
        <v>29</v>
      </c>
      <c r="W25" s="22"/>
    </row>
    <row r="26" spans="1:73" x14ac:dyDescent="0.25">
      <c r="A26" s="22">
        <v>55444</v>
      </c>
      <c r="B26" s="30" t="s">
        <v>21</v>
      </c>
      <c r="C26" s="77">
        <v>45135</v>
      </c>
      <c r="D26" s="33">
        <v>6</v>
      </c>
      <c r="E26" s="12">
        <f>P25</f>
        <v>84830</v>
      </c>
      <c r="F26" s="12"/>
      <c r="G26" s="12"/>
      <c r="H26" s="20"/>
      <c r="I26" s="12"/>
      <c r="J26" s="12"/>
      <c r="K26" s="12"/>
      <c r="L26" s="12"/>
      <c r="M26" s="12"/>
      <c r="N26" s="12"/>
      <c r="O26" s="12"/>
      <c r="P26" s="12"/>
      <c r="Q26" s="20">
        <f>E26</f>
        <v>84830</v>
      </c>
      <c r="R26" s="12" t="s">
        <v>52</v>
      </c>
      <c r="S26" s="12">
        <v>110344</v>
      </c>
      <c r="T26" s="12">
        <v>0</v>
      </c>
      <c r="U26" s="12">
        <f t="shared" si="5"/>
        <v>110344</v>
      </c>
      <c r="V26" s="32" t="s">
        <v>30</v>
      </c>
      <c r="W26" s="22"/>
    </row>
    <row r="27" spans="1:73" ht="28.5" x14ac:dyDescent="0.25">
      <c r="A27" s="22">
        <v>55444</v>
      </c>
      <c r="B27" s="30" t="s">
        <v>25</v>
      </c>
      <c r="C27" s="77">
        <v>45236</v>
      </c>
      <c r="D27" s="34">
        <v>10</v>
      </c>
      <c r="E27" s="12">
        <v>368509</v>
      </c>
      <c r="F27" s="12">
        <v>36028</v>
      </c>
      <c r="G27" s="12">
        <f t="shared" ref="G27" si="6">E27-F27</f>
        <v>332481</v>
      </c>
      <c r="H27" s="20">
        <f>ROUND(G27*18%,)</f>
        <v>59847</v>
      </c>
      <c r="I27" s="12">
        <f>ROUND(G27+H27,)</f>
        <v>392328</v>
      </c>
      <c r="J27" s="12">
        <f>G27*$J$6</f>
        <v>3324.81</v>
      </c>
      <c r="K27" s="12">
        <f>G27*$K$6</f>
        <v>16624.05</v>
      </c>
      <c r="L27" s="12">
        <f>G27*$L$6</f>
        <v>33248.1</v>
      </c>
      <c r="M27" s="12">
        <f>G27*10%</f>
        <v>33248.1</v>
      </c>
      <c r="N27" s="21">
        <v>0</v>
      </c>
      <c r="O27" s="22">
        <v>8098</v>
      </c>
      <c r="P27" s="12">
        <f>H27</f>
        <v>59847</v>
      </c>
      <c r="Q27" s="20">
        <f>I27-SUM(J27:P27)</f>
        <v>237937.94</v>
      </c>
      <c r="R27" s="12" t="s">
        <v>53</v>
      </c>
      <c r="S27" s="12">
        <v>62521</v>
      </c>
      <c r="T27" s="12">
        <v>0</v>
      </c>
      <c r="U27" s="12">
        <f t="shared" si="5"/>
        <v>62521</v>
      </c>
      <c r="V27" s="32" t="s">
        <v>31</v>
      </c>
      <c r="W27" s="22"/>
    </row>
    <row r="28" spans="1:73" x14ac:dyDescent="0.25">
      <c r="A28" s="22">
        <v>55444</v>
      </c>
      <c r="B28" s="30" t="s">
        <v>21</v>
      </c>
      <c r="C28" s="77"/>
      <c r="D28" s="33">
        <v>10</v>
      </c>
      <c r="E28" s="12">
        <f>P27</f>
        <v>59847</v>
      </c>
      <c r="F28" s="12"/>
      <c r="G28" s="12"/>
      <c r="H28" s="20"/>
      <c r="I28" s="12"/>
      <c r="J28" s="12"/>
      <c r="K28" s="12"/>
      <c r="L28" s="12"/>
      <c r="M28" s="12"/>
      <c r="N28" s="12"/>
      <c r="O28" s="12"/>
      <c r="P28" s="12"/>
      <c r="Q28" s="20">
        <f>E28</f>
        <v>59847</v>
      </c>
      <c r="R28" s="12" t="s">
        <v>58</v>
      </c>
      <c r="S28" s="12">
        <v>100000</v>
      </c>
      <c r="T28" s="12">
        <f>S28*1%</f>
        <v>1000</v>
      </c>
      <c r="U28" s="12">
        <f t="shared" si="5"/>
        <v>99000</v>
      </c>
      <c r="V28" s="32" t="s">
        <v>54</v>
      </c>
      <c r="W28" s="22"/>
    </row>
    <row r="29" spans="1:73" ht="28.5" x14ac:dyDescent="0.25">
      <c r="A29" s="22">
        <v>55444</v>
      </c>
      <c r="B29" s="30" t="s">
        <v>25</v>
      </c>
      <c r="C29" s="77">
        <v>45491</v>
      </c>
      <c r="D29" s="34">
        <v>3</v>
      </c>
      <c r="E29" s="12">
        <v>739762</v>
      </c>
      <c r="F29" s="12">
        <v>4403</v>
      </c>
      <c r="G29" s="12">
        <f t="shared" ref="G29" si="7">E29-F29</f>
        <v>735359</v>
      </c>
      <c r="H29" s="20">
        <f>ROUND(G29*18%,)</f>
        <v>132365</v>
      </c>
      <c r="I29" s="12">
        <f>ROUND(G29+H29,)</f>
        <v>867724</v>
      </c>
      <c r="J29" s="12">
        <f>G29*$J$6</f>
        <v>7353.59</v>
      </c>
      <c r="K29" s="12">
        <f>G29*$K$6</f>
        <v>36767.950000000004</v>
      </c>
      <c r="L29" s="12">
        <f>G29*$L$6</f>
        <v>73535.900000000009</v>
      </c>
      <c r="M29" s="12">
        <f>G29*10%</f>
        <v>73535.900000000009</v>
      </c>
      <c r="N29" s="21">
        <v>0</v>
      </c>
      <c r="O29" s="22">
        <v>57580</v>
      </c>
      <c r="P29" s="12">
        <f>H29</f>
        <v>132365</v>
      </c>
      <c r="Q29" s="20">
        <f>I29-SUM(J29:P29)</f>
        <v>486585.66</v>
      </c>
      <c r="R29" s="12" t="s">
        <v>59</v>
      </c>
      <c r="S29" s="12">
        <v>138741</v>
      </c>
      <c r="T29" s="12"/>
      <c r="U29" s="12">
        <f t="shared" si="5"/>
        <v>138741</v>
      </c>
      <c r="V29" s="32" t="s">
        <v>55</v>
      </c>
      <c r="W29" s="22"/>
    </row>
    <row r="30" spans="1:73" x14ac:dyDescent="0.25">
      <c r="A30" s="22">
        <v>55444</v>
      </c>
      <c r="B30" s="12"/>
      <c r="C30" s="7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 t="s">
        <v>60</v>
      </c>
      <c r="S30" s="12">
        <v>100000</v>
      </c>
      <c r="T30" s="12">
        <f>S30*1%</f>
        <v>1000</v>
      </c>
      <c r="U30" s="12">
        <f t="shared" si="5"/>
        <v>99000</v>
      </c>
      <c r="V30" s="32" t="s">
        <v>56</v>
      </c>
      <c r="W30" s="22"/>
    </row>
    <row r="31" spans="1:73" x14ac:dyDescent="0.25">
      <c r="A31" s="22">
        <v>55444</v>
      </c>
      <c r="B31" s="12"/>
      <c r="C31" s="7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 t="s">
        <v>61</v>
      </c>
      <c r="S31" s="12">
        <v>100000</v>
      </c>
      <c r="T31" s="12">
        <f>S31*1%</f>
        <v>1000</v>
      </c>
      <c r="U31" s="12">
        <f t="shared" si="5"/>
        <v>99000</v>
      </c>
      <c r="V31" s="32" t="s">
        <v>57</v>
      </c>
      <c r="W31" s="22"/>
    </row>
    <row r="32" spans="1:73" x14ac:dyDescent="0.25">
      <c r="A32" s="22">
        <v>55444</v>
      </c>
      <c r="B32" s="12"/>
      <c r="C32" s="7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 t="s">
        <v>85</v>
      </c>
      <c r="S32" s="12">
        <v>84830</v>
      </c>
      <c r="T32" s="12">
        <v>0</v>
      </c>
      <c r="U32" s="12">
        <f t="shared" si="5"/>
        <v>84830</v>
      </c>
      <c r="V32" s="32" t="s">
        <v>86</v>
      </c>
      <c r="W32" s="22"/>
    </row>
    <row r="33" spans="1:73" x14ac:dyDescent="0.25">
      <c r="A33" s="22">
        <v>55444</v>
      </c>
      <c r="B33" s="12"/>
      <c r="C33" s="7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 t="s">
        <v>95</v>
      </c>
      <c r="S33" s="12">
        <v>100000</v>
      </c>
      <c r="T33" s="12">
        <f t="shared" ref="T33:T35" si="8">S33*1%</f>
        <v>1000</v>
      </c>
      <c r="U33" s="12">
        <f t="shared" si="5"/>
        <v>99000</v>
      </c>
      <c r="V33" s="32" t="s">
        <v>93</v>
      </c>
      <c r="W33" s="22"/>
    </row>
    <row r="34" spans="1:73" x14ac:dyDescent="0.25">
      <c r="A34" s="22">
        <v>55444</v>
      </c>
      <c r="B34" s="12"/>
      <c r="C34" s="7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 t="s">
        <v>96</v>
      </c>
      <c r="S34" s="12">
        <v>100000</v>
      </c>
      <c r="T34" s="12">
        <f t="shared" si="8"/>
        <v>1000</v>
      </c>
      <c r="U34" s="12">
        <f t="shared" si="5"/>
        <v>99000</v>
      </c>
      <c r="V34" s="32" t="s">
        <v>94</v>
      </c>
      <c r="W34" s="22"/>
    </row>
    <row r="35" spans="1:73" x14ac:dyDescent="0.25">
      <c r="A35" s="22">
        <v>55444</v>
      </c>
      <c r="B35" s="12"/>
      <c r="C35" s="7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 t="s">
        <v>104</v>
      </c>
      <c r="S35" s="12">
        <v>200000</v>
      </c>
      <c r="T35" s="12">
        <f t="shared" si="8"/>
        <v>2000</v>
      </c>
      <c r="U35" s="12">
        <f t="shared" si="5"/>
        <v>198000</v>
      </c>
      <c r="V35" s="32" t="s">
        <v>103</v>
      </c>
      <c r="W35" s="22"/>
    </row>
    <row r="36" spans="1:73" x14ac:dyDescent="0.25">
      <c r="A36" s="22">
        <v>55444</v>
      </c>
      <c r="B36" s="12"/>
      <c r="C36" s="7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 t="s">
        <v>116</v>
      </c>
      <c r="S36" s="12">
        <v>200000</v>
      </c>
      <c r="T36" s="12">
        <f t="shared" ref="T36" si="9">S36*1%</f>
        <v>2000</v>
      </c>
      <c r="U36" s="12">
        <f t="shared" ref="U36" si="10">S36-T36</f>
        <v>198000</v>
      </c>
      <c r="V36" s="32" t="s">
        <v>115</v>
      </c>
      <c r="W36" s="22"/>
    </row>
    <row r="37" spans="1:73" x14ac:dyDescent="0.25">
      <c r="A37" s="22">
        <v>55444</v>
      </c>
      <c r="B37" s="12"/>
      <c r="C37" s="7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>
        <v>158400</v>
      </c>
      <c r="V37" s="32" t="s">
        <v>117</v>
      </c>
      <c r="W37" s="22"/>
    </row>
    <row r="38" spans="1:73" x14ac:dyDescent="0.25">
      <c r="A38" s="22">
        <v>55444</v>
      </c>
      <c r="B38" s="12"/>
      <c r="C38" s="75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32"/>
      <c r="W38" s="22"/>
    </row>
    <row r="39" spans="1:73" x14ac:dyDescent="0.25">
      <c r="A39" s="22">
        <v>55444</v>
      </c>
      <c r="B39" s="12"/>
      <c r="C39" s="7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32"/>
      <c r="W39" s="22"/>
    </row>
    <row r="40" spans="1:73" s="18" customFormat="1" x14ac:dyDescent="0.25">
      <c r="A40" s="24"/>
      <c r="B40" s="29"/>
      <c r="C40" s="76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4"/>
      <c r="W40" s="25">
        <f>SUM(Q21:Q39,0)-SUM(U21:U39,0)</f>
        <v>-33066.120000000112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2">
        <v>55157</v>
      </c>
      <c r="B41" s="12" t="s">
        <v>32</v>
      </c>
      <c r="C41" s="75">
        <v>45059</v>
      </c>
      <c r="D41" s="12">
        <v>3</v>
      </c>
      <c r="E41" s="12">
        <v>372645</v>
      </c>
      <c r="F41" s="12">
        <v>57565</v>
      </c>
      <c r="G41" s="12">
        <v>315080</v>
      </c>
      <c r="H41" s="12">
        <v>56714</v>
      </c>
      <c r="I41" s="12">
        <v>371794</v>
      </c>
      <c r="J41" s="12">
        <v>3151</v>
      </c>
      <c r="K41" s="12">
        <v>15754</v>
      </c>
      <c r="L41" s="12"/>
      <c r="M41" s="12"/>
      <c r="N41" s="12"/>
      <c r="O41" s="12">
        <v>20000</v>
      </c>
      <c r="P41" s="12">
        <v>56714</v>
      </c>
      <c r="Q41" s="20">
        <f>I41-SUM(J41:P41)</f>
        <v>276175</v>
      </c>
      <c r="R41" s="12" t="s">
        <v>66</v>
      </c>
      <c r="S41" s="12">
        <v>150000</v>
      </c>
      <c r="T41" s="12">
        <f>S41*1%</f>
        <v>1500</v>
      </c>
      <c r="U41" s="12">
        <f>S41-T41</f>
        <v>148500</v>
      </c>
      <c r="V41" s="32" t="s">
        <v>33</v>
      </c>
      <c r="W41" s="22"/>
    </row>
    <row r="42" spans="1:73" x14ac:dyDescent="0.25">
      <c r="A42" s="22">
        <v>55157</v>
      </c>
      <c r="B42" s="12" t="s">
        <v>12</v>
      </c>
      <c r="C42" s="75">
        <v>45103</v>
      </c>
      <c r="D42" s="12">
        <v>3</v>
      </c>
      <c r="E42" s="12">
        <v>56714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>
        <f>E42</f>
        <v>56714</v>
      </c>
      <c r="R42" s="12" t="s">
        <v>67</v>
      </c>
      <c r="S42" s="12">
        <v>127675</v>
      </c>
      <c r="T42" s="12">
        <v>0</v>
      </c>
      <c r="U42" s="12">
        <f t="shared" ref="U42:U43" si="11">S42-T42</f>
        <v>127675</v>
      </c>
      <c r="V42" s="32" t="s">
        <v>34</v>
      </c>
      <c r="W42" s="22"/>
    </row>
    <row r="43" spans="1:73" x14ac:dyDescent="0.25">
      <c r="A43" s="22">
        <v>55157</v>
      </c>
      <c r="B43" s="12"/>
      <c r="C43" s="7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 t="s">
        <v>68</v>
      </c>
      <c r="S43" s="12">
        <v>56714</v>
      </c>
      <c r="T43" s="12">
        <v>0</v>
      </c>
      <c r="U43" s="12">
        <f t="shared" si="11"/>
        <v>56714</v>
      </c>
      <c r="V43" s="32" t="s">
        <v>35</v>
      </c>
      <c r="W43" s="22"/>
    </row>
    <row r="44" spans="1:73" x14ac:dyDescent="0.25">
      <c r="A44" s="22">
        <v>55157</v>
      </c>
      <c r="B44" s="12"/>
      <c r="C44" s="7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32"/>
      <c r="W44" s="22"/>
    </row>
    <row r="45" spans="1:73" s="18" customFormat="1" x14ac:dyDescent="0.25">
      <c r="A45" s="24"/>
      <c r="B45" s="29"/>
      <c r="C45" s="76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4"/>
      <c r="W45" s="25">
        <f>SUM(Q41:Q44,0)-SUM(U41:U44,0)</f>
        <v>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x14ac:dyDescent="0.25">
      <c r="A46" s="22">
        <v>54365</v>
      </c>
      <c r="B46" s="12" t="s">
        <v>36</v>
      </c>
      <c r="C46" s="75">
        <v>44929</v>
      </c>
      <c r="D46" s="12">
        <v>3</v>
      </c>
      <c r="E46" s="12">
        <v>835569</v>
      </c>
      <c r="F46" s="12">
        <v>0</v>
      </c>
      <c r="G46" s="12">
        <v>835569</v>
      </c>
      <c r="H46" s="12">
        <v>150402</v>
      </c>
      <c r="I46" s="12">
        <v>985971</v>
      </c>
      <c r="J46" s="12">
        <v>8356</v>
      </c>
      <c r="K46" s="12">
        <v>41778</v>
      </c>
      <c r="L46" s="12">
        <v>83557</v>
      </c>
      <c r="M46" s="12">
        <v>83557</v>
      </c>
      <c r="N46" s="12"/>
      <c r="O46" s="12">
        <v>201990</v>
      </c>
      <c r="P46" s="12">
        <v>150402</v>
      </c>
      <c r="Q46" s="20">
        <f>I46-SUM(J46:P46)</f>
        <v>416331</v>
      </c>
      <c r="R46" s="12" t="s">
        <v>69</v>
      </c>
      <c r="S46" s="12">
        <v>300000</v>
      </c>
      <c r="T46" s="12">
        <f>S46*1%</f>
        <v>3000</v>
      </c>
      <c r="U46" s="12">
        <f>S46-T46</f>
        <v>297000</v>
      </c>
      <c r="V46" s="32" t="s">
        <v>37</v>
      </c>
      <c r="W46" s="22"/>
    </row>
    <row r="47" spans="1:73" x14ac:dyDescent="0.25">
      <c r="A47" s="22">
        <v>54365</v>
      </c>
      <c r="B47" s="12" t="s">
        <v>36</v>
      </c>
      <c r="C47" s="75">
        <v>45064</v>
      </c>
      <c r="D47" s="12">
        <v>4</v>
      </c>
      <c r="E47" s="12">
        <v>550402</v>
      </c>
      <c r="F47" s="12">
        <v>98924</v>
      </c>
      <c r="G47" s="12">
        <v>451478</v>
      </c>
      <c r="H47" s="12">
        <v>81266</v>
      </c>
      <c r="I47" s="12">
        <v>532744</v>
      </c>
      <c r="J47" s="12">
        <v>4515</v>
      </c>
      <c r="K47" s="12">
        <v>22574</v>
      </c>
      <c r="L47" s="12">
        <v>45148</v>
      </c>
      <c r="M47" s="12">
        <v>45148</v>
      </c>
      <c r="N47" s="12"/>
      <c r="O47" s="12"/>
      <c r="P47" s="12">
        <v>81266</v>
      </c>
      <c r="Q47" s="20">
        <f>I47-SUM(J47:P47)</f>
        <v>334093</v>
      </c>
      <c r="R47" s="12" t="s">
        <v>70</v>
      </c>
      <c r="S47" s="12">
        <v>119331</v>
      </c>
      <c r="T47" s="12"/>
      <c r="U47" s="12">
        <f t="shared" ref="U47:U58" si="12">S47-T47</f>
        <v>119331</v>
      </c>
      <c r="V47" s="32" t="s">
        <v>38</v>
      </c>
      <c r="W47" s="22"/>
    </row>
    <row r="48" spans="1:73" x14ac:dyDescent="0.25">
      <c r="A48" s="22">
        <v>54365</v>
      </c>
      <c r="B48" s="12" t="s">
        <v>12</v>
      </c>
      <c r="C48" s="75">
        <v>45064</v>
      </c>
      <c r="D48" s="12">
        <v>4</v>
      </c>
      <c r="E48" s="12">
        <v>81266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f>E48</f>
        <v>81266</v>
      </c>
      <c r="R48" s="12" t="s">
        <v>71</v>
      </c>
      <c r="S48" s="12">
        <v>80000</v>
      </c>
      <c r="T48" s="12">
        <f>S48*1%</f>
        <v>800</v>
      </c>
      <c r="U48" s="12">
        <f t="shared" si="12"/>
        <v>79200</v>
      </c>
      <c r="V48" s="32" t="s">
        <v>39</v>
      </c>
      <c r="W48" s="22"/>
    </row>
    <row r="49" spans="1:73" x14ac:dyDescent="0.25">
      <c r="A49" s="22">
        <v>54365</v>
      </c>
      <c r="B49" s="12"/>
      <c r="C49" s="75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 t="s">
        <v>79</v>
      </c>
      <c r="S49" s="12">
        <v>150402</v>
      </c>
      <c r="T49" s="12"/>
      <c r="U49" s="12">
        <f t="shared" si="12"/>
        <v>150402</v>
      </c>
      <c r="V49" s="32" t="s">
        <v>78</v>
      </c>
      <c r="W49" s="22"/>
    </row>
    <row r="50" spans="1:73" x14ac:dyDescent="0.25">
      <c r="A50" s="22">
        <v>54365</v>
      </c>
      <c r="B50" s="12" t="s">
        <v>12</v>
      </c>
      <c r="C50" s="75">
        <v>44929</v>
      </c>
      <c r="D50" s="12">
        <v>3</v>
      </c>
      <c r="E50" s="12">
        <v>150402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f>E50</f>
        <v>150402</v>
      </c>
      <c r="R50" s="12" t="s">
        <v>72</v>
      </c>
      <c r="S50" s="12">
        <v>50000</v>
      </c>
      <c r="T50" s="12">
        <f>S50*1%</f>
        <v>500</v>
      </c>
      <c r="U50" s="12">
        <f t="shared" si="12"/>
        <v>49500</v>
      </c>
      <c r="V50" s="32" t="s">
        <v>40</v>
      </c>
      <c r="W50" s="22"/>
    </row>
    <row r="51" spans="1:73" x14ac:dyDescent="0.25">
      <c r="A51" s="22">
        <v>54365</v>
      </c>
      <c r="B51" s="12"/>
      <c r="C51" s="7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 t="s">
        <v>73</v>
      </c>
      <c r="S51" s="12">
        <v>30000</v>
      </c>
      <c r="T51" s="12">
        <f>S51*1%</f>
        <v>300</v>
      </c>
      <c r="U51" s="12">
        <f t="shared" si="12"/>
        <v>29700</v>
      </c>
      <c r="V51" s="32" t="s">
        <v>41</v>
      </c>
      <c r="W51" s="22"/>
    </row>
    <row r="52" spans="1:73" ht="28.5" x14ac:dyDescent="0.25">
      <c r="A52" s="22">
        <v>54365</v>
      </c>
      <c r="B52" s="35" t="s">
        <v>36</v>
      </c>
      <c r="C52" s="75">
        <v>45141</v>
      </c>
      <c r="D52" s="12">
        <v>7</v>
      </c>
      <c r="E52" s="12">
        <v>225406</v>
      </c>
      <c r="F52" s="12">
        <v>0</v>
      </c>
      <c r="G52" s="12">
        <f>E52-F52</f>
        <v>225406</v>
      </c>
      <c r="H52" s="12">
        <f>G52*18%</f>
        <v>40573.08</v>
      </c>
      <c r="I52" s="12">
        <f>G52+H52</f>
        <v>265979.08</v>
      </c>
      <c r="J52" s="12">
        <f>G52*1%</f>
        <v>2254.06</v>
      </c>
      <c r="K52" s="12">
        <f>G52*5%</f>
        <v>11270.300000000001</v>
      </c>
      <c r="L52" s="12">
        <f>G52*10%</f>
        <v>22540.600000000002</v>
      </c>
      <c r="M52" s="12">
        <f>G52*10%</f>
        <v>22540.600000000002</v>
      </c>
      <c r="N52" s="12"/>
      <c r="O52" s="12">
        <v>80083</v>
      </c>
      <c r="P52" s="12">
        <f>H52</f>
        <v>40573.08</v>
      </c>
      <c r="Q52" s="20">
        <f>I52-SUM(J52:P52)</f>
        <v>86717.440000000002</v>
      </c>
      <c r="R52" s="12" t="s">
        <v>74</v>
      </c>
      <c r="S52" s="12">
        <v>150000</v>
      </c>
      <c r="T52" s="12">
        <f>S52*1%</f>
        <v>1500</v>
      </c>
      <c r="U52" s="12">
        <f t="shared" si="12"/>
        <v>148500</v>
      </c>
      <c r="V52" s="32" t="s">
        <v>42</v>
      </c>
      <c r="W52" s="22"/>
    </row>
    <row r="53" spans="1:73" x14ac:dyDescent="0.25">
      <c r="A53" s="22">
        <v>54365</v>
      </c>
      <c r="B53" s="12" t="s">
        <v>12</v>
      </c>
      <c r="C53" s="75">
        <v>45141</v>
      </c>
      <c r="D53" s="12">
        <v>7</v>
      </c>
      <c r="E53" s="12">
        <f>P52</f>
        <v>40573.08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>
        <f>E53</f>
        <v>40573.08</v>
      </c>
      <c r="R53" s="12" t="s">
        <v>75</v>
      </c>
      <c r="S53" s="12">
        <v>27193</v>
      </c>
      <c r="T53" s="12"/>
      <c r="U53" s="12">
        <f t="shared" si="12"/>
        <v>27193</v>
      </c>
      <c r="V53" s="32" t="s">
        <v>43</v>
      </c>
      <c r="W53" s="22"/>
    </row>
    <row r="54" spans="1:73" ht="28.5" x14ac:dyDescent="0.25">
      <c r="A54" s="22">
        <v>54365</v>
      </c>
      <c r="B54" s="35" t="s">
        <v>36</v>
      </c>
      <c r="C54" s="75">
        <v>45034</v>
      </c>
      <c r="D54" s="12">
        <v>1</v>
      </c>
      <c r="E54" s="12">
        <v>167371.70000000001</v>
      </c>
      <c r="F54" s="12"/>
      <c r="G54" s="12">
        <f>E54-F54</f>
        <v>167371.70000000001</v>
      </c>
      <c r="H54" s="12">
        <f>G54*18%</f>
        <v>30126.906000000003</v>
      </c>
      <c r="I54" s="12">
        <f>G54+H54</f>
        <v>197498.60600000003</v>
      </c>
      <c r="J54" s="12">
        <f>G54*1%</f>
        <v>1673.7170000000001</v>
      </c>
      <c r="K54" s="12">
        <f>G54*5%</f>
        <v>8368.5850000000009</v>
      </c>
      <c r="L54" s="12">
        <f>G54*10%</f>
        <v>16737.170000000002</v>
      </c>
      <c r="M54" s="12">
        <f>G54*10%</f>
        <v>16737.170000000002</v>
      </c>
      <c r="N54" s="12"/>
      <c r="O54" s="12">
        <v>41117</v>
      </c>
      <c r="P54" s="12">
        <f>H54</f>
        <v>30126.906000000003</v>
      </c>
      <c r="Q54" s="20">
        <f>I54-SUM(J54:P54)</f>
        <v>82738.058000000019</v>
      </c>
      <c r="R54" s="12" t="s">
        <v>76</v>
      </c>
      <c r="S54" s="12">
        <v>100000</v>
      </c>
      <c r="T54" s="12">
        <f>S54*1%</f>
        <v>1000</v>
      </c>
      <c r="U54" s="12">
        <f t="shared" si="12"/>
        <v>99000</v>
      </c>
      <c r="V54" s="32" t="s">
        <v>44</v>
      </c>
      <c r="W54" s="22"/>
    </row>
    <row r="55" spans="1:73" x14ac:dyDescent="0.25">
      <c r="A55" s="22">
        <v>54365</v>
      </c>
      <c r="B55" s="12"/>
      <c r="C55" s="7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 t="s">
        <v>77</v>
      </c>
      <c r="S55" s="12">
        <v>81266</v>
      </c>
      <c r="T55" s="12"/>
      <c r="U55" s="12">
        <f t="shared" si="12"/>
        <v>81266</v>
      </c>
      <c r="V55" s="32" t="s">
        <v>45</v>
      </c>
      <c r="W55" s="22"/>
    </row>
    <row r="56" spans="1:73" x14ac:dyDescent="0.25">
      <c r="A56" s="22">
        <v>54365</v>
      </c>
      <c r="B56" s="12"/>
      <c r="C56" s="7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 t="s">
        <v>81</v>
      </c>
      <c r="S56" s="12">
        <v>150000</v>
      </c>
      <c r="T56" s="12">
        <f>S56*1%</f>
        <v>1500</v>
      </c>
      <c r="U56" s="12">
        <f t="shared" si="12"/>
        <v>148500</v>
      </c>
      <c r="V56" s="32" t="s">
        <v>80</v>
      </c>
      <c r="W56" s="22"/>
    </row>
    <row r="57" spans="1:73" x14ac:dyDescent="0.25">
      <c r="A57" s="22">
        <v>54365</v>
      </c>
      <c r="B57" s="12"/>
      <c r="C57" s="7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 t="s">
        <v>88</v>
      </c>
      <c r="S57" s="12"/>
      <c r="T57" s="12"/>
      <c r="U57" s="12">
        <v>40573</v>
      </c>
      <c r="V57" s="32" t="s">
        <v>87</v>
      </c>
      <c r="W57" s="22"/>
    </row>
    <row r="58" spans="1:73" x14ac:dyDescent="0.25">
      <c r="A58" s="22">
        <v>54365</v>
      </c>
      <c r="B58" s="12"/>
      <c r="C58" s="7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 t="s">
        <v>113</v>
      </c>
      <c r="S58" s="12">
        <v>150000</v>
      </c>
      <c r="T58" s="12">
        <f>S58*1%</f>
        <v>1500</v>
      </c>
      <c r="U58" s="12">
        <f t="shared" si="12"/>
        <v>148500</v>
      </c>
      <c r="V58" s="32" t="s">
        <v>112</v>
      </c>
      <c r="W58" s="22"/>
    </row>
    <row r="59" spans="1:73" x14ac:dyDescent="0.25">
      <c r="A59" s="22">
        <v>54365</v>
      </c>
      <c r="B59" s="12"/>
      <c r="C59" s="7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32"/>
      <c r="W59" s="22"/>
    </row>
    <row r="60" spans="1:73" x14ac:dyDescent="0.25">
      <c r="A60" s="22">
        <v>54365</v>
      </c>
      <c r="B60" s="12"/>
      <c r="C60" s="75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32"/>
      <c r="W60" s="22"/>
    </row>
    <row r="61" spans="1:73" s="18" customFormat="1" x14ac:dyDescent="0.25">
      <c r="A61" s="24"/>
      <c r="B61" s="29"/>
      <c r="C61" s="76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4"/>
      <c r="W61" s="25">
        <f>SUM(Q46:Q58,0)-SUM(U46:U58,0)</f>
        <v>-226544.42200000002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 ht="28.5" x14ac:dyDescent="0.25">
      <c r="A62" s="22">
        <v>59028</v>
      </c>
      <c r="B62" s="35" t="s">
        <v>145</v>
      </c>
      <c r="C62" s="75">
        <v>45184</v>
      </c>
      <c r="D62" s="12">
        <v>8</v>
      </c>
      <c r="E62" s="12">
        <v>469458</v>
      </c>
      <c r="F62" s="12">
        <v>38150</v>
      </c>
      <c r="G62" s="12">
        <f>E62-F62</f>
        <v>431308</v>
      </c>
      <c r="H62" s="12">
        <f>G62*18%</f>
        <v>77635.44</v>
      </c>
      <c r="I62" s="12">
        <f>G62+H62</f>
        <v>508943.44</v>
      </c>
      <c r="J62" s="12">
        <f>G62*1%</f>
        <v>4313.08</v>
      </c>
      <c r="K62" s="12">
        <f>5%*G62</f>
        <v>21565.4</v>
      </c>
      <c r="L62" s="12">
        <v>0</v>
      </c>
      <c r="M62" s="12">
        <v>0</v>
      </c>
      <c r="N62" s="12"/>
      <c r="O62" s="12"/>
      <c r="P62" s="12">
        <f>H62</f>
        <v>77635.44</v>
      </c>
      <c r="Q62" s="20">
        <f>I62-SUM(J62:P62)</f>
        <v>405429.52</v>
      </c>
      <c r="R62" s="12" t="s">
        <v>83</v>
      </c>
      <c r="S62" s="12">
        <v>200000</v>
      </c>
      <c r="T62" s="12">
        <f>S62*1%</f>
        <v>2000</v>
      </c>
      <c r="U62" s="12">
        <f t="shared" ref="U62:U64" si="13">S62-T62</f>
        <v>198000</v>
      </c>
      <c r="V62" s="32" t="s">
        <v>82</v>
      </c>
      <c r="W62" s="22"/>
    </row>
    <row r="63" spans="1:73" x14ac:dyDescent="0.25">
      <c r="A63" s="22">
        <v>59028</v>
      </c>
      <c r="B63" s="12" t="s">
        <v>12</v>
      </c>
      <c r="C63" s="75"/>
      <c r="D63" s="12">
        <v>8</v>
      </c>
      <c r="E63" s="12">
        <f>P62</f>
        <v>77635.44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f>E63</f>
        <v>77635.44</v>
      </c>
      <c r="R63" s="12" t="s">
        <v>90</v>
      </c>
      <c r="S63" s="12">
        <v>207427</v>
      </c>
      <c r="T63" s="12"/>
      <c r="U63" s="12">
        <f t="shared" si="13"/>
        <v>207427</v>
      </c>
      <c r="V63" s="32" t="s">
        <v>89</v>
      </c>
      <c r="W63" s="22"/>
    </row>
    <row r="64" spans="1:73" ht="28.5" x14ac:dyDescent="0.25">
      <c r="A64" s="22">
        <v>59028</v>
      </c>
      <c r="B64" s="35" t="s">
        <v>145</v>
      </c>
      <c r="C64" s="75">
        <v>45303</v>
      </c>
      <c r="D64" s="12">
        <v>12</v>
      </c>
      <c r="E64" s="12">
        <v>68044</v>
      </c>
      <c r="F64" s="12">
        <v>0</v>
      </c>
      <c r="G64" s="12">
        <f>E64-F64</f>
        <v>68044</v>
      </c>
      <c r="H64" s="12">
        <f>G64*18%</f>
        <v>12247.92</v>
      </c>
      <c r="I64" s="12">
        <f>G64+H64</f>
        <v>80291.92</v>
      </c>
      <c r="J64" s="12">
        <f>G64*1%</f>
        <v>680.44</v>
      </c>
      <c r="K64" s="12">
        <f>5%*G64</f>
        <v>3402.2000000000003</v>
      </c>
      <c r="L64" s="12">
        <f>G64*10%</f>
        <v>6804.4000000000005</v>
      </c>
      <c r="M64" s="12">
        <f>G64*10%</f>
        <v>6804.4000000000005</v>
      </c>
      <c r="N64" s="12"/>
      <c r="O64" s="12"/>
      <c r="P64" s="12">
        <f>H64</f>
        <v>12247.92</v>
      </c>
      <c r="Q64" s="20">
        <f>I64-SUM(J64:P64)</f>
        <v>50352.56</v>
      </c>
      <c r="R64" s="12" t="s">
        <v>100</v>
      </c>
      <c r="S64" s="12">
        <v>77635</v>
      </c>
      <c r="T64" s="12"/>
      <c r="U64" s="12">
        <f t="shared" si="13"/>
        <v>77635</v>
      </c>
      <c r="V64" s="32" t="s">
        <v>99</v>
      </c>
      <c r="W64" s="22"/>
    </row>
    <row r="65" spans="1:23" ht="28.5" x14ac:dyDescent="0.25">
      <c r="A65" s="22">
        <v>59028</v>
      </c>
      <c r="B65" s="35" t="s">
        <v>145</v>
      </c>
      <c r="C65" s="75">
        <v>45400</v>
      </c>
      <c r="D65" s="12">
        <v>2</v>
      </c>
      <c r="E65" s="12">
        <v>63277</v>
      </c>
      <c r="F65" s="12"/>
      <c r="G65" s="12">
        <f>E65-F65</f>
        <v>63277</v>
      </c>
      <c r="H65" s="12">
        <f>G65*18%</f>
        <v>11389.859999999999</v>
      </c>
      <c r="I65" s="12">
        <f>G65+H65</f>
        <v>74666.86</v>
      </c>
      <c r="J65" s="12">
        <f>G65*1%</f>
        <v>632.77</v>
      </c>
      <c r="K65" s="12">
        <f>5%*G65</f>
        <v>3163.8500000000004</v>
      </c>
      <c r="L65" s="12">
        <f>G65*10%</f>
        <v>6327.7000000000007</v>
      </c>
      <c r="M65" s="12">
        <f>G65*10%</f>
        <v>6327.7000000000007</v>
      </c>
      <c r="N65" s="12"/>
      <c r="O65" s="12"/>
      <c r="P65" s="12">
        <f>H65</f>
        <v>11389.859999999999</v>
      </c>
      <c r="Q65" s="20">
        <f>I65-SUM(J65:P65)</f>
        <v>46824.979999999996</v>
      </c>
      <c r="R65" s="12"/>
      <c r="S65" s="12"/>
      <c r="T65" s="12"/>
      <c r="U65" s="12">
        <v>50354</v>
      </c>
      <c r="V65" s="32" t="s">
        <v>114</v>
      </c>
      <c r="W65" s="22"/>
    </row>
    <row r="66" spans="1:23" x14ac:dyDescent="0.25">
      <c r="A66" s="22">
        <v>59028</v>
      </c>
      <c r="B66" s="35"/>
      <c r="C66" s="75"/>
      <c r="D66" s="12">
        <v>12</v>
      </c>
      <c r="E66" s="12">
        <f>P64</f>
        <v>12247.92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>
        <f>E66</f>
        <v>12247.92</v>
      </c>
      <c r="R66" s="12"/>
      <c r="S66" s="12"/>
      <c r="T66" s="12"/>
      <c r="U66" s="12"/>
      <c r="V66" s="32"/>
      <c r="W66" s="22"/>
    </row>
    <row r="67" spans="1:23" x14ac:dyDescent="0.25">
      <c r="A67" s="22">
        <v>59028</v>
      </c>
      <c r="B67" s="35"/>
      <c r="C67" s="7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32"/>
      <c r="W67" s="22"/>
    </row>
    <row r="68" spans="1:23" x14ac:dyDescent="0.25">
      <c r="A68" s="22">
        <v>59028</v>
      </c>
      <c r="B68" s="35"/>
      <c r="C68" s="7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32"/>
      <c r="W68" s="22"/>
    </row>
    <row r="69" spans="1:23" x14ac:dyDescent="0.25">
      <c r="A69" s="24"/>
      <c r="B69" s="29"/>
      <c r="C69" s="76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4"/>
      <c r="W69" s="25">
        <f>SUM(Q62:Q64,0)-SUM(U62:U68,0)</f>
        <v>1.5200000000186265</v>
      </c>
    </row>
    <row r="70" spans="1:23" ht="28.5" x14ac:dyDescent="0.25">
      <c r="A70" s="22">
        <v>59463</v>
      </c>
      <c r="B70" s="35" t="s">
        <v>146</v>
      </c>
      <c r="C70" s="75">
        <v>45229</v>
      </c>
      <c r="D70" s="12">
        <v>9</v>
      </c>
      <c r="E70" s="12">
        <v>181541</v>
      </c>
      <c r="F70" s="12">
        <v>40057</v>
      </c>
      <c r="G70" s="12">
        <f>E70-F70</f>
        <v>141484</v>
      </c>
      <c r="H70" s="12">
        <f>G70*18%</f>
        <v>25467.119999999999</v>
      </c>
      <c r="I70" s="12">
        <f>G70+H70</f>
        <v>166951.12</v>
      </c>
      <c r="J70" s="12">
        <f>G70*1%</f>
        <v>1414.84</v>
      </c>
      <c r="K70" s="12">
        <f>5%*G70</f>
        <v>7074.2000000000007</v>
      </c>
      <c r="L70" s="12">
        <f>G70*10%</f>
        <v>14148.400000000001</v>
      </c>
      <c r="M70" s="12">
        <f>G70*10%</f>
        <v>14148.400000000001</v>
      </c>
      <c r="N70" s="12"/>
      <c r="O70" s="12"/>
      <c r="P70" s="12">
        <f>H70</f>
        <v>25467.119999999999</v>
      </c>
      <c r="Q70" s="20">
        <f>I70-SUM(J70:P70)</f>
        <v>104698.15999999999</v>
      </c>
      <c r="R70" s="12" t="s">
        <v>92</v>
      </c>
      <c r="S70" s="12">
        <v>100000</v>
      </c>
      <c r="T70" s="12">
        <f>S70*1%</f>
        <v>1000</v>
      </c>
      <c r="U70" s="12">
        <f t="shared" ref="U70:U71" si="14">S70-T70</f>
        <v>99000</v>
      </c>
      <c r="V70" s="32" t="s">
        <v>91</v>
      </c>
      <c r="W70" s="22"/>
    </row>
    <row r="71" spans="1:23" x14ac:dyDescent="0.25">
      <c r="A71" s="22">
        <v>59463</v>
      </c>
      <c r="B71" s="35" t="s">
        <v>12</v>
      </c>
      <c r="C71" s="75"/>
      <c r="D71" s="12">
        <v>9</v>
      </c>
      <c r="E71" s="12">
        <f>P70</f>
        <v>25467.119999999999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>
        <f>E71</f>
        <v>25467.119999999999</v>
      </c>
      <c r="R71" s="12" t="s">
        <v>98</v>
      </c>
      <c r="S71" s="12">
        <v>99000</v>
      </c>
      <c r="T71" s="12"/>
      <c r="U71" s="12">
        <f t="shared" si="14"/>
        <v>99000</v>
      </c>
      <c r="V71" s="32" t="s">
        <v>97</v>
      </c>
      <c r="W71" s="22"/>
    </row>
    <row r="72" spans="1:23" x14ac:dyDescent="0.25">
      <c r="A72" s="22">
        <v>59463</v>
      </c>
      <c r="B72" s="35"/>
      <c r="C72" s="7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 t="s">
        <v>102</v>
      </c>
      <c r="S72" s="12">
        <v>25467</v>
      </c>
      <c r="T72" s="12"/>
      <c r="U72" s="12">
        <f t="shared" ref="U72" si="15">S72-T72</f>
        <v>25467</v>
      </c>
      <c r="V72" s="32" t="s">
        <v>101</v>
      </c>
      <c r="W72" s="22"/>
    </row>
    <row r="73" spans="1:23" x14ac:dyDescent="0.25">
      <c r="A73" s="22">
        <v>59463</v>
      </c>
      <c r="B73" s="35"/>
      <c r="C73" s="75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32"/>
      <c r="W73" s="22"/>
    </row>
    <row r="74" spans="1:23" x14ac:dyDescent="0.25">
      <c r="A74" s="24"/>
      <c r="B74" s="29"/>
      <c r="C74" s="76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4"/>
      <c r="W74" s="25">
        <f>SUM(Q70:Q73,0)-SUM(U70:U73,0)</f>
        <v>-93301.720000000016</v>
      </c>
    </row>
    <row r="75" spans="1:23" x14ac:dyDescent="0.25">
      <c r="A75" s="22"/>
      <c r="B75" s="33"/>
      <c r="C75" s="77"/>
      <c r="D75" s="33"/>
      <c r="E75" s="36"/>
      <c r="F75" s="36"/>
      <c r="G75" s="36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32"/>
      <c r="W75" s="22"/>
    </row>
    <row r="76" spans="1:23" ht="15.75" thickBot="1" x14ac:dyDescent="0.3">
      <c r="A76" s="13"/>
      <c r="B76" s="13"/>
      <c r="C76" s="7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44"/>
      <c r="W76" s="45"/>
    </row>
    <row r="77" spans="1:23" x14ac:dyDescent="0.25">
      <c r="A77" s="19"/>
      <c r="B77" s="19"/>
      <c r="C77" s="80"/>
      <c r="D77" s="19"/>
      <c r="E77" s="19"/>
      <c r="F77" s="19"/>
      <c r="G77" s="19"/>
      <c r="H77" s="19"/>
      <c r="I77" s="19"/>
      <c r="J77" s="19"/>
      <c r="K77" s="46"/>
      <c r="L77" s="46"/>
      <c r="M77" s="46"/>
      <c r="N77" s="46"/>
      <c r="O77" s="46"/>
      <c r="P77" s="46"/>
      <c r="Q77" s="19"/>
      <c r="R77" s="19"/>
      <c r="S77" s="19"/>
      <c r="T77" s="19"/>
      <c r="U77" s="19"/>
      <c r="V77" s="19"/>
      <c r="W77" s="26"/>
    </row>
    <row r="78" spans="1:23" x14ac:dyDescent="0.25">
      <c r="A78" s="12"/>
      <c r="B78" s="12"/>
      <c r="C78" s="75"/>
      <c r="D78" s="12"/>
      <c r="E78" s="12"/>
      <c r="F78" s="12"/>
      <c r="G78" s="12"/>
      <c r="H78" s="12"/>
      <c r="I78" s="12"/>
      <c r="J78" s="12"/>
      <c r="K78" s="37">
        <f t="shared" ref="K78:P78" si="16">SUM(K8:K75)</f>
        <v>293763.48499999999</v>
      </c>
      <c r="L78" s="37">
        <f t="shared" si="16"/>
        <v>476531.17000000004</v>
      </c>
      <c r="M78" s="37">
        <f t="shared" si="16"/>
        <v>476531.17000000004</v>
      </c>
      <c r="N78" s="37">
        <f t="shared" si="16"/>
        <v>58986.5</v>
      </c>
      <c r="O78" s="37">
        <f t="shared" si="16"/>
        <v>448291</v>
      </c>
      <c r="P78" s="37">
        <f t="shared" si="16"/>
        <v>1057549.8660000002</v>
      </c>
      <c r="Q78" s="37">
        <f>SUM(Q8:Q75)</f>
        <v>4946090.3780000014</v>
      </c>
      <c r="R78" s="37" t="s">
        <v>4</v>
      </c>
      <c r="S78" s="12"/>
      <c r="T78" s="12"/>
      <c r="U78" s="37">
        <f>SUM(U6:U75)</f>
        <v>5239929</v>
      </c>
      <c r="V78" s="12"/>
      <c r="W78" s="22"/>
    </row>
    <row r="79" spans="1:23" x14ac:dyDescent="0.25">
      <c r="A79" s="12"/>
      <c r="B79" s="12"/>
      <c r="C79" s="7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37"/>
      <c r="V79" s="12"/>
      <c r="W79" s="22"/>
    </row>
    <row r="80" spans="1:23" ht="15.75" thickBot="1" x14ac:dyDescent="0.3">
      <c r="A80" s="14"/>
      <c r="B80" s="14"/>
      <c r="C80" s="7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38" t="s">
        <v>5</v>
      </c>
      <c r="S80" s="14"/>
      <c r="T80" s="14"/>
      <c r="U80" s="38">
        <f>Q78-U78</f>
        <v>-293838.62199999858</v>
      </c>
      <c r="V80" s="14"/>
      <c r="W80" s="39"/>
    </row>
    <row r="82" spans="9:17" x14ac:dyDescent="0.25">
      <c r="Q82" s="17"/>
    </row>
    <row r="84" spans="9:17" ht="15.75" thickBot="1" x14ac:dyDescent="0.3"/>
    <row r="85" spans="9:17" ht="20.25" thickBot="1" x14ac:dyDescent="0.3">
      <c r="I85" s="62" t="s">
        <v>6</v>
      </c>
      <c r="J85" s="63"/>
      <c r="K85" s="63"/>
      <c r="L85" s="64"/>
    </row>
    <row r="86" spans="9:17" ht="19.5" thickBot="1" x14ac:dyDescent="0.3">
      <c r="I86" s="65">
        <v>45507</v>
      </c>
      <c r="J86" s="66"/>
      <c r="K86" s="66"/>
      <c r="L86" s="67"/>
    </row>
    <row r="87" spans="9:17" ht="20.25" thickBot="1" x14ac:dyDescent="0.45">
      <c r="I87" s="54" t="s">
        <v>105</v>
      </c>
      <c r="J87" s="55"/>
      <c r="K87" s="56">
        <f>K78+L78++M78+N78</f>
        <v>1305812.3250000002</v>
      </c>
      <c r="L87" s="57"/>
    </row>
    <row r="88" spans="9:17" ht="20.25" thickBot="1" x14ac:dyDescent="0.45">
      <c r="I88" s="54" t="s">
        <v>118</v>
      </c>
      <c r="J88" s="55"/>
      <c r="K88" s="56">
        <f>O78</f>
        <v>448291</v>
      </c>
      <c r="L88" s="57"/>
    </row>
    <row r="89" spans="9:17" ht="20.25" thickBot="1" x14ac:dyDescent="0.45">
      <c r="I89" s="54" t="s">
        <v>106</v>
      </c>
      <c r="J89" s="55"/>
      <c r="K89" s="56">
        <f>U80</f>
        <v>-293838.62199999858</v>
      </c>
      <c r="L89" s="57"/>
    </row>
    <row r="90" spans="9:17" ht="20.25" thickBot="1" x14ac:dyDescent="0.45">
      <c r="I90" s="58" t="s">
        <v>107</v>
      </c>
      <c r="J90" s="59"/>
      <c r="K90" s="60" t="s">
        <v>108</v>
      </c>
      <c r="L90" s="61"/>
    </row>
    <row r="91" spans="9:17" ht="20.25" thickBot="1" x14ac:dyDescent="0.45">
      <c r="I91" s="54" t="s">
        <v>119</v>
      </c>
      <c r="J91" s="55"/>
      <c r="K91" s="56">
        <f>P78-Q71-Q66-Q63-Q53-Q50-Q48-Q42-Q28-Q26-Q24-Q23-Q16-Q11-Q9</f>
        <v>173882.62600000019</v>
      </c>
      <c r="L91" s="57"/>
    </row>
  </sheetData>
  <mergeCells count="12">
    <mergeCell ref="I91:J91"/>
    <mergeCell ref="K91:L91"/>
    <mergeCell ref="I90:J90"/>
    <mergeCell ref="K90:L90"/>
    <mergeCell ref="I85:L85"/>
    <mergeCell ref="I86:L86"/>
    <mergeCell ref="I87:J87"/>
    <mergeCell ref="K87:L87"/>
    <mergeCell ref="I89:J89"/>
    <mergeCell ref="K89:L89"/>
    <mergeCell ref="I88:J88"/>
    <mergeCell ref="K88:L88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2025-05-29T11:57:09Z</dcterms:modified>
</cp:coreProperties>
</file>