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hahin\Dev Construction\"/>
    </mc:Choice>
  </mc:AlternateContent>
  <xr:revisionPtr revIDLastSave="0" documentId="13_ncr:1_{4106CFAE-D6B0-43AA-8DBF-6CBB08A1C7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Sheet1!$F$1:$F$62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T8" i="1"/>
  <c r="S13" i="1"/>
  <c r="T13" i="1"/>
  <c r="S19" i="1"/>
  <c r="T19" i="1" s="1"/>
  <c r="T20" i="1"/>
  <c r="S21" i="1"/>
  <c r="T21" i="1" s="1"/>
  <c r="S22" i="1"/>
  <c r="T22" i="1"/>
  <c r="S23" i="1"/>
  <c r="T23" i="1" s="1"/>
  <c r="S24" i="1"/>
  <c r="T24" i="1"/>
  <c r="S28" i="1"/>
  <c r="T28" i="1" s="1"/>
  <c r="S34" i="1"/>
  <c r="T34" i="1" s="1"/>
  <c r="S35" i="1"/>
  <c r="T35" i="1" s="1"/>
  <c r="S36" i="1"/>
  <c r="T36" i="1"/>
  <c r="S37" i="1"/>
  <c r="T37" i="1" s="1"/>
  <c r="S38" i="1"/>
  <c r="T38" i="1"/>
  <c r="S39" i="1"/>
  <c r="T39" i="1" s="1"/>
  <c r="S42" i="1"/>
  <c r="T42" i="1"/>
  <c r="S48" i="1"/>
  <c r="T48" i="1" s="1"/>
  <c r="L54" i="1"/>
  <c r="O54" i="1"/>
  <c r="G49" i="1" l="1"/>
  <c r="K49" i="1" s="1"/>
  <c r="G44" i="1"/>
  <c r="K44" i="1" s="1"/>
  <c r="G36" i="1"/>
  <c r="K36" i="1" s="1"/>
  <c r="G35" i="1"/>
  <c r="H35" i="1" s="1"/>
  <c r="G30" i="1"/>
  <c r="K30" i="1" s="1"/>
  <c r="G29" i="1"/>
  <c r="J29" i="1" s="1"/>
  <c r="G21" i="1"/>
  <c r="K21" i="1" s="1"/>
  <c r="J10" i="1"/>
  <c r="N11" i="1"/>
  <c r="G10" i="1"/>
  <c r="H10" i="1" s="1"/>
  <c r="J30" i="1" l="1"/>
  <c r="J36" i="1"/>
  <c r="J49" i="1"/>
  <c r="J44" i="1"/>
  <c r="H49" i="1"/>
  <c r="N49" i="1" s="1"/>
  <c r="H44" i="1"/>
  <c r="H36" i="1"/>
  <c r="I35" i="1"/>
  <c r="N35" i="1"/>
  <c r="J35" i="1"/>
  <c r="K35" i="1"/>
  <c r="H30" i="1"/>
  <c r="N30" i="1" s="1"/>
  <c r="J21" i="1"/>
  <c r="K29" i="1"/>
  <c r="H29" i="1"/>
  <c r="N29" i="1" s="1"/>
  <c r="H21" i="1"/>
  <c r="N10" i="1"/>
  <c r="E11" i="1" s="1"/>
  <c r="P11" i="1" s="1"/>
  <c r="I10" i="1"/>
  <c r="K10" i="1"/>
  <c r="G14" i="1"/>
  <c r="J14" i="1" s="1"/>
  <c r="I30" i="1" l="1"/>
  <c r="P35" i="1"/>
  <c r="I36" i="1"/>
  <c r="N36" i="1"/>
  <c r="I49" i="1"/>
  <c r="P49" i="1" s="1"/>
  <c r="I44" i="1"/>
  <c r="N44" i="1"/>
  <c r="P30" i="1"/>
  <c r="I29" i="1"/>
  <c r="P29" i="1" s="1"/>
  <c r="N21" i="1"/>
  <c r="I21" i="1"/>
  <c r="P10" i="1"/>
  <c r="K15" i="1"/>
  <c r="J15" i="1"/>
  <c r="H15" i="1"/>
  <c r="K14" i="1"/>
  <c r="H14" i="1"/>
  <c r="N14" i="1" s="1"/>
  <c r="P36" i="1" l="1"/>
  <c r="P44" i="1"/>
  <c r="P21" i="1"/>
  <c r="N15" i="1"/>
  <c r="I15" i="1"/>
  <c r="I14" i="1"/>
  <c r="P14" i="1" s="1"/>
  <c r="P15" i="1" l="1"/>
  <c r="G43" i="1"/>
  <c r="J43" i="1" s="1"/>
  <c r="G20" i="1"/>
  <c r="K20" i="1" s="1"/>
  <c r="G28" i="1"/>
  <c r="K28" i="1" s="1"/>
  <c r="K43" i="1" l="1"/>
  <c r="H43" i="1"/>
  <c r="N43" i="1" s="1"/>
  <c r="M43" i="1"/>
  <c r="J20" i="1"/>
  <c r="H20" i="1"/>
  <c r="N20" i="1" s="1"/>
  <c r="M28" i="1"/>
  <c r="J28" i="1"/>
  <c r="H28" i="1"/>
  <c r="G42" i="1"/>
  <c r="K42" i="1" s="1"/>
  <c r="G13" i="1"/>
  <c r="K13" i="1" s="1"/>
  <c r="G19" i="1"/>
  <c r="J19" i="1" s="1"/>
  <c r="G34" i="1"/>
  <c r="K34" i="1" s="1"/>
  <c r="N28" i="1" l="1"/>
  <c r="E31" i="1"/>
  <c r="P31" i="1" s="1"/>
  <c r="T54" i="1"/>
  <c r="I43" i="1"/>
  <c r="P43" i="1" s="1"/>
  <c r="I20" i="1"/>
  <c r="P20" i="1" s="1"/>
  <c r="I28" i="1"/>
  <c r="M42" i="1"/>
  <c r="M54" i="1" s="1"/>
  <c r="H42" i="1"/>
  <c r="J42" i="1"/>
  <c r="J13" i="1"/>
  <c r="H13" i="1"/>
  <c r="K19" i="1"/>
  <c r="H19" i="1"/>
  <c r="J34" i="1"/>
  <c r="H34" i="1"/>
  <c r="N9" i="1"/>
  <c r="G8" i="1"/>
  <c r="P28" i="1" l="1"/>
  <c r="V33" i="1" s="1"/>
  <c r="I42" i="1"/>
  <c r="E45" i="1"/>
  <c r="P45" i="1" s="1"/>
  <c r="N34" i="1"/>
  <c r="E37" i="1"/>
  <c r="P37" i="1" s="1"/>
  <c r="N19" i="1"/>
  <c r="E22" i="1"/>
  <c r="P22" i="1" s="1"/>
  <c r="N13" i="1"/>
  <c r="E16" i="1"/>
  <c r="P16" i="1" s="1"/>
  <c r="I34" i="1"/>
  <c r="N42" i="1"/>
  <c r="I13" i="1"/>
  <c r="I19" i="1"/>
  <c r="K8" i="1"/>
  <c r="J8" i="1"/>
  <c r="H8" i="1"/>
  <c r="N8" i="1" s="1"/>
  <c r="P42" i="1" l="1"/>
  <c r="V47" i="1" s="1"/>
  <c r="P13" i="1"/>
  <c r="P19" i="1"/>
  <c r="V27" i="1" s="1"/>
  <c r="P34" i="1"/>
  <c r="V41" i="1" s="1"/>
  <c r="E9" i="1"/>
  <c r="P9" i="1" s="1"/>
  <c r="V18" i="1"/>
  <c r="I8" i="1"/>
  <c r="P8" i="1" s="1"/>
  <c r="V12" i="1" l="1"/>
  <c r="G48" i="1"/>
  <c r="H48" i="1" l="1"/>
  <c r="K48" i="1"/>
  <c r="K54" i="1" s="1"/>
  <c r="L59" i="1" s="1"/>
  <c r="J48" i="1"/>
  <c r="N48" i="1" l="1"/>
  <c r="N54" i="1" s="1"/>
  <c r="E50" i="1"/>
  <c r="P50" i="1" s="1"/>
  <c r="I48" i="1"/>
  <c r="L62" i="1" l="1"/>
  <c r="P48" i="1"/>
  <c r="P54" i="1" l="1"/>
  <c r="T55" i="1" s="1"/>
  <c r="L60" i="1" s="1"/>
  <c r="V53" i="1"/>
  <c r="V55" i="1" l="1"/>
</calcChain>
</file>

<file path=xl/sharedStrings.xml><?xml version="1.0" encoding="utf-8"?>
<sst xmlns="http://schemas.openxmlformats.org/spreadsheetml/2006/main" count="124" uniqueCount="101">
  <si>
    <t>Amount</t>
  </si>
  <si>
    <t>PAYMENT NOTE No.</t>
  </si>
  <si>
    <t>UTR</t>
  </si>
  <si>
    <t xml:space="preserve">Debit </t>
  </si>
  <si>
    <t>Pipeline laying work</t>
  </si>
  <si>
    <t>Total Paid Amount Rs.-</t>
  </si>
  <si>
    <t>Balance Payable Amount Rs.-</t>
  </si>
  <si>
    <t>GST Release Note</t>
  </si>
  <si>
    <t xml:space="preserve">Hold Amount for excess Qty. against DPR/ Advance </t>
  </si>
  <si>
    <t>Miyan Kasba Village OHT Work</t>
  </si>
  <si>
    <t>Dev Construction</t>
  </si>
  <si>
    <t>Nagla Naween Village OHT Work</t>
  </si>
  <si>
    <t>26-09-2023 NEFT/AXISP00427655668/RIUP23/2287/DEV CONSTRUCTION/IOBA0002383 99000.00</t>
  </si>
  <si>
    <t>SPUP23/2287</t>
  </si>
  <si>
    <t>Subri Village OHT Work</t>
  </si>
  <si>
    <t>26-09-2023 NEFT/AXISP00427655676/RIUP23/2296/DEV CONSTRUCTION/IOBA0002383 99000.00</t>
  </si>
  <si>
    <t>RIUP23/2296</t>
  </si>
  <si>
    <t>17-10-2023 NEFT/AXISP00435066612/RIUP23/2714/DEV CONSTRUCTION/IOBA0002383 118800.00</t>
  </si>
  <si>
    <t>RIUP23/2714</t>
  </si>
  <si>
    <t>Ulhani Bina Mazrai Village OHT Work</t>
  </si>
  <si>
    <t>26-09-2023 NEFT/AXISP00427655670/RIUP23/2289/DEV CONSTRUCTION/IOBA0002383 99000.00</t>
  </si>
  <si>
    <t>RIUP23/2289</t>
  </si>
  <si>
    <t>Machrauli Village OHT Work</t>
  </si>
  <si>
    <t>26-09-2023 NEFT/AXISP00427655669/RIUP23/2288/DEV CONSTRUCTION/IOBA0002383 99000.00</t>
  </si>
  <si>
    <t>RIUP23/2288</t>
  </si>
  <si>
    <t>23-10-2023 NEFT/AXISP00436552876/RIUP23/2829/DEV CONSTRUCTION/IOBA0002383 49500.00</t>
  </si>
  <si>
    <t>RIUP23/2829</t>
  </si>
  <si>
    <t>25-10-2023 NEFT/AXISP00436928375/RIUP23/2860/DEV CONSTRUCTION/IOBA0002383 6750.00</t>
  </si>
  <si>
    <t>09-11-2023 NEFT/AXISP00442541919/RIUP23/3175/DEV CONSTRUCTION/IOBA0002383 148500.00</t>
  </si>
  <si>
    <t>RIUP23/2860</t>
  </si>
  <si>
    <t>RIUP23/3175</t>
  </si>
  <si>
    <t>25-10-2023 NEFT/AXISP00436681644/RIUP23/2837/DEV CONSTRUCTION/IOBA0002383 40296.00</t>
  </si>
  <si>
    <t>09-11-2023 NEFT/AXISP00442541924/RIUP23/3176/DEV CONSTRUCTION/IOBA0002383 49500.00</t>
  </si>
  <si>
    <t>RIUP23/2837</t>
  </si>
  <si>
    <t>RIUP23/3176</t>
  </si>
  <si>
    <t>23-10-2023 NEFT/AXISP00436552880/RIUP23/2834/DEV CONSTRUCTION/IOBA0002383 49500.00</t>
  </si>
  <si>
    <t>08-11-2023 NEFT/AXISP00442195320/RIUP23/3141/DEV CONSTRUCTION/IOBA0002383 49500.00</t>
  </si>
  <si>
    <t>RIUP23/2834</t>
  </si>
  <si>
    <t>RIUP23/3141</t>
  </si>
  <si>
    <t>23-10-2023 NEFT/AXISP00436552875/RIUP23/2828/DEV CONSTRUCTION/IOBA0002383 99000.00</t>
  </si>
  <si>
    <t>08-11-2023 NEFT/AXISP00442195319/RIUP23/3140/DEVCONSTRUCTION/IOBA0002383 99000.00</t>
  </si>
  <si>
    <t>RIUP23/2828</t>
  </si>
  <si>
    <t>RIUP23/3140</t>
  </si>
  <si>
    <t>08-11-2023 NEFT/AXISP00442195319/RIUP23/3140/DEV CONSTRUCTION/IOBA0002383 99000.00</t>
  </si>
  <si>
    <t>Akapur Fusgarah Village OHT Work</t>
  </si>
  <si>
    <t>Bhari Mustafabad  Village OHT Work</t>
  </si>
  <si>
    <t>12-12-2023 NEFT/AXISP00451877864/RIUP23/3696/DEV CONSTRUCTION/IOBA0002383 49500.00</t>
  </si>
  <si>
    <t>24-11-2023 NEFT/AXISP00446292727/RIUP23/3398/DEV CONSTRUCTION/IOBA0002383 49500.00</t>
  </si>
  <si>
    <t>24-11-2023 NEFT/AXISP00446292728/RIUP23/3399/DEV CONSTRUCTION/IOBA0002383 99000.00</t>
  </si>
  <si>
    <t>11-12-2023 NEFT/AXISP00451701550/RIUP23/3683/DEV CONSTRUCTION/IOBA0002383 49500.00</t>
  </si>
  <si>
    <t>01-11-2023 NEFT/AXISP00439477042/RIUP23/3031/DEV CONSTRUCTION/IOBA0002383 ₹ 1,48,500.00</t>
  </si>
  <si>
    <t>RIUP23/3031</t>
  </si>
  <si>
    <t>30-12-2023 NEFT/AXISP00457527708/RIUP22/4044/DEV CONSTRUCTION/IOBA0002383 148500.00</t>
  </si>
  <si>
    <t>24-11-2023 NEFT/AXISP00446292729/RIUP23/3400/DEV CONSTRUCTION/IOBA0002383 49500.00</t>
  </si>
  <si>
    <t>Hold Amount</t>
  </si>
  <si>
    <t>Advance / Surplus</t>
  </si>
  <si>
    <t>GST Remaining</t>
  </si>
  <si>
    <t>16-03-2024 NEFT/AXISP00481546003/RIUP23/5150/DEV CONSTRUCTION/IOBA0002383 148500.00</t>
  </si>
  <si>
    <t>RIUP23/3399</t>
  </si>
  <si>
    <t>RIUP23/3683</t>
  </si>
  <si>
    <t>RIUP23/5150</t>
  </si>
  <si>
    <t>16-03-2024 NEFT/AXISP00481546001/RIUP23/5151/DEV CONSTRUCTION/IOBA0002383 49500.00</t>
  </si>
  <si>
    <t>RIUP23/5151</t>
  </si>
  <si>
    <t>RIUP23/3400</t>
  </si>
  <si>
    <t>RIUP23/4044</t>
  </si>
  <si>
    <t>59259, 59260, 59261</t>
  </si>
  <si>
    <t>NOT CONFIRMED</t>
  </si>
  <si>
    <t>22-03-2024 NEFT/AXISP00483290493/RIUP23/5249/DEV CONSTRUCTION/IOBA0002383 99000.00</t>
  </si>
  <si>
    <t>02-05-2024 NEFT/AXISP00496371083/RIUP24/0366/DEV CONSTRUCTION/IOBA0002383 99000.00</t>
  </si>
  <si>
    <t>02-05-2024 NEFT/AXISP00496371084/RIUP24/0365/DEV CONSTRUCTION/IOBA0002383 99000.00</t>
  </si>
  <si>
    <t>RIUP23/3398</t>
  </si>
  <si>
    <t>RIUP23/3696</t>
  </si>
  <si>
    <t>6,12,22</t>
  </si>
  <si>
    <t>Updated on 04-02-2025</t>
  </si>
  <si>
    <t>4,11 &amp; 21</t>
  </si>
  <si>
    <t>7, 10 &amp; 19</t>
  </si>
  <si>
    <t>3, 09 &amp; 17</t>
  </si>
  <si>
    <t>8, 13 &amp; 15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</si>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</sst>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3" fillId="0" borderId="5" xfId="0" applyNumberFormat="1" applyFont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15" fontId="3" fillId="3" borderId="5" xfId="0" applyNumberFormat="1" applyFont="1" applyFill="1" applyBorder="1" applyAlignment="1">
      <alignment horizontal="center" vertical="center"/>
    </xf>
    <xf numFmtId="9" fontId="3" fillId="3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3" fontId="3" fillId="0" borderId="5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43" fontId="0" fillId="3" borderId="5" xfId="0" applyNumberForma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5" fontId="3" fillId="0" borderId="6" xfId="0" applyNumberFormat="1" applyFont="1" applyBorder="1" applyAlignment="1">
      <alignment horizontal="center" vertical="center"/>
    </xf>
    <xf numFmtId="43" fontId="5" fillId="2" borderId="6" xfId="1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43" fontId="0" fillId="3" borderId="6" xfId="0" applyNumberForma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4" borderId="5" xfId="1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6" fillId="2" borderId="7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9" fillId="2" borderId="8" xfId="1" applyFont="1" applyFill="1" applyBorder="1" applyAlignment="1">
      <alignment horizontal="center" vertical="center"/>
    </xf>
    <xf numFmtId="164" fontId="6" fillId="2" borderId="8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abSelected="1" zoomScale="80" zoomScaleNormal="80" workbookViewId="0">
      <pane ySplit="5" topLeftCell="A6" activePane="bottomLeft" state="frozen"/>
      <selection pane="bottomLeft" sqref="A1:A4"/>
    </sheetView>
  </sheetViews>
  <sheetFormatPr defaultColWidth="9" defaultRowHeight="27" customHeight="1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6" width="13.28515625" style="2" customWidth="1"/>
    <col min="7" max="7" width="15.5703125" style="2" bestFit="1" customWidth="1"/>
    <col min="8" max="8" width="14.7109375" style="14" customWidth="1"/>
    <col min="9" max="9" width="12.85546875" style="14" bestFit="1" customWidth="1"/>
    <col min="10" max="10" width="14.5703125" style="2" bestFit="1" customWidth="1"/>
    <col min="11" max="11" width="14.85546875" style="2" customWidth="1"/>
    <col min="12" max="12" width="11.28515625" style="2" bestFit="1" customWidth="1"/>
    <col min="13" max="13" width="13.28515625" style="2" customWidth="1"/>
    <col min="14" max="16" width="14.85546875" style="2" customWidth="1"/>
    <col min="17" max="17" width="21.7109375" style="2" bestFit="1" customWidth="1"/>
    <col min="18" max="18" width="12.7109375" style="2" bestFit="1" customWidth="1"/>
    <col min="19" max="19" width="14.5703125" style="2" bestFit="1" customWidth="1"/>
    <col min="20" max="20" width="17.28515625" style="2" customWidth="1"/>
    <col min="21" max="21" width="91.85546875" style="2" customWidth="1"/>
    <col min="22" max="22" width="13.140625" style="2" bestFit="1" customWidth="1"/>
    <col min="23" max="16384" width="9" style="2"/>
  </cols>
  <sheetData>
    <row r="1" spans="1:22" ht="27" customHeight="1" thickBot="1" x14ac:dyDescent="0.3">
      <c r="A1" s="62" t="s">
        <v>97</v>
      </c>
      <c r="B1" s="1" t="s">
        <v>10</v>
      </c>
      <c r="E1" s="3"/>
      <c r="F1" s="3"/>
      <c r="G1" s="3"/>
      <c r="H1" s="4"/>
      <c r="I1" s="4"/>
    </row>
    <row r="2" spans="1:22" ht="27" customHeight="1" thickBot="1" x14ac:dyDescent="0.3">
      <c r="A2" s="62" t="s">
        <v>98</v>
      </c>
      <c r="B2" s="5" t="s">
        <v>78</v>
      </c>
      <c r="C2" s="6"/>
      <c r="D2" s="6"/>
      <c r="H2" s="15" t="s">
        <v>4</v>
      </c>
      <c r="I2" s="7"/>
      <c r="J2" s="8"/>
      <c r="K2" s="8"/>
      <c r="L2" s="8"/>
      <c r="M2" s="8"/>
      <c r="N2" s="8"/>
      <c r="O2" s="8"/>
      <c r="P2" s="8"/>
      <c r="Q2" s="8" t="s">
        <v>65</v>
      </c>
      <c r="R2" s="8" t="s">
        <v>66</v>
      </c>
      <c r="S2" s="8"/>
    </row>
    <row r="3" spans="1:22" ht="27" customHeight="1" thickBot="1" x14ac:dyDescent="0.3">
      <c r="A3" s="62" t="s">
        <v>99</v>
      </c>
      <c r="B3" s="55" t="s">
        <v>79</v>
      </c>
      <c r="C3" s="6"/>
      <c r="D3" s="6"/>
      <c r="H3" s="15"/>
      <c r="I3" s="7"/>
      <c r="J3" s="8"/>
      <c r="K3" s="8"/>
      <c r="L3" s="8"/>
      <c r="M3" s="8"/>
      <c r="N3" s="8"/>
      <c r="O3" s="8"/>
      <c r="P3" s="8"/>
      <c r="Q3" s="8"/>
      <c r="R3" s="8"/>
      <c r="S3" s="8"/>
    </row>
    <row r="4" spans="1:22" ht="27" customHeight="1" thickBot="1" x14ac:dyDescent="0.3">
      <c r="A4" s="62" t="s">
        <v>100</v>
      </c>
      <c r="B4" s="9" t="s">
        <v>79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8"/>
      <c r="R4" s="11"/>
      <c r="S4" s="11"/>
      <c r="T4" s="11"/>
      <c r="U4" s="11"/>
    </row>
    <row r="5" spans="1:22" ht="51.75" customHeight="1" x14ac:dyDescent="0.25">
      <c r="A5" s="56" t="s">
        <v>80</v>
      </c>
      <c r="B5" s="57" t="s">
        <v>81</v>
      </c>
      <c r="C5" s="58" t="s">
        <v>82</v>
      </c>
      <c r="D5" s="59" t="s">
        <v>83</v>
      </c>
      <c r="E5" s="57" t="s">
        <v>84</v>
      </c>
      <c r="F5" s="57" t="s">
        <v>85</v>
      </c>
      <c r="G5" s="59" t="s">
        <v>86</v>
      </c>
      <c r="H5" s="60" t="s">
        <v>87</v>
      </c>
      <c r="I5" s="61" t="s">
        <v>0</v>
      </c>
      <c r="J5" s="57" t="s">
        <v>88</v>
      </c>
      <c r="K5" s="57" t="s">
        <v>89</v>
      </c>
      <c r="L5" s="57" t="s">
        <v>90</v>
      </c>
      <c r="M5" s="57" t="s">
        <v>91</v>
      </c>
      <c r="N5" s="57" t="s">
        <v>92</v>
      </c>
      <c r="O5" s="29" t="s">
        <v>8</v>
      </c>
      <c r="P5" s="29" t="s">
        <v>93</v>
      </c>
      <c r="Q5" s="29" t="s">
        <v>1</v>
      </c>
      <c r="R5" s="57" t="s">
        <v>94</v>
      </c>
      <c r="S5" s="57" t="s">
        <v>95</v>
      </c>
      <c r="T5" s="57" t="s">
        <v>96</v>
      </c>
      <c r="U5" s="57" t="s">
        <v>2</v>
      </c>
      <c r="V5" s="28"/>
    </row>
    <row r="6" spans="1:22" ht="27" customHeight="1" thickBot="1" x14ac:dyDescent="0.3">
      <c r="A6" s="33"/>
      <c r="B6" s="25"/>
      <c r="C6" s="25"/>
      <c r="D6" s="25"/>
      <c r="E6" s="25"/>
      <c r="F6" s="25"/>
      <c r="G6" s="25"/>
      <c r="H6" s="25"/>
      <c r="I6" s="25"/>
      <c r="J6" s="38">
        <v>0.01</v>
      </c>
      <c r="K6" s="38">
        <v>0.05</v>
      </c>
      <c r="L6" s="38">
        <v>0.1</v>
      </c>
      <c r="M6" s="38">
        <v>0.1</v>
      </c>
      <c r="N6" s="25"/>
      <c r="O6" s="25"/>
      <c r="P6" s="25"/>
      <c r="Q6" s="25"/>
      <c r="R6" s="25"/>
      <c r="S6" s="38">
        <v>0.01</v>
      </c>
      <c r="T6" s="25"/>
      <c r="U6" s="25"/>
      <c r="V6" s="33"/>
    </row>
    <row r="7" spans="1:22" ht="27" customHeight="1" x14ac:dyDescent="0.25">
      <c r="A7" s="34"/>
      <c r="B7" s="35"/>
      <c r="C7" s="35"/>
      <c r="D7" s="35"/>
      <c r="E7" s="35"/>
      <c r="F7" s="35"/>
      <c r="G7" s="35"/>
      <c r="H7" s="35"/>
      <c r="I7" s="35"/>
      <c r="J7" s="36"/>
      <c r="K7" s="36"/>
      <c r="L7" s="36"/>
      <c r="M7" s="36"/>
      <c r="N7" s="35"/>
      <c r="O7" s="35"/>
      <c r="P7" s="35"/>
      <c r="Q7" s="35"/>
      <c r="R7" s="35"/>
      <c r="S7" s="36"/>
      <c r="T7" s="35"/>
      <c r="U7" s="35"/>
      <c r="V7" s="37"/>
    </row>
    <row r="8" spans="1:22" ht="27" customHeight="1" x14ac:dyDescent="0.25">
      <c r="A8" s="30">
        <v>59252</v>
      </c>
      <c r="B8" s="22" t="s">
        <v>11</v>
      </c>
      <c r="C8" s="16">
        <v>45210</v>
      </c>
      <c r="D8" s="23">
        <v>2</v>
      </c>
      <c r="E8" s="24">
        <v>137812</v>
      </c>
      <c r="F8" s="24">
        <v>0</v>
      </c>
      <c r="G8" s="24">
        <f>E8-F8</f>
        <v>137812</v>
      </c>
      <c r="H8" s="24">
        <f>ROUND(G8*18%,)</f>
        <v>24806</v>
      </c>
      <c r="I8" s="24">
        <f>ROUND(G8+H8,)</f>
        <v>162618</v>
      </c>
      <c r="J8" s="24">
        <f>ROUND(G8*J6,)</f>
        <v>1378</v>
      </c>
      <c r="K8" s="24">
        <f>ROUND(G8*5%,)</f>
        <v>6891</v>
      </c>
      <c r="L8" s="24">
        <v>0</v>
      </c>
      <c r="M8" s="24">
        <v>0</v>
      </c>
      <c r="N8" s="46">
        <f>H8</f>
        <v>24806</v>
      </c>
      <c r="O8" s="24">
        <v>0</v>
      </c>
      <c r="P8" s="24">
        <f>I8-SUM(J8:O8)</f>
        <v>129543</v>
      </c>
      <c r="Q8" s="12" t="s">
        <v>13</v>
      </c>
      <c r="R8" s="12">
        <v>100000</v>
      </c>
      <c r="S8" s="12">
        <f>1%*R8</f>
        <v>1000</v>
      </c>
      <c r="T8" s="12">
        <f>R8-S8</f>
        <v>99000</v>
      </c>
      <c r="U8" s="26" t="s">
        <v>12</v>
      </c>
      <c r="V8" s="30"/>
    </row>
    <row r="9" spans="1:22" ht="27" customHeight="1" x14ac:dyDescent="0.25">
      <c r="A9" s="30">
        <v>59252</v>
      </c>
      <c r="B9" s="22" t="s">
        <v>7</v>
      </c>
      <c r="C9" s="16"/>
      <c r="D9" s="23">
        <v>2</v>
      </c>
      <c r="E9" s="24">
        <f>N8</f>
        <v>24806</v>
      </c>
      <c r="F9" s="24"/>
      <c r="G9" s="24"/>
      <c r="H9" s="24"/>
      <c r="I9" s="24"/>
      <c r="J9" s="24">
        <v>0</v>
      </c>
      <c r="K9" s="24">
        <v>0</v>
      </c>
      <c r="L9" s="24">
        <v>0</v>
      </c>
      <c r="M9" s="24">
        <v>0</v>
      </c>
      <c r="N9" s="24">
        <f>H9</f>
        <v>0</v>
      </c>
      <c r="O9" s="24"/>
      <c r="P9" s="46">
        <f>E9</f>
        <v>24806</v>
      </c>
      <c r="Q9" s="12" t="s">
        <v>26</v>
      </c>
      <c r="R9" s="12">
        <v>49500</v>
      </c>
      <c r="S9" s="12"/>
      <c r="T9" s="12">
        <v>49500</v>
      </c>
      <c r="U9" s="26" t="s">
        <v>25</v>
      </c>
      <c r="V9" s="30"/>
    </row>
    <row r="10" spans="1:22" ht="27" customHeight="1" x14ac:dyDescent="0.25">
      <c r="A10" s="30">
        <v>59252</v>
      </c>
      <c r="B10" s="22" t="s">
        <v>11</v>
      </c>
      <c r="C10" s="16">
        <v>45210</v>
      </c>
      <c r="D10" s="23">
        <v>18</v>
      </c>
      <c r="E10" s="24">
        <v>29899</v>
      </c>
      <c r="F10" s="24">
        <v>28612</v>
      </c>
      <c r="G10" s="24">
        <f>E10-F10</f>
        <v>1287</v>
      </c>
      <c r="H10" s="24">
        <f>ROUND(G10*18%,)</f>
        <v>232</v>
      </c>
      <c r="I10" s="24">
        <f>ROUND(G10+H10,)</f>
        <v>1519</v>
      </c>
      <c r="J10" s="24">
        <f>ROUND(G10*J6,)</f>
        <v>13</v>
      </c>
      <c r="K10" s="24">
        <f>ROUND(G10*5%,)</f>
        <v>64</v>
      </c>
      <c r="L10" s="24">
        <v>0</v>
      </c>
      <c r="M10" s="24">
        <v>0</v>
      </c>
      <c r="N10" s="46">
        <f>H10</f>
        <v>232</v>
      </c>
      <c r="O10" s="24">
        <v>0</v>
      </c>
      <c r="P10" s="24">
        <f>I10-SUM(J10:O10)</f>
        <v>1210</v>
      </c>
      <c r="Q10" s="12"/>
      <c r="R10" s="12"/>
      <c r="S10" s="12"/>
      <c r="T10" s="12"/>
      <c r="U10" s="26"/>
      <c r="V10" s="30"/>
    </row>
    <row r="11" spans="1:22" ht="27" customHeight="1" x14ac:dyDescent="0.25">
      <c r="A11" s="30">
        <v>59252</v>
      </c>
      <c r="B11" s="22" t="s">
        <v>7</v>
      </c>
      <c r="C11" s="16"/>
      <c r="D11" s="23">
        <v>2</v>
      </c>
      <c r="E11" s="24">
        <f>N10</f>
        <v>232</v>
      </c>
      <c r="F11" s="24"/>
      <c r="G11" s="24"/>
      <c r="H11" s="24"/>
      <c r="I11" s="24"/>
      <c r="J11" s="24">
        <v>0</v>
      </c>
      <c r="K11" s="24">
        <v>0</v>
      </c>
      <c r="L11" s="24">
        <v>0</v>
      </c>
      <c r="M11" s="24">
        <v>0</v>
      </c>
      <c r="N11" s="24">
        <f>H11</f>
        <v>0</v>
      </c>
      <c r="O11" s="24"/>
      <c r="P11" s="46">
        <f>E11</f>
        <v>232</v>
      </c>
      <c r="Q11" s="12"/>
      <c r="R11" s="12"/>
      <c r="S11" s="12"/>
      <c r="T11" s="12"/>
      <c r="U11" s="26"/>
      <c r="V11" s="30"/>
    </row>
    <row r="12" spans="1:22" s="18" customFormat="1" ht="27" customHeight="1" x14ac:dyDescent="0.25">
      <c r="A12" s="27"/>
      <c r="B12" s="19"/>
      <c r="C12" s="20"/>
      <c r="D12" s="20"/>
      <c r="E12" s="20"/>
      <c r="F12" s="20"/>
      <c r="G12" s="20"/>
      <c r="H12" s="20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7"/>
      <c r="V12" s="31">
        <f>SUM(P8:P11)-SUM(T8:T11)</f>
        <v>7291</v>
      </c>
    </row>
    <row r="13" spans="1:22" ht="27" customHeight="1" x14ac:dyDescent="0.25">
      <c r="A13" s="30">
        <v>59254</v>
      </c>
      <c r="B13" s="22" t="s">
        <v>22</v>
      </c>
      <c r="C13" s="16">
        <v>45210</v>
      </c>
      <c r="D13" s="23">
        <v>6</v>
      </c>
      <c r="E13" s="24">
        <v>112500</v>
      </c>
      <c r="F13" s="24">
        <v>0</v>
      </c>
      <c r="G13" s="24">
        <f>E13-F13</f>
        <v>112500</v>
      </c>
      <c r="H13" s="24">
        <f>ROUND(G13*18%,)</f>
        <v>20250</v>
      </c>
      <c r="I13" s="24">
        <f>ROUND(G13+H13,)</f>
        <v>132750</v>
      </c>
      <c r="J13" s="24">
        <f>ROUND(G13*J6,)</f>
        <v>1125</v>
      </c>
      <c r="K13" s="24">
        <f>ROUND(G13*5%,)</f>
        <v>5625</v>
      </c>
      <c r="L13" s="24">
        <v>0</v>
      </c>
      <c r="M13" s="24">
        <v>0</v>
      </c>
      <c r="N13" s="46">
        <f>H13</f>
        <v>20250</v>
      </c>
      <c r="O13" s="24">
        <v>0</v>
      </c>
      <c r="P13" s="24">
        <f>I13-SUM(J13:O13)</f>
        <v>105750</v>
      </c>
      <c r="Q13" s="12" t="s">
        <v>24</v>
      </c>
      <c r="R13" s="12">
        <v>100000</v>
      </c>
      <c r="S13" s="12">
        <f>1%*R13</f>
        <v>1000</v>
      </c>
      <c r="T13" s="12">
        <f>R13-S13</f>
        <v>99000</v>
      </c>
      <c r="U13" s="26" t="s">
        <v>23</v>
      </c>
      <c r="V13" s="30"/>
    </row>
    <row r="14" spans="1:22" ht="27" customHeight="1" x14ac:dyDescent="0.25">
      <c r="A14" s="30">
        <v>59254</v>
      </c>
      <c r="B14" s="22" t="s">
        <v>22</v>
      </c>
      <c r="C14" s="16">
        <v>45348</v>
      </c>
      <c r="D14" s="23">
        <v>12</v>
      </c>
      <c r="E14" s="24">
        <v>225000</v>
      </c>
      <c r="F14" s="24">
        <v>211254</v>
      </c>
      <c r="G14" s="24">
        <f>E14-F14</f>
        <v>13746</v>
      </c>
      <c r="H14" s="24">
        <f>ROUND(G14*18%,)</f>
        <v>2474</v>
      </c>
      <c r="I14" s="24">
        <f>ROUND(G14+H14,)</f>
        <v>16220</v>
      </c>
      <c r="J14" s="24">
        <f>G14*1%</f>
        <v>137.46</v>
      </c>
      <c r="K14" s="24">
        <f>ROUND(G14*5%,)</f>
        <v>687</v>
      </c>
      <c r="L14" s="24">
        <v>0</v>
      </c>
      <c r="M14" s="24">
        <v>0</v>
      </c>
      <c r="N14" s="46">
        <f>H14</f>
        <v>2474</v>
      </c>
      <c r="O14" s="24">
        <v>0</v>
      </c>
      <c r="P14" s="24">
        <f>I14-SUM(J14:O14)</f>
        <v>12921.54</v>
      </c>
      <c r="Q14" s="12" t="s">
        <v>29</v>
      </c>
      <c r="R14" s="12">
        <v>6750</v>
      </c>
      <c r="S14" s="12"/>
      <c r="T14" s="12">
        <v>6750</v>
      </c>
      <c r="U14" s="26" t="s">
        <v>27</v>
      </c>
      <c r="V14" s="30"/>
    </row>
    <row r="15" spans="1:22" ht="27" customHeight="1" x14ac:dyDescent="0.25">
      <c r="A15" s="30">
        <v>59254</v>
      </c>
      <c r="B15" s="22" t="s">
        <v>22</v>
      </c>
      <c r="C15" s="16">
        <v>45351</v>
      </c>
      <c r="D15" s="23">
        <v>22</v>
      </c>
      <c r="E15" s="24">
        <v>40821</v>
      </c>
      <c r="F15" s="24"/>
      <c r="G15" s="24">
        <v>34595</v>
      </c>
      <c r="H15" s="24">
        <f>ROUND(G15*18%,)</f>
        <v>6227</v>
      </c>
      <c r="I15" s="24">
        <f>ROUND(G15+H15,)</f>
        <v>40822</v>
      </c>
      <c r="J15" s="24">
        <f>G15*1%</f>
        <v>345.95</v>
      </c>
      <c r="K15" s="24">
        <f>ROUND(G15*5%,)</f>
        <v>1730</v>
      </c>
      <c r="L15" s="24">
        <v>0</v>
      </c>
      <c r="M15" s="24">
        <v>0</v>
      </c>
      <c r="N15" s="46">
        <f>H15</f>
        <v>6227</v>
      </c>
      <c r="O15" s="24">
        <v>0</v>
      </c>
      <c r="P15" s="24">
        <f>I15-SUM(J15:O15)</f>
        <v>32519.05</v>
      </c>
      <c r="Q15" s="12" t="s">
        <v>30</v>
      </c>
      <c r="R15" s="12">
        <v>148500</v>
      </c>
      <c r="S15" s="12"/>
      <c r="T15" s="12">
        <v>148500</v>
      </c>
      <c r="U15" s="26" t="s">
        <v>28</v>
      </c>
      <c r="V15" s="30"/>
    </row>
    <row r="16" spans="1:22" ht="27" customHeight="1" x14ac:dyDescent="0.25">
      <c r="A16" s="30">
        <v>59254</v>
      </c>
      <c r="B16" s="22" t="s">
        <v>7</v>
      </c>
      <c r="C16" s="16">
        <v>45608</v>
      </c>
      <c r="D16" s="23" t="s">
        <v>72</v>
      </c>
      <c r="E16" s="24">
        <f>H13+H14+H15</f>
        <v>28951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46">
        <f>E16</f>
        <v>28951</v>
      </c>
      <c r="Q16" s="12" t="s">
        <v>70</v>
      </c>
      <c r="R16" s="12"/>
      <c r="S16" s="12"/>
      <c r="T16" s="12">
        <v>49500</v>
      </c>
      <c r="U16" s="26" t="s">
        <v>47</v>
      </c>
      <c r="V16" s="30"/>
    </row>
    <row r="17" spans="1:22" ht="27" customHeight="1" x14ac:dyDescent="0.25">
      <c r="A17" s="30">
        <v>59254</v>
      </c>
      <c r="B17" s="12"/>
      <c r="C17" s="16"/>
      <c r="D17" s="16"/>
      <c r="E17" s="16"/>
      <c r="F17" s="16"/>
      <c r="G17" s="16"/>
      <c r="H17" s="16"/>
      <c r="I17" s="12"/>
      <c r="J17" s="12"/>
      <c r="K17" s="12"/>
      <c r="L17" s="12"/>
      <c r="M17" s="12"/>
      <c r="N17" s="12"/>
      <c r="O17" s="12"/>
      <c r="P17" s="12"/>
      <c r="Q17" s="12" t="s">
        <v>71</v>
      </c>
      <c r="R17" s="12"/>
      <c r="S17" s="12"/>
      <c r="T17" s="12">
        <v>49500</v>
      </c>
      <c r="U17" s="26" t="s">
        <v>46</v>
      </c>
      <c r="V17" s="30"/>
    </row>
    <row r="18" spans="1:22" ht="27" customHeight="1" x14ac:dyDescent="0.25">
      <c r="A18" s="27"/>
      <c r="B18" s="19"/>
      <c r="C18" s="20"/>
      <c r="D18" s="20"/>
      <c r="E18" s="20"/>
      <c r="F18" s="20"/>
      <c r="G18" s="20"/>
      <c r="H18" s="20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7"/>
      <c r="V18" s="31">
        <f>SUM(P13:P17)-SUM(T13:T17)</f>
        <v>-173108.41</v>
      </c>
    </row>
    <row r="19" spans="1:22" ht="27" customHeight="1" x14ac:dyDescent="0.25">
      <c r="A19" s="30">
        <v>59255</v>
      </c>
      <c r="B19" s="22" t="s">
        <v>19</v>
      </c>
      <c r="C19" s="16">
        <v>45210</v>
      </c>
      <c r="D19" s="23">
        <v>4</v>
      </c>
      <c r="E19" s="24">
        <v>193187</v>
      </c>
      <c r="F19" s="24">
        <v>45000</v>
      </c>
      <c r="G19" s="24">
        <f>E19-F19</f>
        <v>148187</v>
      </c>
      <c r="H19" s="24">
        <f>ROUND(G19*18%,)</f>
        <v>26674</v>
      </c>
      <c r="I19" s="24">
        <f>ROUND(G19+H19,)</f>
        <v>174861</v>
      </c>
      <c r="J19" s="24">
        <f>ROUND(G19*J6,)</f>
        <v>1482</v>
      </c>
      <c r="K19" s="24">
        <f>ROUND(G19*5%,)</f>
        <v>7409</v>
      </c>
      <c r="L19" s="24">
        <v>0</v>
      </c>
      <c r="M19" s="24">
        <v>0</v>
      </c>
      <c r="N19" s="24">
        <f>H19</f>
        <v>26674</v>
      </c>
      <c r="O19" s="24"/>
      <c r="P19" s="24">
        <f>I19-SUM(J19:O19)</f>
        <v>139296</v>
      </c>
      <c r="Q19" s="12" t="s">
        <v>21</v>
      </c>
      <c r="R19" s="12">
        <v>100000</v>
      </c>
      <c r="S19" s="12">
        <f>1%*R19</f>
        <v>1000</v>
      </c>
      <c r="T19" s="12">
        <f>R19-S19</f>
        <v>99000</v>
      </c>
      <c r="U19" s="26" t="s">
        <v>20</v>
      </c>
      <c r="V19" s="30"/>
    </row>
    <row r="20" spans="1:22" ht="27" customHeight="1" x14ac:dyDescent="0.25">
      <c r="A20" s="30">
        <v>59255</v>
      </c>
      <c r="B20" s="22" t="s">
        <v>19</v>
      </c>
      <c r="C20" s="16">
        <v>45348</v>
      </c>
      <c r="D20" s="23">
        <v>11</v>
      </c>
      <c r="E20" s="24">
        <v>386375</v>
      </c>
      <c r="F20" s="24">
        <v>295607</v>
      </c>
      <c r="G20" s="24">
        <f>E20-F20</f>
        <v>90768</v>
      </c>
      <c r="H20" s="24">
        <f>ROUND(G20*18%,)</f>
        <v>16338</v>
      </c>
      <c r="I20" s="24">
        <f>ROUND(G20+H20,)</f>
        <v>107106</v>
      </c>
      <c r="J20" s="24">
        <f>ROUND(G20*J6,)</f>
        <v>908</v>
      </c>
      <c r="K20" s="24">
        <f>ROUND(G20*5%,)</f>
        <v>4538</v>
      </c>
      <c r="L20" s="24">
        <v>0</v>
      </c>
      <c r="M20" s="24">
        <v>0</v>
      </c>
      <c r="N20" s="24">
        <f>H20</f>
        <v>16338</v>
      </c>
      <c r="O20" s="24"/>
      <c r="P20" s="24">
        <f>I20-SUM(J20:O20)</f>
        <v>85322</v>
      </c>
      <c r="Q20" s="12" t="s">
        <v>33</v>
      </c>
      <c r="R20" s="12">
        <v>40296</v>
      </c>
      <c r="S20" s="12"/>
      <c r="T20" s="12">
        <f t="shared" ref="T20:T24" si="0">R20-S20</f>
        <v>40296</v>
      </c>
      <c r="U20" s="26" t="s">
        <v>31</v>
      </c>
      <c r="V20" s="30"/>
    </row>
    <row r="21" spans="1:22" ht="27" customHeight="1" x14ac:dyDescent="0.25">
      <c r="A21" s="30">
        <v>59255</v>
      </c>
      <c r="B21" s="22" t="s">
        <v>19</v>
      </c>
      <c r="C21" s="16">
        <v>45348</v>
      </c>
      <c r="D21" s="23">
        <v>21</v>
      </c>
      <c r="E21" s="24">
        <v>127602.8</v>
      </c>
      <c r="F21" s="24">
        <v>122036</v>
      </c>
      <c r="G21" s="24">
        <f>E21-F21</f>
        <v>5566.8000000000029</v>
      </c>
      <c r="H21" s="24">
        <f>ROUND(G21*18%,)</f>
        <v>1002</v>
      </c>
      <c r="I21" s="24">
        <f>ROUND(G21+H21,)</f>
        <v>6569</v>
      </c>
      <c r="J21" s="24">
        <f>ROUND(G21*J6,)</f>
        <v>56</v>
      </c>
      <c r="K21" s="24">
        <f>ROUND(G21*5%,)</f>
        <v>278</v>
      </c>
      <c r="L21" s="24">
        <v>0</v>
      </c>
      <c r="M21" s="24">
        <v>0</v>
      </c>
      <c r="N21" s="24">
        <f>H21</f>
        <v>1002</v>
      </c>
      <c r="O21" s="24"/>
      <c r="P21" s="24">
        <f>I21-SUM(J21:O21)</f>
        <v>5233</v>
      </c>
      <c r="Q21" s="12" t="s">
        <v>34</v>
      </c>
      <c r="R21" s="12">
        <v>50000</v>
      </c>
      <c r="S21" s="12">
        <f>1%*R21</f>
        <v>500</v>
      </c>
      <c r="T21" s="12">
        <f t="shared" si="0"/>
        <v>49500</v>
      </c>
      <c r="U21" s="26" t="s">
        <v>32</v>
      </c>
      <c r="V21" s="30"/>
    </row>
    <row r="22" spans="1:22" ht="27" customHeight="1" x14ac:dyDescent="0.25">
      <c r="A22" s="30">
        <v>59255</v>
      </c>
      <c r="B22" s="22" t="s">
        <v>7</v>
      </c>
      <c r="C22" s="16">
        <v>45608</v>
      </c>
      <c r="D22" s="23" t="s">
        <v>74</v>
      </c>
      <c r="E22" s="24">
        <f>H19+H20+H21</f>
        <v>44014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46">
        <f>E22</f>
        <v>44014</v>
      </c>
      <c r="Q22" s="12" t="s">
        <v>58</v>
      </c>
      <c r="R22" s="12">
        <v>100000</v>
      </c>
      <c r="S22" s="12">
        <f t="shared" ref="S22:S24" si="1">1%*R22</f>
        <v>1000</v>
      </c>
      <c r="T22" s="12">
        <f t="shared" si="0"/>
        <v>99000</v>
      </c>
      <c r="U22" s="26" t="s">
        <v>48</v>
      </c>
      <c r="V22" s="30"/>
    </row>
    <row r="23" spans="1:22" ht="27" customHeight="1" x14ac:dyDescent="0.25">
      <c r="A23" s="30">
        <v>59255</v>
      </c>
      <c r="B23" s="12"/>
      <c r="C23" s="16"/>
      <c r="D23" s="16"/>
      <c r="E23" s="16"/>
      <c r="F23" s="16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 t="s">
        <v>59</v>
      </c>
      <c r="R23" s="12">
        <v>50000</v>
      </c>
      <c r="S23" s="12">
        <f t="shared" si="1"/>
        <v>500</v>
      </c>
      <c r="T23" s="12">
        <f t="shared" si="0"/>
        <v>49500</v>
      </c>
      <c r="U23" s="26" t="s">
        <v>49</v>
      </c>
      <c r="V23" s="30"/>
    </row>
    <row r="24" spans="1:22" ht="27" customHeight="1" x14ac:dyDescent="0.25">
      <c r="A24" s="30">
        <v>59255</v>
      </c>
      <c r="B24" s="12"/>
      <c r="C24" s="16"/>
      <c r="D24" s="16"/>
      <c r="E24" s="16"/>
      <c r="F24" s="16"/>
      <c r="G24" s="16"/>
      <c r="H24" s="16"/>
      <c r="I24" s="12"/>
      <c r="J24" s="12"/>
      <c r="K24" s="12"/>
      <c r="L24" s="12"/>
      <c r="M24" s="12"/>
      <c r="N24" s="12"/>
      <c r="O24" s="12"/>
      <c r="P24" s="12"/>
      <c r="Q24" s="12" t="s">
        <v>60</v>
      </c>
      <c r="R24" s="12">
        <v>150000</v>
      </c>
      <c r="S24" s="12">
        <f t="shared" si="1"/>
        <v>1500</v>
      </c>
      <c r="T24" s="12">
        <f t="shared" si="0"/>
        <v>148500</v>
      </c>
      <c r="U24" s="26" t="s">
        <v>57</v>
      </c>
      <c r="V24" s="30"/>
    </row>
    <row r="25" spans="1:22" ht="27" customHeight="1" x14ac:dyDescent="0.25">
      <c r="A25" s="30">
        <v>59255</v>
      </c>
      <c r="B25" s="12"/>
      <c r="C25" s="16"/>
      <c r="D25" s="16"/>
      <c r="E25" s="16"/>
      <c r="F25" s="16"/>
      <c r="G25" s="16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26"/>
      <c r="V25" s="30"/>
    </row>
    <row r="26" spans="1:22" ht="27" customHeight="1" x14ac:dyDescent="0.25">
      <c r="A26" s="30">
        <v>59255</v>
      </c>
      <c r="B26" s="12"/>
      <c r="C26" s="16"/>
      <c r="D26" s="16"/>
      <c r="E26" s="16"/>
      <c r="F26" s="16"/>
      <c r="G26" s="16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26"/>
      <c r="V26" s="30"/>
    </row>
    <row r="27" spans="1:22" ht="27" customHeight="1" x14ac:dyDescent="0.25">
      <c r="A27" s="27"/>
      <c r="B27" s="19"/>
      <c r="C27" s="20"/>
      <c r="D27" s="20"/>
      <c r="E27" s="20"/>
      <c r="F27" s="20"/>
      <c r="G27" s="20"/>
      <c r="H27" s="20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7"/>
      <c r="V27" s="31">
        <f>SUM(P19:P26)-SUM(T19:T26)</f>
        <v>-211931</v>
      </c>
    </row>
    <row r="28" spans="1:22" ht="27" customHeight="1" x14ac:dyDescent="0.25">
      <c r="A28" s="30">
        <v>59256</v>
      </c>
      <c r="B28" s="22" t="s">
        <v>45</v>
      </c>
      <c r="C28" s="16">
        <v>45210</v>
      </c>
      <c r="D28" s="23">
        <v>7</v>
      </c>
      <c r="E28" s="24">
        <v>225750</v>
      </c>
      <c r="F28" s="24">
        <v>152600</v>
      </c>
      <c r="G28" s="24">
        <f>E28-F28</f>
        <v>73150</v>
      </c>
      <c r="H28" s="24">
        <f>ROUND(G28*18%,)</f>
        <v>13167</v>
      </c>
      <c r="I28" s="24">
        <f>ROUND(G28+H28,)</f>
        <v>86317</v>
      </c>
      <c r="J28" s="24">
        <f>ROUND(G28*J6,)</f>
        <v>732</v>
      </c>
      <c r="K28" s="24">
        <f>ROUND(G28*5%,)</f>
        <v>3658</v>
      </c>
      <c r="L28" s="24">
        <v>0</v>
      </c>
      <c r="M28" s="24">
        <f>G28*10%</f>
        <v>7315</v>
      </c>
      <c r="N28" s="24">
        <f>H28</f>
        <v>13167</v>
      </c>
      <c r="O28" s="24"/>
      <c r="P28" s="24">
        <f>I28-SUM(J28:O28)</f>
        <v>61445</v>
      </c>
      <c r="Q28" s="12" t="s">
        <v>51</v>
      </c>
      <c r="R28" s="12">
        <v>150000</v>
      </c>
      <c r="S28" s="12">
        <f>1%*R28</f>
        <v>1500</v>
      </c>
      <c r="T28" s="12">
        <f>R28-S28</f>
        <v>148500</v>
      </c>
      <c r="U28" s="26" t="s">
        <v>50</v>
      </c>
      <c r="V28" s="30"/>
    </row>
    <row r="29" spans="1:22" ht="27" customHeight="1" x14ac:dyDescent="0.25">
      <c r="A29" s="30">
        <v>59256</v>
      </c>
      <c r="B29" s="22" t="s">
        <v>45</v>
      </c>
      <c r="C29" s="16">
        <v>45348</v>
      </c>
      <c r="D29" s="23">
        <v>10</v>
      </c>
      <c r="E29" s="24">
        <v>451500</v>
      </c>
      <c r="F29" s="24">
        <v>402217</v>
      </c>
      <c r="G29" s="24">
        <f>E29-F29</f>
        <v>49283</v>
      </c>
      <c r="H29" s="24">
        <f>ROUND(G29*18%,)</f>
        <v>8871</v>
      </c>
      <c r="I29" s="24">
        <f>ROUND(G29+H29,)</f>
        <v>58154</v>
      </c>
      <c r="J29" s="24">
        <f>ROUND(G29*J6,)</f>
        <v>493</v>
      </c>
      <c r="K29" s="24">
        <f>ROUND(G29*5%,)</f>
        <v>2464</v>
      </c>
      <c r="L29" s="24">
        <v>0</v>
      </c>
      <c r="M29" s="24">
        <v>0</v>
      </c>
      <c r="N29" s="24">
        <f>H29</f>
        <v>8871</v>
      </c>
      <c r="O29" s="24"/>
      <c r="P29" s="24">
        <f>I29-SUM(J29:O29)</f>
        <v>46326</v>
      </c>
      <c r="Q29" s="12"/>
      <c r="R29" s="12"/>
      <c r="S29" s="12"/>
      <c r="T29" s="12">
        <v>99000</v>
      </c>
      <c r="U29" s="26" t="s">
        <v>67</v>
      </c>
      <c r="V29" s="30"/>
    </row>
    <row r="30" spans="1:22" ht="27" customHeight="1" x14ac:dyDescent="0.25">
      <c r="A30" s="30">
        <v>59256</v>
      </c>
      <c r="B30" s="22" t="s">
        <v>45</v>
      </c>
      <c r="C30" s="16">
        <v>45351</v>
      </c>
      <c r="D30" s="23">
        <v>19</v>
      </c>
      <c r="E30" s="24">
        <v>91775.7</v>
      </c>
      <c r="F30" s="24">
        <v>76300</v>
      </c>
      <c r="G30" s="24">
        <f>E30-F30</f>
        <v>15475.699999999997</v>
      </c>
      <c r="H30" s="24">
        <f>ROUND(G30*18%,)</f>
        <v>2786</v>
      </c>
      <c r="I30" s="24">
        <f>ROUND(G30+H30,)</f>
        <v>18262</v>
      </c>
      <c r="J30" s="24">
        <f>ROUND(G30*J6,)</f>
        <v>155</v>
      </c>
      <c r="K30" s="24">
        <f>ROUND(G30*5%,)</f>
        <v>774</v>
      </c>
      <c r="L30" s="24">
        <v>0</v>
      </c>
      <c r="M30" s="24">
        <v>0</v>
      </c>
      <c r="N30" s="24">
        <f>H30</f>
        <v>2786</v>
      </c>
      <c r="O30" s="24"/>
      <c r="P30" s="24">
        <f>I30-SUM(J30:O30)</f>
        <v>14547</v>
      </c>
      <c r="Q30" s="12"/>
      <c r="R30" s="12"/>
      <c r="S30" s="12"/>
      <c r="T30" s="12">
        <v>99000</v>
      </c>
      <c r="U30" s="26" t="s">
        <v>69</v>
      </c>
      <c r="V30" s="30"/>
    </row>
    <row r="31" spans="1:22" ht="27" customHeight="1" x14ac:dyDescent="0.25">
      <c r="A31" s="30">
        <v>59256</v>
      </c>
      <c r="B31" s="22" t="s">
        <v>7</v>
      </c>
      <c r="C31" s="16">
        <v>45608</v>
      </c>
      <c r="D31" s="23" t="s">
        <v>75</v>
      </c>
      <c r="E31" s="24">
        <f>H28+H29+H30</f>
        <v>24824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46">
        <f>E31</f>
        <v>24824</v>
      </c>
      <c r="Q31" s="12"/>
      <c r="R31" s="12"/>
      <c r="S31" s="12"/>
      <c r="T31" s="12"/>
      <c r="U31" s="26"/>
      <c r="V31" s="30"/>
    </row>
    <row r="32" spans="1:22" ht="27" customHeight="1" x14ac:dyDescent="0.25">
      <c r="A32" s="30">
        <v>59256</v>
      </c>
      <c r="B32" s="12"/>
      <c r="C32" s="16"/>
      <c r="D32" s="16"/>
      <c r="E32" s="16"/>
      <c r="F32" s="16"/>
      <c r="G32" s="16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26"/>
      <c r="V32" s="30"/>
    </row>
    <row r="33" spans="1:22" ht="27" customHeight="1" x14ac:dyDescent="0.25">
      <c r="A33" s="27"/>
      <c r="B33" s="19"/>
      <c r="C33" s="19"/>
      <c r="D33" s="19"/>
      <c r="E33" s="19"/>
      <c r="F33" s="19"/>
      <c r="G33" s="19"/>
      <c r="H33" s="19"/>
      <c r="I33" s="19"/>
      <c r="J33" s="21"/>
      <c r="K33" s="21"/>
      <c r="L33" s="21"/>
      <c r="M33" s="21"/>
      <c r="N33" s="19"/>
      <c r="O33" s="19"/>
      <c r="P33" s="19"/>
      <c r="Q33" s="19"/>
      <c r="R33" s="19"/>
      <c r="S33" s="21"/>
      <c r="T33" s="19"/>
      <c r="U33" s="19"/>
      <c r="V33" s="31">
        <f>SUM(P28:P32)-SUM(T28:T32)</f>
        <v>-199358</v>
      </c>
    </row>
    <row r="34" spans="1:22" ht="27" customHeight="1" x14ac:dyDescent="0.25">
      <c r="A34" s="30">
        <v>59257</v>
      </c>
      <c r="B34" s="22" t="s">
        <v>14</v>
      </c>
      <c r="C34" s="16">
        <v>45210</v>
      </c>
      <c r="D34" s="23">
        <v>3</v>
      </c>
      <c r="E34" s="24">
        <v>142500</v>
      </c>
      <c r="F34" s="24">
        <v>0</v>
      </c>
      <c r="G34" s="24">
        <f>E34-F34</f>
        <v>142500</v>
      </c>
      <c r="H34" s="24">
        <f>ROUND(G34*18%,)</f>
        <v>25650</v>
      </c>
      <c r="I34" s="24">
        <f>ROUND(G34+H34,)</f>
        <v>168150</v>
      </c>
      <c r="J34" s="24">
        <f>ROUND(G34*J6,)</f>
        <v>1425</v>
      </c>
      <c r="K34" s="24">
        <f>ROUND(G34*5%,)</f>
        <v>7125</v>
      </c>
      <c r="L34" s="24">
        <v>0</v>
      </c>
      <c r="M34" s="24">
        <v>0</v>
      </c>
      <c r="N34" s="24">
        <f>H34</f>
        <v>25650</v>
      </c>
      <c r="O34" s="24">
        <v>0</v>
      </c>
      <c r="P34" s="24">
        <f>I34-SUM(J34:O34)</f>
        <v>133950</v>
      </c>
      <c r="Q34" s="12" t="s">
        <v>18</v>
      </c>
      <c r="R34" s="12">
        <v>120000</v>
      </c>
      <c r="S34" s="12">
        <f>1%*R34</f>
        <v>1200</v>
      </c>
      <c r="T34" s="12">
        <f>R34-S34</f>
        <v>118800</v>
      </c>
      <c r="U34" s="26" t="s">
        <v>17</v>
      </c>
      <c r="V34" s="30"/>
    </row>
    <row r="35" spans="1:22" ht="27" customHeight="1" x14ac:dyDescent="0.25">
      <c r="A35" s="30">
        <v>59257</v>
      </c>
      <c r="B35" s="22" t="s">
        <v>14</v>
      </c>
      <c r="C35" s="16">
        <v>45348</v>
      </c>
      <c r="D35" s="23">
        <v>9</v>
      </c>
      <c r="E35" s="24">
        <v>285000</v>
      </c>
      <c r="F35" s="24">
        <v>283246</v>
      </c>
      <c r="G35" s="24">
        <f>E35-F35</f>
        <v>1754</v>
      </c>
      <c r="H35" s="24">
        <f>ROUND(G35*18%,)</f>
        <v>316</v>
      </c>
      <c r="I35" s="24">
        <f>ROUND(G35+H35,)</f>
        <v>2070</v>
      </c>
      <c r="J35" s="24">
        <f>G35*1%</f>
        <v>17.54</v>
      </c>
      <c r="K35" s="24">
        <f>ROUND(G35*5%,)</f>
        <v>88</v>
      </c>
      <c r="L35" s="24">
        <v>0</v>
      </c>
      <c r="M35" s="24">
        <v>0</v>
      </c>
      <c r="N35" s="24">
        <f>H35</f>
        <v>316</v>
      </c>
      <c r="O35" s="24">
        <v>0</v>
      </c>
      <c r="P35" s="24">
        <f>I35-SUM(J35:O35)</f>
        <v>1648.46</v>
      </c>
      <c r="Q35" s="12" t="s">
        <v>37</v>
      </c>
      <c r="R35" s="12">
        <v>50000</v>
      </c>
      <c r="S35" s="12">
        <f t="shared" ref="S35:S38" si="2">1%*R35</f>
        <v>500</v>
      </c>
      <c r="T35" s="12">
        <f t="shared" ref="T35:T39" si="3">R35-S35</f>
        <v>49500</v>
      </c>
      <c r="U35" s="26" t="s">
        <v>35</v>
      </c>
      <c r="V35" s="30"/>
    </row>
    <row r="36" spans="1:22" ht="27" customHeight="1" x14ac:dyDescent="0.25">
      <c r="A36" s="30">
        <v>59257</v>
      </c>
      <c r="B36" s="22" t="s">
        <v>14</v>
      </c>
      <c r="C36" s="16">
        <v>45351</v>
      </c>
      <c r="D36" s="23">
        <v>17</v>
      </c>
      <c r="E36" s="24">
        <v>166373</v>
      </c>
      <c r="F36" s="24">
        <v>116010</v>
      </c>
      <c r="G36" s="24">
        <f>E36-F36</f>
        <v>50363</v>
      </c>
      <c r="H36" s="24">
        <f>ROUND(G36*18%,)</f>
        <v>9065</v>
      </c>
      <c r="I36" s="24">
        <f>ROUND(G36+H36,)</f>
        <v>59428</v>
      </c>
      <c r="J36" s="24">
        <f>ROUND(G36*J6,)</f>
        <v>504</v>
      </c>
      <c r="K36" s="24">
        <f>ROUND(G36*5%,)</f>
        <v>2518</v>
      </c>
      <c r="L36" s="24">
        <v>0</v>
      </c>
      <c r="M36" s="24">
        <v>0</v>
      </c>
      <c r="N36" s="24">
        <f>H36</f>
        <v>9065</v>
      </c>
      <c r="O36" s="24"/>
      <c r="P36" s="24">
        <f>I36-SUM(J36:O36)</f>
        <v>47341</v>
      </c>
      <c r="Q36" s="12" t="s">
        <v>38</v>
      </c>
      <c r="R36" s="12">
        <v>50000</v>
      </c>
      <c r="S36" s="12">
        <f t="shared" si="2"/>
        <v>500</v>
      </c>
      <c r="T36" s="12">
        <f t="shared" si="3"/>
        <v>49500</v>
      </c>
      <c r="U36" s="26" t="s">
        <v>36</v>
      </c>
      <c r="V36" s="30"/>
    </row>
    <row r="37" spans="1:22" ht="27" customHeight="1" x14ac:dyDescent="0.25">
      <c r="A37" s="30">
        <v>59257</v>
      </c>
      <c r="B37" s="22" t="s">
        <v>7</v>
      </c>
      <c r="C37" s="16">
        <v>45608</v>
      </c>
      <c r="D37" s="23" t="s">
        <v>76</v>
      </c>
      <c r="E37" s="24">
        <f>H34+H35+H36</f>
        <v>35031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46">
        <f>E37</f>
        <v>35031</v>
      </c>
      <c r="Q37" s="12" t="s">
        <v>63</v>
      </c>
      <c r="R37" s="12">
        <v>50000</v>
      </c>
      <c r="S37" s="12">
        <f t="shared" si="2"/>
        <v>500</v>
      </c>
      <c r="T37" s="12">
        <f t="shared" si="3"/>
        <v>49500</v>
      </c>
      <c r="U37" s="26" t="s">
        <v>53</v>
      </c>
      <c r="V37" s="30"/>
    </row>
    <row r="38" spans="1:22" ht="27" customHeight="1" x14ac:dyDescent="0.25">
      <c r="A38" s="30">
        <v>59257</v>
      </c>
      <c r="B38" s="12"/>
      <c r="C38" s="16"/>
      <c r="D38" s="16"/>
      <c r="E38" s="16"/>
      <c r="F38" s="16"/>
      <c r="G38" s="16"/>
      <c r="H38" s="16"/>
      <c r="I38" s="12"/>
      <c r="J38" s="12"/>
      <c r="K38" s="12"/>
      <c r="L38" s="12"/>
      <c r="M38" s="12"/>
      <c r="N38" s="12"/>
      <c r="O38" s="12"/>
      <c r="P38" s="12"/>
      <c r="Q38" s="12" t="s">
        <v>64</v>
      </c>
      <c r="R38" s="12">
        <v>150000</v>
      </c>
      <c r="S38" s="12">
        <f t="shared" si="2"/>
        <v>1500</v>
      </c>
      <c r="T38" s="12">
        <f t="shared" si="3"/>
        <v>148500</v>
      </c>
      <c r="U38" s="26" t="s">
        <v>52</v>
      </c>
      <c r="V38" s="30"/>
    </row>
    <row r="39" spans="1:22" ht="27" customHeight="1" x14ac:dyDescent="0.25">
      <c r="A39" s="30">
        <v>59257</v>
      </c>
      <c r="B39" s="12"/>
      <c r="C39" s="16"/>
      <c r="D39" s="16"/>
      <c r="E39" s="16"/>
      <c r="F39" s="16"/>
      <c r="G39" s="16"/>
      <c r="H39" s="16"/>
      <c r="I39" s="12"/>
      <c r="J39" s="12"/>
      <c r="K39" s="12"/>
      <c r="L39" s="12"/>
      <c r="M39" s="12"/>
      <c r="N39" s="12"/>
      <c r="O39" s="12"/>
      <c r="P39" s="12"/>
      <c r="Q39" s="12" t="s">
        <v>62</v>
      </c>
      <c r="R39" s="12">
        <v>50000</v>
      </c>
      <c r="S39" s="12">
        <f t="shared" ref="S39" si="4">1%*R39</f>
        <v>500</v>
      </c>
      <c r="T39" s="12">
        <f t="shared" si="3"/>
        <v>49500</v>
      </c>
      <c r="U39" s="26" t="s">
        <v>61</v>
      </c>
      <c r="V39" s="30"/>
    </row>
    <row r="40" spans="1:22" ht="27" customHeight="1" x14ac:dyDescent="0.25">
      <c r="A40" s="30">
        <v>59257</v>
      </c>
      <c r="B40" s="12"/>
      <c r="C40" s="16"/>
      <c r="D40" s="16"/>
      <c r="E40" s="16"/>
      <c r="F40" s="16"/>
      <c r="G40" s="16"/>
      <c r="H40" s="16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26"/>
      <c r="V40" s="30"/>
    </row>
    <row r="41" spans="1:22" ht="27" customHeight="1" x14ac:dyDescent="0.25">
      <c r="A41" s="27"/>
      <c r="B41" s="19"/>
      <c r="C41" s="19"/>
      <c r="D41" s="19"/>
      <c r="E41" s="19"/>
      <c r="F41" s="19"/>
      <c r="G41" s="19"/>
      <c r="H41" s="19"/>
      <c r="I41" s="19"/>
      <c r="J41" s="21"/>
      <c r="K41" s="21"/>
      <c r="L41" s="21"/>
      <c r="M41" s="21"/>
      <c r="N41" s="19"/>
      <c r="O41" s="19"/>
      <c r="P41" s="19"/>
      <c r="Q41" s="19"/>
      <c r="R41" s="19"/>
      <c r="S41" s="21"/>
      <c r="T41" s="19"/>
      <c r="U41" s="19"/>
      <c r="V41" s="31">
        <f>SUM(P34:P40)-SUM(T34:T40)</f>
        <v>-247329.54</v>
      </c>
    </row>
    <row r="42" spans="1:22" ht="27" customHeight="1" x14ac:dyDescent="0.25">
      <c r="A42" s="30">
        <v>59258</v>
      </c>
      <c r="B42" s="22" t="s">
        <v>44</v>
      </c>
      <c r="C42" s="16">
        <v>45268</v>
      </c>
      <c r="D42" s="23">
        <v>8</v>
      </c>
      <c r="E42" s="24">
        <v>112500</v>
      </c>
      <c r="F42" s="24">
        <v>76300</v>
      </c>
      <c r="G42" s="24">
        <f>E42-F42</f>
        <v>36200</v>
      </c>
      <c r="H42" s="24">
        <f>ROUND(G42*18%,)</f>
        <v>6516</v>
      </c>
      <c r="I42" s="24">
        <f>ROUND(G42+H42,)</f>
        <v>42716</v>
      </c>
      <c r="J42" s="24">
        <f>ROUND(G42*J6,)</f>
        <v>362</v>
      </c>
      <c r="K42" s="24">
        <f>ROUND(G42*5%,)</f>
        <v>1810</v>
      </c>
      <c r="L42" s="24">
        <v>0</v>
      </c>
      <c r="M42" s="24">
        <f>G42*M6</f>
        <v>3620</v>
      </c>
      <c r="N42" s="24">
        <f>H42</f>
        <v>6516</v>
      </c>
      <c r="O42" s="24">
        <v>0</v>
      </c>
      <c r="P42" s="24">
        <f>I42-SUM(J42:O42)</f>
        <v>30408</v>
      </c>
      <c r="Q42" s="12" t="s">
        <v>42</v>
      </c>
      <c r="R42" s="12">
        <v>100000</v>
      </c>
      <c r="S42" s="12">
        <f>1%*R42</f>
        <v>1000</v>
      </c>
      <c r="T42" s="12">
        <f>R42-S42</f>
        <v>99000</v>
      </c>
      <c r="U42" s="26" t="s">
        <v>43</v>
      </c>
      <c r="V42" s="30"/>
    </row>
    <row r="43" spans="1:22" ht="27" customHeight="1" x14ac:dyDescent="0.25">
      <c r="A43" s="30">
        <v>59258</v>
      </c>
      <c r="B43" s="22" t="s">
        <v>44</v>
      </c>
      <c r="C43" s="16">
        <v>45348</v>
      </c>
      <c r="D43" s="23">
        <v>13</v>
      </c>
      <c r="E43" s="24">
        <v>225000</v>
      </c>
      <c r="F43" s="24">
        <v>224720</v>
      </c>
      <c r="G43" s="24">
        <f>E43-F43</f>
        <v>280</v>
      </c>
      <c r="H43" s="24">
        <f>ROUND(G43*18%,)</f>
        <v>50</v>
      </c>
      <c r="I43" s="24">
        <f>ROUND(G43+H43,)</f>
        <v>330</v>
      </c>
      <c r="J43" s="24">
        <f>G43*1%</f>
        <v>2.8000000000000003</v>
      </c>
      <c r="K43" s="24">
        <f>ROUND(G43*5%,)</f>
        <v>14</v>
      </c>
      <c r="L43" s="24">
        <v>0</v>
      </c>
      <c r="M43" s="24">
        <f>G43*M7</f>
        <v>0</v>
      </c>
      <c r="N43" s="24">
        <f>H43</f>
        <v>50</v>
      </c>
      <c r="O43" s="24">
        <v>0</v>
      </c>
      <c r="P43" s="24">
        <f>I43-SUM(J43:O43)</f>
        <v>263.2</v>
      </c>
      <c r="Q43" s="12"/>
      <c r="R43" s="12"/>
      <c r="S43" s="12"/>
      <c r="T43" s="12">
        <v>99000</v>
      </c>
      <c r="U43" s="26" t="s">
        <v>68</v>
      </c>
      <c r="V43" s="30"/>
    </row>
    <row r="44" spans="1:22" ht="27" customHeight="1" x14ac:dyDescent="0.25">
      <c r="A44" s="30">
        <v>59258</v>
      </c>
      <c r="B44" s="22" t="s">
        <v>44</v>
      </c>
      <c r="C44" s="16">
        <v>45351</v>
      </c>
      <c r="D44" s="23">
        <v>15</v>
      </c>
      <c r="E44" s="24">
        <v>73456.600000000006</v>
      </c>
      <c r="F44" s="24">
        <v>59132.5</v>
      </c>
      <c r="G44" s="24">
        <f>E44-F44</f>
        <v>14324.100000000006</v>
      </c>
      <c r="H44" s="24">
        <f>ROUND(G44*18%,)</f>
        <v>2578</v>
      </c>
      <c r="I44" s="24">
        <f>ROUND(G44+H44,)</f>
        <v>16902</v>
      </c>
      <c r="J44" s="24">
        <f>ROUND(G44*J6,)</f>
        <v>143</v>
      </c>
      <c r="K44" s="24">
        <f>ROUND(G44*5%,)</f>
        <v>716</v>
      </c>
      <c r="L44" s="24">
        <v>0</v>
      </c>
      <c r="M44" s="24">
        <v>0</v>
      </c>
      <c r="N44" s="24">
        <f>H44</f>
        <v>2578</v>
      </c>
      <c r="O44" s="24"/>
      <c r="P44" s="24">
        <f>I44-SUM(J44:O44)</f>
        <v>13465</v>
      </c>
      <c r="Q44" s="12"/>
      <c r="R44" s="12"/>
      <c r="S44" s="12"/>
      <c r="T44" s="12"/>
      <c r="U44" s="26"/>
      <c r="V44" s="30"/>
    </row>
    <row r="45" spans="1:22" ht="27" customHeight="1" x14ac:dyDescent="0.25">
      <c r="A45" s="30">
        <v>59258</v>
      </c>
      <c r="B45" s="22" t="s">
        <v>7</v>
      </c>
      <c r="C45" s="16">
        <v>45608</v>
      </c>
      <c r="D45" s="23" t="s">
        <v>77</v>
      </c>
      <c r="E45" s="24">
        <f>H42+H43+H44</f>
        <v>9144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46">
        <f>E45</f>
        <v>9144</v>
      </c>
      <c r="Q45" s="12"/>
      <c r="R45" s="12"/>
      <c r="S45" s="12"/>
      <c r="T45" s="12"/>
      <c r="U45" s="26"/>
      <c r="V45" s="30"/>
    </row>
    <row r="46" spans="1:22" ht="27" customHeight="1" x14ac:dyDescent="0.25">
      <c r="A46" s="30">
        <v>59258</v>
      </c>
      <c r="B46" s="12"/>
      <c r="C46" s="16"/>
      <c r="D46" s="16"/>
      <c r="E46" s="16"/>
      <c r="F46" s="16"/>
      <c r="G46" s="16"/>
      <c r="H46" s="16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26"/>
      <c r="V46" s="30"/>
    </row>
    <row r="47" spans="1:22" ht="27" customHeight="1" x14ac:dyDescent="0.25">
      <c r="A47" s="27"/>
      <c r="B47" s="19"/>
      <c r="C47" s="19"/>
      <c r="D47" s="19"/>
      <c r="E47" s="19"/>
      <c r="F47" s="19"/>
      <c r="G47" s="19"/>
      <c r="H47" s="19"/>
      <c r="I47" s="19"/>
      <c r="J47" s="21"/>
      <c r="K47" s="21"/>
      <c r="L47" s="21"/>
      <c r="M47" s="21"/>
      <c r="N47" s="19"/>
      <c r="O47" s="19"/>
      <c r="P47" s="19"/>
      <c r="Q47" s="19"/>
      <c r="R47" s="19"/>
      <c r="S47" s="21"/>
      <c r="T47" s="19"/>
      <c r="U47" s="19"/>
      <c r="V47" s="31">
        <f>SUM(P42:P46)-SUM(T42:T46)</f>
        <v>-144719.79999999999</v>
      </c>
    </row>
    <row r="48" spans="1:22" ht="27" customHeight="1" x14ac:dyDescent="0.25">
      <c r="A48" s="30">
        <v>59459</v>
      </c>
      <c r="B48" s="22" t="s">
        <v>9</v>
      </c>
      <c r="C48" s="16">
        <v>45210</v>
      </c>
      <c r="D48" s="23">
        <v>5</v>
      </c>
      <c r="E48" s="24">
        <v>199062</v>
      </c>
      <c r="F48" s="24">
        <v>0</v>
      </c>
      <c r="G48" s="24">
        <f>E48-F48</f>
        <v>199062</v>
      </c>
      <c r="H48" s="24">
        <f>ROUND(G48*18%,)</f>
        <v>35831</v>
      </c>
      <c r="I48" s="24">
        <f>ROUND(G48+H48,)</f>
        <v>234893</v>
      </c>
      <c r="J48" s="24">
        <f>ROUND(G48*J6,)</f>
        <v>1991</v>
      </c>
      <c r="K48" s="24">
        <f>ROUND(G48*5%,)</f>
        <v>9953</v>
      </c>
      <c r="L48" s="24">
        <v>0</v>
      </c>
      <c r="M48" s="24">
        <v>0</v>
      </c>
      <c r="N48" s="24">
        <f>H48</f>
        <v>35831</v>
      </c>
      <c r="O48" s="24">
        <v>0</v>
      </c>
      <c r="P48" s="24">
        <f>I48-SUM(J48:O48)</f>
        <v>187118</v>
      </c>
      <c r="Q48" s="12" t="s">
        <v>16</v>
      </c>
      <c r="R48" s="12">
        <v>100000</v>
      </c>
      <c r="S48" s="12">
        <f>1%*R48</f>
        <v>1000</v>
      </c>
      <c r="T48" s="12">
        <f>R48-S48</f>
        <v>99000</v>
      </c>
      <c r="U48" s="26" t="s">
        <v>15</v>
      </c>
      <c r="V48" s="30"/>
    </row>
    <row r="49" spans="1:22" ht="27" customHeight="1" x14ac:dyDescent="0.25">
      <c r="A49" s="30">
        <v>59459</v>
      </c>
      <c r="B49" s="22" t="s">
        <v>9</v>
      </c>
      <c r="C49" s="16">
        <v>45351</v>
      </c>
      <c r="D49" s="23">
        <v>20</v>
      </c>
      <c r="E49" s="24">
        <v>172248.6</v>
      </c>
      <c r="F49" s="24">
        <v>155755.76999999999</v>
      </c>
      <c r="G49" s="24">
        <f>E49-F49</f>
        <v>16492.830000000016</v>
      </c>
      <c r="H49" s="24">
        <f>ROUND(G49*18%,)</f>
        <v>2969</v>
      </c>
      <c r="I49" s="24">
        <f>ROUND(G49+H49,)</f>
        <v>19462</v>
      </c>
      <c r="J49" s="24">
        <f>ROUND(G49*J6,)</f>
        <v>165</v>
      </c>
      <c r="K49" s="24">
        <f>ROUND(G49*5%,)</f>
        <v>825</v>
      </c>
      <c r="L49" s="24">
        <v>0</v>
      </c>
      <c r="M49" s="24">
        <v>0</v>
      </c>
      <c r="N49" s="24">
        <f>H49</f>
        <v>2969</v>
      </c>
      <c r="O49" s="24">
        <v>0</v>
      </c>
      <c r="P49" s="24">
        <f>I49-SUM(J49:O49)</f>
        <v>15503</v>
      </c>
      <c r="Q49" s="12" t="s">
        <v>41</v>
      </c>
      <c r="R49" s="12">
        <v>100000</v>
      </c>
      <c r="S49" s="12"/>
      <c r="T49" s="12">
        <v>99000</v>
      </c>
      <c r="U49" s="26" t="s">
        <v>39</v>
      </c>
      <c r="V49" s="30"/>
    </row>
    <row r="50" spans="1:22" ht="27" customHeight="1" x14ac:dyDescent="0.25">
      <c r="A50" s="30">
        <v>59459</v>
      </c>
      <c r="B50" s="22" t="s">
        <v>7</v>
      </c>
      <c r="C50" s="16">
        <v>45608</v>
      </c>
      <c r="D50" s="23" t="s">
        <v>77</v>
      </c>
      <c r="E50" s="24">
        <f>H48+H49</f>
        <v>38800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46">
        <f>E50</f>
        <v>38800</v>
      </c>
      <c r="Q50" s="12" t="s">
        <v>42</v>
      </c>
      <c r="R50" s="12">
        <v>100000</v>
      </c>
      <c r="S50" s="12"/>
      <c r="T50" s="12">
        <v>99000</v>
      </c>
      <c r="U50" s="26" t="s">
        <v>40</v>
      </c>
      <c r="V50" s="30"/>
    </row>
    <row r="51" spans="1:22" ht="27" customHeight="1" x14ac:dyDescent="0.25">
      <c r="A51" s="30">
        <v>59459</v>
      </c>
      <c r="B51" s="12"/>
      <c r="C51" s="16"/>
      <c r="D51" s="16"/>
      <c r="E51" s="16"/>
      <c r="F51" s="16"/>
      <c r="G51" s="16"/>
      <c r="H51" s="16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26"/>
      <c r="V51" s="30"/>
    </row>
    <row r="52" spans="1:22" ht="27" customHeight="1" x14ac:dyDescent="0.25">
      <c r="A52" s="30">
        <v>59459</v>
      </c>
      <c r="B52" s="39"/>
      <c r="C52" s="40"/>
      <c r="D52" s="40"/>
      <c r="E52" s="40"/>
      <c r="F52" s="40"/>
      <c r="G52" s="40"/>
      <c r="H52" s="40"/>
      <c r="I52" s="39"/>
      <c r="J52" s="39"/>
      <c r="K52" s="41"/>
      <c r="L52" s="41"/>
      <c r="M52" s="41"/>
      <c r="N52" s="41"/>
      <c r="O52" s="13"/>
      <c r="P52" s="13"/>
      <c r="Q52" s="13"/>
      <c r="R52" s="13"/>
      <c r="S52" s="13"/>
      <c r="T52" s="13"/>
      <c r="U52" s="42"/>
      <c r="V52" s="30"/>
    </row>
    <row r="53" spans="1:22" ht="27" customHeight="1" thickBot="1" x14ac:dyDescent="0.3">
      <c r="A53" s="30">
        <v>59459</v>
      </c>
      <c r="B53" s="39"/>
      <c r="C53" s="40"/>
      <c r="D53" s="40"/>
      <c r="E53" s="40"/>
      <c r="F53" s="40"/>
      <c r="G53" s="40"/>
      <c r="H53" s="40"/>
      <c r="I53" s="39"/>
      <c r="J53" s="39"/>
      <c r="K53" s="41"/>
      <c r="L53" s="41"/>
      <c r="M53" s="41"/>
      <c r="N53" s="41"/>
      <c r="O53" s="13"/>
      <c r="P53" s="13"/>
      <c r="Q53" s="13"/>
      <c r="R53" s="13"/>
      <c r="S53" s="13"/>
      <c r="T53" s="13"/>
      <c r="U53" s="42"/>
      <c r="V53" s="43">
        <f>SUM(P48:P53)-SUM(T48:T53)</f>
        <v>-55579</v>
      </c>
    </row>
    <row r="54" spans="1:22" ht="27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5">
        <f t="shared" ref="K54:O54" si="5">SUM(K7:K53)</f>
        <v>57167</v>
      </c>
      <c r="L54" s="45">
        <f t="shared" si="5"/>
        <v>0</v>
      </c>
      <c r="M54" s="45">
        <f t="shared" si="5"/>
        <v>10935</v>
      </c>
      <c r="N54" s="45">
        <f t="shared" si="5"/>
        <v>205802</v>
      </c>
      <c r="O54" s="45">
        <f t="shared" si="5"/>
        <v>0</v>
      </c>
      <c r="P54" s="45">
        <f>SUM(P7:P53)</f>
        <v>1269611.25</v>
      </c>
      <c r="Q54" s="45" t="s">
        <v>5</v>
      </c>
      <c r="R54" s="44"/>
      <c r="S54" s="44"/>
      <c r="T54" s="45">
        <f>SUM(T6:T53)</f>
        <v>2294346</v>
      </c>
      <c r="U54" s="44"/>
      <c r="V54" s="28"/>
    </row>
    <row r="55" spans="1:22" ht="27" customHeight="1" thickBo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32" t="s">
        <v>6</v>
      </c>
      <c r="R55" s="25"/>
      <c r="S55" s="25"/>
      <c r="T55" s="32">
        <f>P54-T54</f>
        <v>-1024734.75</v>
      </c>
      <c r="U55" s="25"/>
      <c r="V55" s="47">
        <f>SUM(V7:V54)</f>
        <v>-1024734.75</v>
      </c>
    </row>
    <row r="56" spans="1:22" ht="27" customHeight="1" thickBot="1" x14ac:dyDescent="0.3"/>
    <row r="57" spans="1:22" ht="27" customHeight="1" thickBot="1" x14ac:dyDescent="0.3">
      <c r="J57" s="48" t="s">
        <v>10</v>
      </c>
      <c r="K57" s="49"/>
      <c r="L57" s="49"/>
      <c r="M57" s="50"/>
      <c r="P57" s="17"/>
    </row>
    <row r="58" spans="1:22" ht="27" customHeight="1" thickBot="1" x14ac:dyDescent="0.3">
      <c r="J58" s="48" t="s">
        <v>73</v>
      </c>
      <c r="K58" s="49"/>
      <c r="L58" s="49"/>
      <c r="M58" s="50"/>
    </row>
    <row r="59" spans="1:22" ht="27" customHeight="1" thickBot="1" x14ac:dyDescent="0.3">
      <c r="J59" s="53" t="s">
        <v>54</v>
      </c>
      <c r="K59" s="54"/>
      <c r="L59" s="51">
        <f>K54+L54+M54</f>
        <v>68102</v>
      </c>
      <c r="M59" s="52"/>
    </row>
    <row r="60" spans="1:22" ht="27" customHeight="1" thickBot="1" x14ac:dyDescent="0.3">
      <c r="J60" s="53" t="s">
        <v>55</v>
      </c>
      <c r="K60" s="54"/>
      <c r="L60" s="51">
        <f>T55</f>
        <v>-1024734.75</v>
      </c>
      <c r="M60" s="52"/>
    </row>
    <row r="61" spans="1:22" ht="27" customHeight="1" thickBot="1" x14ac:dyDescent="0.3">
      <c r="J61" s="53" t="s">
        <v>3</v>
      </c>
      <c r="K61" s="54"/>
      <c r="L61" s="51">
        <v>57225</v>
      </c>
      <c r="M61" s="52"/>
    </row>
    <row r="62" spans="1:22" ht="27" customHeight="1" thickBot="1" x14ac:dyDescent="0.3">
      <c r="J62" s="53" t="s">
        <v>56</v>
      </c>
      <c r="K62" s="54"/>
      <c r="L62" s="51">
        <f>N54-P50-P45-P37-P31-P22-P9-P16-P11</f>
        <v>0</v>
      </c>
      <c r="M62" s="52"/>
    </row>
  </sheetData>
  <autoFilter ref="F1:F62" xr:uid="{00000000-0009-0000-0000-000000000000}"/>
  <mergeCells count="10">
    <mergeCell ref="L62:M62"/>
    <mergeCell ref="J59:K59"/>
    <mergeCell ref="J60:K60"/>
    <mergeCell ref="J61:K61"/>
    <mergeCell ref="J62:K62"/>
    <mergeCell ref="J58:M58"/>
    <mergeCell ref="J57:M57"/>
    <mergeCell ref="L59:M59"/>
    <mergeCell ref="L60:M60"/>
    <mergeCell ref="L61:M6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2025-05-27T08:59:32Z</dcterms:modified>
</cp:coreProperties>
</file>