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GURTEZ INFRABUILD LLP\"/>
    </mc:Choice>
  </mc:AlternateContent>
  <xr:revisionPtr revIDLastSave="0" documentId="13_ncr:1_{E9C18064-411F-46AC-BE7D-B16F7B914F98}" xr6:coauthVersionLast="47" xr6:coauthVersionMax="47" xr10:uidLastSave="{00000000-0000-0000-0000-000000000000}"/>
  <bookViews>
    <workbookView xWindow="780" yWindow="780" windowWidth="14355" windowHeight="14925" xr2:uid="{00000000-000D-0000-FFFF-FFFF00000000}"/>
  </bookViews>
  <sheets>
    <sheet name="Sheet1" sheetId="1" r:id="rId1"/>
  </sheets>
  <definedNames>
    <definedName name="_xlnm.Print_Area" localSheetId="0">Sheet1!$A$1:$W$44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O11" i="1" s="1"/>
  <c r="G10" i="1" l="1"/>
  <c r="J10" i="1" s="1"/>
  <c r="G38" i="1"/>
  <c r="H38" i="1" s="1"/>
  <c r="K10" i="1" l="1"/>
  <c r="L10" i="1"/>
  <c r="H10" i="1"/>
  <c r="N10" i="1" s="1"/>
  <c r="I38" i="1"/>
  <c r="N38" i="1"/>
  <c r="J38" i="1"/>
  <c r="K38" i="1"/>
  <c r="G24" i="1"/>
  <c r="J24" i="1" s="1"/>
  <c r="O14" i="1"/>
  <c r="G36" i="1"/>
  <c r="H36" i="1" s="1"/>
  <c r="E37" i="1" s="1"/>
  <c r="O39" i="1" l="1"/>
  <c r="E39" i="1"/>
  <c r="I10" i="1"/>
  <c r="O10" i="1" s="1"/>
  <c r="O38" i="1"/>
  <c r="H24" i="1"/>
  <c r="I24" i="1" s="1"/>
  <c r="N24" i="1"/>
  <c r="E25" i="1" s="1"/>
  <c r="O25" i="1" s="1"/>
  <c r="K24" i="1"/>
  <c r="I36" i="1"/>
  <c r="N36" i="1"/>
  <c r="O37" i="1" s="1"/>
  <c r="J36" i="1"/>
  <c r="K36" i="1"/>
  <c r="K15" i="1"/>
  <c r="K17" i="1"/>
  <c r="K13" i="1"/>
  <c r="N17" i="1"/>
  <c r="E18" i="1" s="1"/>
  <c r="O18" i="1" s="1"/>
  <c r="H17" i="1"/>
  <c r="I17" i="1" s="1"/>
  <c r="E17" i="1"/>
  <c r="O24" i="1" l="1"/>
  <c r="O36" i="1"/>
  <c r="O17" i="1"/>
  <c r="E33" i="1"/>
  <c r="G33" i="1" l="1"/>
  <c r="K33" i="1" s="1"/>
  <c r="U9" i="1"/>
  <c r="U10" i="1"/>
  <c r="U23" i="1"/>
  <c r="U24" i="1"/>
  <c r="U31" i="1"/>
  <c r="U32" i="1"/>
  <c r="U33" i="1"/>
  <c r="H33" i="1" l="1"/>
  <c r="N33" i="1" s="1"/>
  <c r="E35" i="1" s="1"/>
  <c r="O35" i="1" s="1"/>
  <c r="J33" i="1"/>
  <c r="N15" i="1"/>
  <c r="E16" i="1" s="1"/>
  <c r="H15" i="1"/>
  <c r="I15" i="1" s="1"/>
  <c r="I33" i="1" l="1"/>
  <c r="O33" i="1" s="1"/>
  <c r="O16" i="1"/>
  <c r="M15" i="1"/>
  <c r="J15" i="1"/>
  <c r="G22" i="1"/>
  <c r="H22" i="1" s="1"/>
  <c r="I22" i="1" l="1"/>
  <c r="N22" i="1"/>
  <c r="E23" i="1" s="1"/>
  <c r="J22" i="1"/>
  <c r="K22" i="1"/>
  <c r="G32" i="1"/>
  <c r="H32" i="1" s="1"/>
  <c r="O23" i="1" l="1"/>
  <c r="K32" i="1"/>
  <c r="I32" i="1"/>
  <c r="N32" i="1"/>
  <c r="E34" i="1" s="1"/>
  <c r="O34" i="1" s="1"/>
  <c r="J32" i="1"/>
  <c r="O22" i="1"/>
  <c r="U22" i="1"/>
  <c r="U21" i="1"/>
  <c r="R20" i="1"/>
  <c r="U20" i="1" s="1"/>
  <c r="O32" i="1" l="1"/>
  <c r="N31" i="1" l="1"/>
  <c r="G31" i="1"/>
  <c r="I31" i="1" s="1"/>
  <c r="O31" i="1" l="1"/>
  <c r="G9" i="1"/>
  <c r="I9" i="1" s="1"/>
  <c r="O9" i="1" s="1"/>
  <c r="G21" i="1" l="1"/>
  <c r="I21" i="1" s="1"/>
  <c r="O21" i="1" s="1"/>
  <c r="U30" i="1"/>
  <c r="K20" i="1"/>
  <c r="J20" i="1"/>
  <c r="R8" i="1"/>
  <c r="G8" i="1"/>
  <c r="L8" i="1" l="1"/>
  <c r="O20" i="1"/>
  <c r="H8" i="1"/>
  <c r="J8" i="1"/>
  <c r="K8" i="1"/>
  <c r="J48" i="1" s="1"/>
  <c r="N8" i="1" l="1"/>
  <c r="I8" i="1"/>
  <c r="O8" i="1" l="1"/>
  <c r="J49" i="1" l="1"/>
</calcChain>
</file>

<file path=xl/sharedStrings.xml><?xml version="1.0" encoding="utf-8"?>
<sst xmlns="http://schemas.openxmlformats.org/spreadsheetml/2006/main" count="108" uniqueCount="86">
  <si>
    <t>Amount</t>
  </si>
  <si>
    <t>PAYMENT NOTE No.</t>
  </si>
  <si>
    <t>UTR</t>
  </si>
  <si>
    <t>SD (5%)</t>
  </si>
  <si>
    <t>Advance paid</t>
  </si>
  <si>
    <t>TDS Amount @ 1% on BASIC AMOUNT</t>
  </si>
  <si>
    <t>OHT Construction work</t>
  </si>
  <si>
    <t>Jhabarpur Randawalui Village OHT Construction work</t>
  </si>
  <si>
    <t>Gurtez Infrabuild LLP</t>
  </si>
  <si>
    <t>Simarthi Village OHT Construction work</t>
  </si>
  <si>
    <t>RIUP23/1187</t>
  </si>
  <si>
    <t>26-07-2023 NEFT/AXISP00409381202/RIUP23/1187/GURTEZ INFRABUI 392000.00</t>
  </si>
  <si>
    <t xml:space="preserve"> MANDLA Village OHT Construction work</t>
  </si>
  <si>
    <t>RIUP23/1326</t>
  </si>
  <si>
    <t>01-08-2023 NEFT/AXISP00411721250/RIUP23/1326/GURUTEZ INFRABU 196000.00</t>
  </si>
  <si>
    <t>RIUP23/1380</t>
  </si>
  <si>
    <t>04-08-2023 NEFT/AXISP00412804464/RIUP23/1380/GURTEZ INFRABUI ₹ 1,96,000.00</t>
  </si>
  <si>
    <t>14-08-2023 NEFT/AXISP00415803577/RIUP23/1529/GURTEZ INFRABUI ₹ 4,90,000.00</t>
  </si>
  <si>
    <t>RIUP23/1529</t>
  </si>
  <si>
    <t>18-08-2023 NEFT/AXISP00416613497/RIUP23/1593/GURTEZ INFRABUI 166526.00</t>
  </si>
  <si>
    <t>RIUP23/1690</t>
  </si>
  <si>
    <t>GST release Note</t>
  </si>
  <si>
    <t>RIUP23/1593</t>
  </si>
  <si>
    <t>GST Release note</t>
  </si>
  <si>
    <t>25-08-2023 NEFT/AXISP00418296986/RIUP23/1690/GURTEZ INFRABUILD/ICIC0001588 149262.00</t>
  </si>
  <si>
    <t>GST Release Note</t>
  </si>
  <si>
    <t>RIUP23/2277</t>
  </si>
  <si>
    <t>03-10-2023 NEFT/AXISP00430209784/RIUP23/2277/GURTEZ INFRABUILD/ICIC0001588 70166.00</t>
  </si>
  <si>
    <t>03-10-2023 NEFT/AXISP00430209785/RIUP23/2280/GURTEZ INFRABUILD/ICIC0001588 102060.00</t>
  </si>
  <si>
    <t>03-10-2023 NEFT/AXISP00430209786/RIUP23/2281/GURTEZ INFRABUILD/ICIC0001588 37310.00</t>
  </si>
  <si>
    <t>17-10-2023 NEFT/AXISP00435088300/RIUP23/2278/GURTEZ INFRABUILD/ICIC0001588 52920.00</t>
  </si>
  <si>
    <t>17-10-2023 NEFT/AXISP00435088301/RIUP23/2279/GURTEZ INFRABUILD/ICIC0001588 66825.00</t>
  </si>
  <si>
    <t>10-11-2023 NEFT/AXISP00443237224/RIUP23/3223/GURTEZ INFRABUILD/ICIC0001588 147000.00</t>
  </si>
  <si>
    <t>RIUP23/3223</t>
  </si>
  <si>
    <t>RIUP23/2278</t>
  </si>
  <si>
    <t>10-11-2023 NEFT/AXISP00443237225/RIUP23/3224/GURTEZ INFRABUILD/ICIC0001588 147000.00</t>
  </si>
  <si>
    <t>RIUP23/2279</t>
  </si>
  <si>
    <t>RIUP23/3324</t>
  </si>
  <si>
    <t>10-11-2023 NEFT/AXISP00443237223/RIUP23/3222/GURTEZ INFRABUILD/ICIC0001588 147000.00</t>
  </si>
  <si>
    <t>06-12-2023 NEFT/AXISP00449987149/RIUP23/3453/GURTEZ INFRABUILD/ICIC0001588 215526.00</t>
  </si>
  <si>
    <t>RIUP23/3222</t>
  </si>
  <si>
    <t>RIUP23/3453</t>
  </si>
  <si>
    <t>RIUP23/2280</t>
  </si>
  <si>
    <t>RIUP23/2281</t>
  </si>
  <si>
    <t>22-12-2023 NEFT/AXISP00455032162/RIUP23/3786/GURTEZ INFRABUILD/ICIC0001588 70166.00</t>
  </si>
  <si>
    <t>22-12-2023 NEFT/AXISP00454984303/RIUP23/3452/GURTEZ INFRABUILD/ICIC0001588 198262.00</t>
  </si>
  <si>
    <t>31-03-2024 NEFT/AXISP00486642368/RIUP23/5289/GURTEZ INFRABUILD/ICIC0001588 300000.00</t>
  </si>
  <si>
    <t>31-03-2024 NEFT/AXISP00486642369/RIUP23/3953/GURTEZINFRABUILD/ICIC0001588 66825.00</t>
  </si>
  <si>
    <t>22-03-2024 NEFT/AXISP00483612639/RIUP23/4678/GURTEZ INFRABUILD/ICIC0001588 251860.00</t>
  </si>
  <si>
    <t>29-03-2024 NEFT/AXISP00485676701/RIUP23/5304/GURTEZ INFRABUILD/ICIC0001588 52920.00</t>
  </si>
  <si>
    <t>24-05-2024 NEFT/AXISP00502672907/RIUP24/0485/GURTEZ INFRABUILD/ICIC0001588 230175.00</t>
  </si>
  <si>
    <t>24-05-2024 NEFT/AXISP00502672908/RIUP24/0226/GURTEZ INFRABUILD/ICIC0001588 66825.00</t>
  </si>
  <si>
    <t>Total Hold amt</t>
  </si>
  <si>
    <t>GST pending</t>
  </si>
  <si>
    <t>ADV/Surplus</t>
  </si>
  <si>
    <t>16-07-2024 NEFT/AXISP00519021112/RIUP24/0484/GURTEZ INFRABUILD/ICIC0001588 362526.00</t>
  </si>
  <si>
    <t>16-07-2024 NEFT/AXISP00519021665/RIUP24/0904/GURTEZ INFRABUILD/ICIC0001588 44550.00</t>
  </si>
  <si>
    <t>16-07-2024 NEFT/AXISP00519021664/RIUP24/0975/GURTEZ INFRABUILD/ICIC0001588 345262.00</t>
  </si>
  <si>
    <t>03-08-2024 NEFT/AXISP00524511268/RIUP24/1098/GURTEZ INFRABUILD/ICIC0001588 250000.00</t>
  </si>
  <si>
    <t xml:space="preserve">22-12-2023 NEFT/AXISP00454984302/RIUP23/3787/GURTEZ INFRABUILD/ICIC0001588 52920.00 </t>
  </si>
  <si>
    <t>03-08-2024 NEFT/AXISP00524511260/RIUP24/0668/GURTEZ INFRABUILD/ICIC0001588 70166.00</t>
  </si>
  <si>
    <t>26-07-2024 NEFT/AXISP00521556649/RIUP24/1216/GURTEZ INFRABUILD/ICIC0001588 66825.00</t>
  </si>
  <si>
    <t>Updated On 26-08-2024 ( By Vikash )</t>
  </si>
  <si>
    <t>Nil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</si>
  <si>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</si>
  <si>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</si>
  <si>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</si>
  <si>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</si>
  <si>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</si>
  <si>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</si>
  <si>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</si>
  <si>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</si>
  <si>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</si>
  <si>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</si>
  <si>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</si>
  <si>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</si>
  <si>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</si>
  <si>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</si>
  <si>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</si>
  <si>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</si>
  <si>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</si>
  <si>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</si>
  <si>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</si>
  <si>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Tajpur Village  - OHT Work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</si>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</sst>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43" fontId="3" fillId="2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43" fontId="6" fillId="2" borderId="5" xfId="1" applyNumberFormat="1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5" fillId="2" borderId="5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2" borderId="0" xfId="1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14" fontId="3" fillId="3" borderId="6" xfId="1" applyNumberFormat="1" applyFont="1" applyFill="1" applyBorder="1" applyAlignment="1">
      <alignment horizontal="center" vertical="center"/>
    </xf>
    <xf numFmtId="14" fontId="3" fillId="2" borderId="2" xfId="1" applyNumberFormat="1" applyFont="1" applyFill="1" applyBorder="1" applyAlignment="1">
      <alignment horizontal="center" vertical="center"/>
    </xf>
    <xf numFmtId="14" fontId="3" fillId="3" borderId="2" xfId="1" applyNumberFormat="1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3" fontId="3" fillId="2" borderId="3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9" fontId="3" fillId="2" borderId="3" xfId="1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3" fontId="3" fillId="3" borderId="6" xfId="1" applyNumberFormat="1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>
      <alignment horizontal="center" vertical="center"/>
    </xf>
    <xf numFmtId="9" fontId="3" fillId="3" borderId="6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3" fontId="3" fillId="3" borderId="2" xfId="1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3" fontId="0" fillId="2" borderId="0" xfId="0" applyNumberFormat="1" applyFill="1" applyAlignment="1">
      <alignment horizontal="center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horizontal="center" vertical="center"/>
    </xf>
    <xf numFmtId="14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3" fontId="11" fillId="4" borderId="2" xfId="1" applyNumberFormat="1" applyFont="1" applyFill="1" applyBorder="1" applyAlignment="1">
      <alignment horizontal="center" vertical="center"/>
    </xf>
    <xf numFmtId="43" fontId="11" fillId="4" borderId="4" xfId="1" applyNumberFormat="1" applyFont="1" applyFill="1" applyBorder="1" applyAlignment="1">
      <alignment horizontal="center" vertical="center"/>
    </xf>
    <xf numFmtId="43" fontId="7" fillId="2" borderId="15" xfId="1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0" borderId="0" xfId="0" applyFont="1"/>
    <xf numFmtId="14" fontId="12" fillId="2" borderId="0" xfId="1" applyNumberFormat="1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43" fontId="7" fillId="2" borderId="13" xfId="1" applyNumberFormat="1" applyFont="1" applyFill="1" applyBorder="1" applyAlignment="1">
      <alignment horizontal="center" vertical="center"/>
    </xf>
    <xf numFmtId="43" fontId="7" fillId="2" borderId="8" xfId="1" applyNumberFormat="1" applyFont="1" applyFill="1" applyBorder="1" applyAlignment="1">
      <alignment horizontal="center" vertical="center"/>
    </xf>
    <xf numFmtId="43" fontId="7" fillId="2" borderId="14" xfId="1" applyNumberFormat="1" applyFont="1" applyFill="1" applyBorder="1" applyAlignment="1">
      <alignment horizontal="center" vertical="center"/>
    </xf>
    <xf numFmtId="43" fontId="10" fillId="2" borderId="10" xfId="1" applyNumberFormat="1" applyFont="1" applyFill="1" applyBorder="1" applyAlignment="1">
      <alignment horizontal="center" vertical="center"/>
    </xf>
    <xf numFmtId="43" fontId="10" fillId="2" borderId="11" xfId="1" applyNumberFormat="1" applyFont="1" applyFill="1" applyBorder="1" applyAlignment="1">
      <alignment horizontal="center" vertical="center"/>
    </xf>
    <xf numFmtId="43" fontId="10" fillId="2" borderId="12" xfId="1" applyNumberFormat="1" applyFont="1" applyFill="1" applyBorder="1" applyAlignment="1">
      <alignment horizontal="center" vertical="center"/>
    </xf>
    <xf numFmtId="43" fontId="7" fillId="2" borderId="7" xfId="0" applyNumberFormat="1" applyFont="1" applyFill="1" applyBorder="1" applyAlignment="1">
      <alignment horizontal="center" vertical="center"/>
    </xf>
    <xf numFmtId="43" fontId="7" fillId="2" borderId="14" xfId="0" applyNumberFormat="1" applyFont="1" applyFill="1" applyBorder="1" applyAlignment="1">
      <alignment horizontal="center" vertical="center"/>
    </xf>
    <xf numFmtId="43" fontId="7" fillId="2" borderId="17" xfId="0" applyNumberFormat="1" applyFont="1" applyFill="1" applyBorder="1" applyAlignment="1">
      <alignment horizontal="center" vertical="center"/>
    </xf>
    <xf numFmtId="43" fontId="7" fillId="2" borderId="1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50"/>
  <sheetViews>
    <sheetView tabSelected="1" zoomScaleNormal="100" zoomScaleSheetLayoutView="85" workbookViewId="0">
      <pane ySplit="5" topLeftCell="A45" activePane="bottomLeft" state="frozen"/>
      <selection pane="bottomLeft" activeCell="C51" sqref="C51"/>
    </sheetView>
  </sheetViews>
  <sheetFormatPr defaultColWidth="9" defaultRowHeight="30" customHeight="1" x14ac:dyDescent="0.25"/>
  <cols>
    <col min="1" max="1" width="16.28515625" style="18" customWidth="1"/>
    <col min="2" max="2" width="32.140625" style="18" customWidth="1"/>
    <col min="3" max="3" width="13.42578125" style="10" bestFit="1" customWidth="1"/>
    <col min="4" max="4" width="11.5703125" style="18" bestFit="1" customWidth="1"/>
    <col min="5" max="5" width="15" style="18" bestFit="1" customWidth="1"/>
    <col min="6" max="6" width="13.28515625" style="18" customWidth="1"/>
    <col min="7" max="7" width="15" style="18" bestFit="1" customWidth="1"/>
    <col min="8" max="8" width="14.7109375" style="22" customWidth="1"/>
    <col min="9" max="9" width="17.28515625" style="22" customWidth="1"/>
    <col min="10" max="10" width="12" style="18" bestFit="1" customWidth="1"/>
    <col min="11" max="11" width="14.42578125" style="18" bestFit="1" customWidth="1"/>
    <col min="12" max="12" width="10.42578125" style="18" customWidth="1"/>
    <col min="13" max="13" width="12.140625" style="18" customWidth="1"/>
    <col min="14" max="14" width="14.85546875" style="18" customWidth="1"/>
    <col min="15" max="15" width="15.85546875" style="18" bestFit="1" customWidth="1"/>
    <col min="16" max="16" width="21.7109375" style="18" hidden="1" customWidth="1"/>
    <col min="17" max="17" width="12.7109375" style="18" hidden="1" customWidth="1"/>
    <col min="18" max="20" width="14.5703125" style="18" hidden="1" customWidth="1"/>
    <col min="21" max="21" width="19.7109375" style="18" bestFit="1" customWidth="1"/>
    <col min="22" max="22" width="102.28515625" style="18" customWidth="1"/>
    <col min="23" max="23" width="15" style="18" bestFit="1" customWidth="1"/>
    <col min="24" max="24" width="11.7109375" style="18" bestFit="1" customWidth="1"/>
    <col min="25" max="16384" width="9" style="18"/>
  </cols>
  <sheetData>
    <row r="1" spans="1:81" ht="30" customHeight="1" x14ac:dyDescent="0.25">
      <c r="A1" s="57" t="s">
        <v>64</v>
      </c>
      <c r="B1" s="58" t="s">
        <v>8</v>
      </c>
      <c r="C1" s="21"/>
      <c r="E1" s="19"/>
      <c r="F1" s="19"/>
      <c r="G1" s="19"/>
      <c r="H1" s="20"/>
      <c r="I1" s="20"/>
    </row>
    <row r="2" spans="1:81" ht="30" customHeight="1" x14ac:dyDescent="0.25">
      <c r="A2" s="57" t="s">
        <v>65</v>
      </c>
      <c r="B2" t="s">
        <v>84</v>
      </c>
      <c r="C2" s="11"/>
      <c r="D2" s="21"/>
      <c r="G2" s="1"/>
      <c r="I2" s="1" t="s">
        <v>6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81" ht="30" customHeight="1" thickBot="1" x14ac:dyDescent="0.3">
      <c r="A3" s="57" t="s">
        <v>66</v>
      </c>
      <c r="B3" t="s">
        <v>85</v>
      </c>
      <c r="C3" s="11"/>
      <c r="D3" s="21"/>
      <c r="G3" s="1"/>
      <c r="I3" s="1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81" ht="30" customHeight="1" thickBot="1" x14ac:dyDescent="0.3">
      <c r="A4" s="57" t="s">
        <v>67</v>
      </c>
      <c r="B4" t="s">
        <v>85</v>
      </c>
      <c r="C4" s="12"/>
      <c r="D4" s="24"/>
      <c r="E4" s="24"/>
      <c r="F4" s="23"/>
      <c r="G4" s="23"/>
      <c r="H4" s="1"/>
      <c r="I4" s="1"/>
      <c r="J4" s="23"/>
      <c r="K4" s="23"/>
      <c r="L4" s="23"/>
      <c r="M4" s="23"/>
      <c r="P4" s="23"/>
      <c r="Q4" s="25"/>
      <c r="R4" s="25"/>
      <c r="S4" s="25"/>
      <c r="T4" s="25"/>
      <c r="U4" s="25"/>
      <c r="V4" s="25"/>
    </row>
    <row r="5" spans="1:81" ht="30" customHeight="1" x14ac:dyDescent="0.25">
      <c r="A5" s="59" t="s">
        <v>68</v>
      </c>
      <c r="B5" s="3" t="s">
        <v>69</v>
      </c>
      <c r="C5" s="8" t="s">
        <v>70</v>
      </c>
      <c r="D5" s="3" t="s">
        <v>71</v>
      </c>
      <c r="E5" s="3" t="s">
        <v>72</v>
      </c>
      <c r="F5" s="3" t="s">
        <v>73</v>
      </c>
      <c r="G5" s="4" t="s">
        <v>74</v>
      </c>
      <c r="H5" s="5" t="s">
        <v>75</v>
      </c>
      <c r="I5" s="6" t="s">
        <v>0</v>
      </c>
      <c r="J5" s="4" t="s">
        <v>76</v>
      </c>
      <c r="K5" s="4" t="s">
        <v>77</v>
      </c>
      <c r="L5" s="4" t="s">
        <v>78</v>
      </c>
      <c r="M5" s="4" t="s">
        <v>79</v>
      </c>
      <c r="N5" s="4" t="s">
        <v>80</v>
      </c>
      <c r="O5" s="4" t="s">
        <v>81</v>
      </c>
      <c r="P5" s="4" t="s">
        <v>1</v>
      </c>
      <c r="Q5" s="4" t="s">
        <v>0</v>
      </c>
      <c r="R5" s="4" t="s">
        <v>5</v>
      </c>
      <c r="S5" s="4" t="s">
        <v>3</v>
      </c>
      <c r="T5" s="4" t="s">
        <v>4</v>
      </c>
      <c r="U5" s="4" t="s">
        <v>82</v>
      </c>
      <c r="V5" s="4" t="s">
        <v>2</v>
      </c>
    </row>
    <row r="6" spans="1:81" ht="30" customHeight="1" thickBot="1" x14ac:dyDescent="0.3">
      <c r="A6" s="26"/>
      <c r="B6" s="27"/>
      <c r="C6" s="13"/>
      <c r="D6" s="28"/>
      <c r="E6" s="27"/>
      <c r="F6" s="27"/>
      <c r="G6" s="27"/>
      <c r="H6" s="29">
        <v>0.18</v>
      </c>
      <c r="I6" s="27"/>
      <c r="J6" s="29">
        <v>0.02</v>
      </c>
      <c r="K6" s="29">
        <v>0.05</v>
      </c>
      <c r="L6" s="29">
        <v>0</v>
      </c>
      <c r="M6" s="29">
        <v>0.1</v>
      </c>
      <c r="N6" s="29">
        <v>0.18</v>
      </c>
      <c r="O6" s="27"/>
      <c r="P6" s="27"/>
      <c r="Q6" s="27"/>
      <c r="R6" s="29">
        <v>0.01</v>
      </c>
      <c r="S6" s="29">
        <v>0.05</v>
      </c>
      <c r="T6" s="27"/>
      <c r="U6" s="27"/>
      <c r="V6" s="27"/>
    </row>
    <row r="7" spans="1:81" s="34" customFormat="1" ht="30" customHeight="1" x14ac:dyDescent="0.25">
      <c r="A7" s="30"/>
      <c r="B7" s="31"/>
      <c r="C7" s="14"/>
      <c r="D7" s="32"/>
      <c r="E7" s="31"/>
      <c r="F7" s="31"/>
      <c r="G7" s="31"/>
      <c r="H7" s="33"/>
      <c r="I7" s="31"/>
      <c r="J7" s="33"/>
      <c r="K7" s="33"/>
      <c r="L7" s="33"/>
      <c r="M7" s="33"/>
      <c r="N7" s="33"/>
      <c r="O7" s="31"/>
      <c r="P7" s="31"/>
      <c r="Q7" s="31"/>
      <c r="R7" s="33"/>
      <c r="S7" s="33"/>
      <c r="T7" s="31"/>
      <c r="U7" s="31"/>
      <c r="V7" s="31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</row>
    <row r="8" spans="1:81" ht="30" customHeight="1" x14ac:dyDescent="0.25">
      <c r="A8" s="35">
        <v>58505</v>
      </c>
      <c r="B8" s="2" t="s">
        <v>7</v>
      </c>
      <c r="C8" s="9">
        <v>45143</v>
      </c>
      <c r="D8" s="7">
        <v>2</v>
      </c>
      <c r="E8" s="36">
        <v>567000</v>
      </c>
      <c r="F8" s="36">
        <v>0</v>
      </c>
      <c r="G8" s="36">
        <f>ROUND(E8-F8,)</f>
        <v>567000</v>
      </c>
      <c r="H8" s="36">
        <f>ROUND(G8*$H$6,0)</f>
        <v>102060</v>
      </c>
      <c r="I8" s="36">
        <f>G8+H8</f>
        <v>669060</v>
      </c>
      <c r="J8" s="36">
        <f>ROUND(G8*$J$6,)</f>
        <v>11340</v>
      </c>
      <c r="K8" s="36">
        <f>ROUND(G8*$K$6,)</f>
        <v>28350</v>
      </c>
      <c r="L8" s="36">
        <f>ROUND(G8*$L$6,)</f>
        <v>0</v>
      </c>
      <c r="M8" s="36">
        <v>0</v>
      </c>
      <c r="N8" s="53">
        <f>H8</f>
        <v>102060</v>
      </c>
      <c r="O8" s="36">
        <f>ROUND(I8-SUM(J8:N8),0)</f>
        <v>527310</v>
      </c>
      <c r="P8" s="36" t="s">
        <v>18</v>
      </c>
      <c r="Q8" s="36">
        <v>500000</v>
      </c>
      <c r="R8" s="36">
        <f>Q8*$R$6</f>
        <v>5000</v>
      </c>
      <c r="S8" s="36">
        <v>0</v>
      </c>
      <c r="T8" s="36">
        <v>0</v>
      </c>
      <c r="U8" s="36">
        <v>490000</v>
      </c>
      <c r="V8" s="37" t="s">
        <v>17</v>
      </c>
    </row>
    <row r="9" spans="1:81" ht="30" customHeight="1" x14ac:dyDescent="0.25">
      <c r="A9" s="35">
        <v>58505</v>
      </c>
      <c r="B9" s="2" t="s">
        <v>21</v>
      </c>
      <c r="C9" s="9">
        <v>45184</v>
      </c>
      <c r="D9" s="7">
        <v>2</v>
      </c>
      <c r="E9" s="36">
        <v>102060</v>
      </c>
      <c r="F9" s="36"/>
      <c r="G9" s="36">
        <f>ROUND(E9-F9,)</f>
        <v>102060</v>
      </c>
      <c r="H9" s="36"/>
      <c r="I9" s="36">
        <f>G9+H9</f>
        <v>102060</v>
      </c>
      <c r="J9" s="36"/>
      <c r="K9" s="36"/>
      <c r="L9" s="36"/>
      <c r="M9" s="36"/>
      <c r="N9" s="36"/>
      <c r="O9" s="53">
        <f>ROUND(I9-SUM(J9:N9),0)</f>
        <v>102060</v>
      </c>
      <c r="P9" s="36" t="s">
        <v>42</v>
      </c>
      <c r="Q9" s="36">
        <v>102060</v>
      </c>
      <c r="R9" s="36">
        <v>0</v>
      </c>
      <c r="S9" s="36">
        <v>0</v>
      </c>
      <c r="T9" s="36">
        <v>0</v>
      </c>
      <c r="U9" s="36">
        <f t="shared" ref="U9:U10" si="0">Q9-R9</f>
        <v>102060</v>
      </c>
      <c r="V9" s="37" t="s">
        <v>28</v>
      </c>
    </row>
    <row r="10" spans="1:81" ht="30" customHeight="1" x14ac:dyDescent="0.25">
      <c r="A10" s="35">
        <v>58505</v>
      </c>
      <c r="B10" s="2" t="s">
        <v>7</v>
      </c>
      <c r="C10" s="9">
        <v>45484</v>
      </c>
      <c r="D10" s="7">
        <v>9</v>
      </c>
      <c r="E10" s="36">
        <v>567000</v>
      </c>
      <c r="F10" s="36">
        <v>0</v>
      </c>
      <c r="G10" s="36">
        <f>ROUND(E10-F10,)</f>
        <v>567000</v>
      </c>
      <c r="H10" s="36">
        <f>ROUND(G10*$H$6,0)</f>
        <v>102060</v>
      </c>
      <c r="I10" s="36">
        <f>G10+H10</f>
        <v>669060</v>
      </c>
      <c r="J10" s="36">
        <f>ROUND(G10*$J$6,)</f>
        <v>11340</v>
      </c>
      <c r="K10" s="36">
        <f>ROUND(G10*$K$6,)</f>
        <v>28350</v>
      </c>
      <c r="L10" s="36">
        <f>ROUND(G10*$L$6,)</f>
        <v>0</v>
      </c>
      <c r="M10" s="36">
        <v>0</v>
      </c>
      <c r="N10" s="53">
        <f>H10</f>
        <v>102060</v>
      </c>
      <c r="O10" s="36">
        <f>ROUND(I10-SUM(J10:N10),0)</f>
        <v>527310</v>
      </c>
      <c r="P10" s="36" t="s">
        <v>43</v>
      </c>
      <c r="Q10" s="36">
        <v>37310</v>
      </c>
      <c r="R10" s="36">
        <v>0</v>
      </c>
      <c r="S10" s="36">
        <v>0</v>
      </c>
      <c r="T10" s="36">
        <v>0</v>
      </c>
      <c r="U10" s="36">
        <f t="shared" si="0"/>
        <v>37310</v>
      </c>
      <c r="V10" s="37" t="s">
        <v>29</v>
      </c>
      <c r="W10" s="46"/>
    </row>
    <row r="11" spans="1:81" ht="30" customHeight="1" x14ac:dyDescent="0.25">
      <c r="A11" s="35">
        <v>58505</v>
      </c>
      <c r="B11" s="2" t="s">
        <v>21</v>
      </c>
      <c r="C11" s="9"/>
      <c r="D11" s="7">
        <v>2</v>
      </c>
      <c r="E11" s="36">
        <v>102060</v>
      </c>
      <c r="F11" s="36"/>
      <c r="G11" s="36">
        <f>ROUND(E11-F11,)</f>
        <v>102060</v>
      </c>
      <c r="H11" s="36"/>
      <c r="I11" s="36">
        <f>G11+H11</f>
        <v>102060</v>
      </c>
      <c r="J11" s="36"/>
      <c r="K11" s="36"/>
      <c r="L11" s="36"/>
      <c r="M11" s="36"/>
      <c r="N11" s="36"/>
      <c r="O11" s="53">
        <f>ROUND(I11-SUM(J11:N11),0)</f>
        <v>102060</v>
      </c>
      <c r="P11" s="36"/>
      <c r="Q11" s="36"/>
      <c r="R11" s="36"/>
      <c r="S11" s="36"/>
      <c r="T11" s="36"/>
      <c r="U11" s="36">
        <v>250000</v>
      </c>
      <c r="V11" s="37" t="s">
        <v>58</v>
      </c>
      <c r="W11" s="46"/>
    </row>
    <row r="12" spans="1:81" s="34" customFormat="1" ht="30" customHeight="1" x14ac:dyDescent="0.25">
      <c r="A12" s="35"/>
      <c r="B12" s="40"/>
      <c r="C12" s="16"/>
      <c r="D12" s="41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39"/>
      <c r="W12" s="46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</row>
    <row r="13" spans="1:81" ht="30" customHeight="1" x14ac:dyDescent="0.25">
      <c r="A13" s="35">
        <v>58505</v>
      </c>
      <c r="B13" s="36" t="s">
        <v>9</v>
      </c>
      <c r="C13" s="15">
        <v>45143</v>
      </c>
      <c r="D13" s="38">
        <v>3</v>
      </c>
      <c r="E13" s="36">
        <v>294000</v>
      </c>
      <c r="F13" s="36">
        <v>0</v>
      </c>
      <c r="G13" s="36">
        <v>294000</v>
      </c>
      <c r="H13" s="36">
        <v>52920</v>
      </c>
      <c r="I13" s="36">
        <v>346920</v>
      </c>
      <c r="J13" s="36">
        <v>5880</v>
      </c>
      <c r="K13" s="36">
        <f>G13*5%</f>
        <v>14700</v>
      </c>
      <c r="L13" s="36">
        <v>0</v>
      </c>
      <c r="M13" s="36">
        <v>0</v>
      </c>
      <c r="N13" s="53">
        <v>52920</v>
      </c>
      <c r="O13" s="36">
        <v>273420</v>
      </c>
      <c r="P13" s="36" t="s">
        <v>10</v>
      </c>
      <c r="Q13" s="36">
        <v>400000</v>
      </c>
      <c r="R13" s="36">
        <v>8000</v>
      </c>
      <c r="S13" s="36">
        <v>0</v>
      </c>
      <c r="T13" s="36">
        <v>0</v>
      </c>
      <c r="U13" s="36">
        <v>392000</v>
      </c>
      <c r="V13" s="37" t="s">
        <v>11</v>
      </c>
    </row>
    <row r="14" spans="1:81" ht="30" customHeight="1" x14ac:dyDescent="0.25">
      <c r="A14" s="35">
        <v>58505</v>
      </c>
      <c r="B14" s="2" t="s">
        <v>25</v>
      </c>
      <c r="C14" s="9">
        <v>45184</v>
      </c>
      <c r="D14" s="7">
        <v>3</v>
      </c>
      <c r="E14" s="36">
        <v>52920</v>
      </c>
      <c r="F14" s="36"/>
      <c r="G14" s="36"/>
      <c r="H14" s="36"/>
      <c r="I14" s="36"/>
      <c r="J14" s="36"/>
      <c r="K14" s="36"/>
      <c r="L14" s="36"/>
      <c r="M14" s="36"/>
      <c r="N14" s="36"/>
      <c r="O14" s="53">
        <f>E14</f>
        <v>52920</v>
      </c>
      <c r="P14" s="36" t="s">
        <v>34</v>
      </c>
      <c r="Q14" s="36"/>
      <c r="R14" s="36"/>
      <c r="S14" s="36"/>
      <c r="T14" s="36"/>
      <c r="U14" s="36">
        <v>52920</v>
      </c>
      <c r="V14" s="37" t="s">
        <v>30</v>
      </c>
    </row>
    <row r="15" spans="1:81" ht="30" customHeight="1" x14ac:dyDescent="0.25">
      <c r="A15" s="35">
        <v>58505</v>
      </c>
      <c r="B15" s="2" t="s">
        <v>9</v>
      </c>
      <c r="C15" s="42">
        <v>45234</v>
      </c>
      <c r="D15" s="7">
        <v>6</v>
      </c>
      <c r="E15" s="36">
        <v>294000</v>
      </c>
      <c r="F15" s="36">
        <v>0</v>
      </c>
      <c r="G15" s="36">
        <v>294000</v>
      </c>
      <c r="H15" s="36">
        <f>G15*18%</f>
        <v>52920</v>
      </c>
      <c r="I15" s="36">
        <f>G15+H15</f>
        <v>346920</v>
      </c>
      <c r="J15" s="36">
        <f>I15*1%</f>
        <v>3469.2000000000003</v>
      </c>
      <c r="K15" s="36">
        <f>G15*5%</f>
        <v>14700</v>
      </c>
      <c r="L15" s="36">
        <v>0</v>
      </c>
      <c r="M15" s="36">
        <f>I15*10%</f>
        <v>34692</v>
      </c>
      <c r="N15" s="53">
        <f>G15*18%</f>
        <v>52920</v>
      </c>
      <c r="O15" s="36">
        <v>246960</v>
      </c>
      <c r="P15" s="36" t="s">
        <v>33</v>
      </c>
      <c r="Q15" s="36"/>
      <c r="R15" s="36"/>
      <c r="S15" s="36"/>
      <c r="T15" s="36"/>
      <c r="U15" s="36">
        <v>147000</v>
      </c>
      <c r="V15" s="37" t="s">
        <v>32</v>
      </c>
    </row>
    <row r="16" spans="1:81" ht="30" customHeight="1" x14ac:dyDescent="0.25">
      <c r="A16" s="35">
        <v>58505</v>
      </c>
      <c r="B16" s="2" t="s">
        <v>21</v>
      </c>
      <c r="C16" s="9"/>
      <c r="D16" s="7">
        <v>6</v>
      </c>
      <c r="E16" s="36">
        <f>N15</f>
        <v>52920</v>
      </c>
      <c r="F16" s="36"/>
      <c r="G16" s="36"/>
      <c r="H16" s="36"/>
      <c r="I16" s="36"/>
      <c r="J16" s="36"/>
      <c r="K16" s="36"/>
      <c r="L16" s="36"/>
      <c r="M16" s="36"/>
      <c r="N16" s="36"/>
      <c r="O16" s="53">
        <f>E16</f>
        <v>52920</v>
      </c>
      <c r="P16" s="36"/>
      <c r="Q16" s="36"/>
      <c r="R16" s="36"/>
      <c r="S16" s="36"/>
      <c r="T16" s="36"/>
      <c r="U16" s="36">
        <v>52920</v>
      </c>
      <c r="V16" s="45" t="s">
        <v>59</v>
      </c>
    </row>
    <row r="17" spans="1:81" ht="30" customHeight="1" x14ac:dyDescent="0.25">
      <c r="A17" s="35">
        <v>58505</v>
      </c>
      <c r="B17" s="2" t="s">
        <v>9</v>
      </c>
      <c r="C17" s="9">
        <v>45328</v>
      </c>
      <c r="D17" s="7">
        <v>10</v>
      </c>
      <c r="E17" s="36">
        <f>A13*15%</f>
        <v>8775.75</v>
      </c>
      <c r="F17" s="36"/>
      <c r="G17" s="36">
        <v>294000</v>
      </c>
      <c r="H17" s="36">
        <f>G17*18%</f>
        <v>52920</v>
      </c>
      <c r="I17" s="36">
        <f>G17+H17</f>
        <v>346920</v>
      </c>
      <c r="J17" s="36">
        <v>5880</v>
      </c>
      <c r="K17" s="36">
        <f>G17*5%</f>
        <v>14700</v>
      </c>
      <c r="L17" s="36">
        <v>0</v>
      </c>
      <c r="M17" s="36"/>
      <c r="N17" s="53">
        <f>G17*18%</f>
        <v>52920</v>
      </c>
      <c r="O17" s="36">
        <f>I17-SUM(J17:N17)</f>
        <v>273420</v>
      </c>
      <c r="P17" s="36"/>
      <c r="Q17" s="36"/>
      <c r="R17" s="36"/>
      <c r="S17" s="36"/>
      <c r="T17" s="36"/>
      <c r="U17" s="36">
        <v>251860</v>
      </c>
      <c r="V17" s="37" t="s">
        <v>48</v>
      </c>
    </row>
    <row r="18" spans="1:81" ht="30" customHeight="1" x14ac:dyDescent="0.25">
      <c r="A18" s="35">
        <v>58505</v>
      </c>
      <c r="B18" s="2" t="s">
        <v>21</v>
      </c>
      <c r="C18" s="15"/>
      <c r="D18" s="38"/>
      <c r="E18" s="36">
        <f>N17</f>
        <v>52920</v>
      </c>
      <c r="F18" s="36"/>
      <c r="G18" s="36"/>
      <c r="H18" s="36"/>
      <c r="I18" s="36"/>
      <c r="J18" s="36"/>
      <c r="K18" s="36"/>
      <c r="L18" s="36"/>
      <c r="M18" s="36"/>
      <c r="N18" s="36"/>
      <c r="O18" s="53">
        <f>E18</f>
        <v>52920</v>
      </c>
      <c r="P18" s="36"/>
      <c r="Q18" s="36"/>
      <c r="R18" s="36"/>
      <c r="S18" s="36"/>
      <c r="T18" s="36"/>
      <c r="U18" s="36">
        <v>52920</v>
      </c>
      <c r="V18" s="37" t="s">
        <v>49</v>
      </c>
      <c r="W18" s="46"/>
    </row>
    <row r="19" spans="1:81" s="34" customFormat="1" ht="30" customHeight="1" x14ac:dyDescent="0.25">
      <c r="A19" s="35"/>
      <c r="B19" s="40"/>
      <c r="C19" s="16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39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 spans="1:81" ht="30" customHeight="1" x14ac:dyDescent="0.25">
      <c r="A20" s="35">
        <v>58504</v>
      </c>
      <c r="B20" s="36" t="s">
        <v>12</v>
      </c>
      <c r="C20" s="15">
        <v>45143</v>
      </c>
      <c r="D20" s="38">
        <v>1</v>
      </c>
      <c r="E20" s="36">
        <v>389812.5</v>
      </c>
      <c r="F20" s="36">
        <v>0</v>
      </c>
      <c r="G20" s="36">
        <v>389813</v>
      </c>
      <c r="H20" s="36">
        <v>70166</v>
      </c>
      <c r="I20" s="36">
        <v>459979</v>
      </c>
      <c r="J20" s="36">
        <f>J6*G20</f>
        <v>7796.26</v>
      </c>
      <c r="K20" s="36">
        <f>K6*G20</f>
        <v>19490.650000000001</v>
      </c>
      <c r="L20" s="36">
        <v>0</v>
      </c>
      <c r="M20" s="36">
        <v>0</v>
      </c>
      <c r="N20" s="53">
        <v>70166</v>
      </c>
      <c r="O20" s="36">
        <f>G20-J20-K20</f>
        <v>362526.08999999997</v>
      </c>
      <c r="P20" s="36" t="s">
        <v>13</v>
      </c>
      <c r="Q20" s="36">
        <v>200000</v>
      </c>
      <c r="R20" s="36">
        <f>Q20*$R$6</f>
        <v>2000</v>
      </c>
      <c r="S20" s="36">
        <v>0</v>
      </c>
      <c r="T20" s="36">
        <v>0</v>
      </c>
      <c r="U20" s="36">
        <f>Q20-R20</f>
        <v>198000</v>
      </c>
      <c r="V20" s="37" t="s">
        <v>14</v>
      </c>
    </row>
    <row r="21" spans="1:81" ht="30" customHeight="1" x14ac:dyDescent="0.25">
      <c r="A21" s="35">
        <v>58504</v>
      </c>
      <c r="B21" s="36" t="s">
        <v>21</v>
      </c>
      <c r="C21" s="15">
        <v>45184</v>
      </c>
      <c r="D21" s="38">
        <v>1</v>
      </c>
      <c r="E21" s="36">
        <v>70166</v>
      </c>
      <c r="F21" s="36"/>
      <c r="G21" s="36">
        <f>ROUND(E21-F21,)</f>
        <v>70166</v>
      </c>
      <c r="H21" s="36"/>
      <c r="I21" s="36">
        <f>G21+H21</f>
        <v>70166</v>
      </c>
      <c r="J21" s="36"/>
      <c r="K21" s="36"/>
      <c r="L21" s="36"/>
      <c r="M21" s="36"/>
      <c r="N21" s="36"/>
      <c r="O21" s="53">
        <f>ROUND(I21-SUM(J21:N21),0)</f>
        <v>70166</v>
      </c>
      <c r="P21" s="36" t="s">
        <v>22</v>
      </c>
      <c r="Q21" s="36">
        <v>166526</v>
      </c>
      <c r="R21" s="36">
        <v>0</v>
      </c>
      <c r="S21" s="36"/>
      <c r="T21" s="36"/>
      <c r="U21" s="36">
        <f t="shared" ref="U21:U24" si="1">Q21-R21</f>
        <v>166526</v>
      </c>
      <c r="V21" s="37" t="s">
        <v>19</v>
      </c>
    </row>
    <row r="22" spans="1:81" ht="30" customHeight="1" x14ac:dyDescent="0.25">
      <c r="A22" s="35">
        <v>58504</v>
      </c>
      <c r="B22" s="36" t="s">
        <v>12</v>
      </c>
      <c r="C22" s="15">
        <v>45234</v>
      </c>
      <c r="D22" s="38">
        <v>8</v>
      </c>
      <c r="E22" s="36">
        <v>389812</v>
      </c>
      <c r="F22" s="36">
        <v>0</v>
      </c>
      <c r="G22" s="36">
        <f>E22-F22</f>
        <v>389812</v>
      </c>
      <c r="H22" s="36">
        <f>G22*18%</f>
        <v>70166.16</v>
      </c>
      <c r="I22" s="36">
        <f>H22+G22</f>
        <v>459978.16000000003</v>
      </c>
      <c r="J22" s="36">
        <f>G22*2%</f>
        <v>7796.24</v>
      </c>
      <c r="K22" s="36">
        <f>G22*5%</f>
        <v>19490.600000000002</v>
      </c>
      <c r="L22" s="36">
        <v>0</v>
      </c>
      <c r="M22" s="36">
        <v>0</v>
      </c>
      <c r="N22" s="53">
        <f>H22</f>
        <v>70166.16</v>
      </c>
      <c r="O22" s="36">
        <f>I22-J22-K22-N22-M22-L22</f>
        <v>362525.16000000003</v>
      </c>
      <c r="P22" s="36" t="s">
        <v>26</v>
      </c>
      <c r="Q22" s="36">
        <v>70166</v>
      </c>
      <c r="R22" s="35"/>
      <c r="S22" s="36"/>
      <c r="T22" s="36"/>
      <c r="U22" s="36">
        <f t="shared" si="1"/>
        <v>70166</v>
      </c>
      <c r="V22" s="37" t="s">
        <v>27</v>
      </c>
    </row>
    <row r="23" spans="1:81" ht="30" customHeight="1" x14ac:dyDescent="0.25">
      <c r="A23" s="35">
        <v>58504</v>
      </c>
      <c r="B23" s="36" t="s">
        <v>21</v>
      </c>
      <c r="C23" s="15"/>
      <c r="D23" s="38">
        <v>8</v>
      </c>
      <c r="E23" s="36">
        <f>N22</f>
        <v>70166.16</v>
      </c>
      <c r="F23" s="36"/>
      <c r="G23" s="36"/>
      <c r="H23" s="36"/>
      <c r="I23" s="36"/>
      <c r="J23" s="36"/>
      <c r="K23" s="36"/>
      <c r="L23" s="36"/>
      <c r="M23" s="36"/>
      <c r="N23" s="36"/>
      <c r="O23" s="53">
        <f>E23</f>
        <v>70166.16</v>
      </c>
      <c r="P23" s="36" t="s">
        <v>40</v>
      </c>
      <c r="Q23" s="36">
        <v>150000</v>
      </c>
      <c r="R23" s="35">
        <v>3000</v>
      </c>
      <c r="S23" s="36"/>
      <c r="T23" s="36"/>
      <c r="U23" s="36">
        <f t="shared" si="1"/>
        <v>147000</v>
      </c>
      <c r="V23" s="37" t="s">
        <v>38</v>
      </c>
      <c r="X23" s="46"/>
    </row>
    <row r="24" spans="1:81" ht="30" customHeight="1" x14ac:dyDescent="0.25">
      <c r="A24" s="35">
        <v>58504</v>
      </c>
      <c r="B24" s="36" t="s">
        <v>12</v>
      </c>
      <c r="C24" s="15">
        <v>45392</v>
      </c>
      <c r="D24" s="7">
        <v>1</v>
      </c>
      <c r="E24" s="36">
        <v>389812</v>
      </c>
      <c r="F24" s="36">
        <v>0</v>
      </c>
      <c r="G24" s="36">
        <f>E24-F24</f>
        <v>389812</v>
      </c>
      <c r="H24" s="36">
        <f>G24*18%</f>
        <v>70166.16</v>
      </c>
      <c r="I24" s="36">
        <f>G24+H24</f>
        <v>459978.16000000003</v>
      </c>
      <c r="J24" s="36">
        <f>G24*2%</f>
        <v>7796.24</v>
      </c>
      <c r="K24" s="36">
        <f>G24*5%</f>
        <v>19490.600000000002</v>
      </c>
      <c r="L24" s="36">
        <v>0</v>
      </c>
      <c r="M24" s="36"/>
      <c r="N24" s="53">
        <f>G24*18%</f>
        <v>70166.16</v>
      </c>
      <c r="O24" s="36">
        <f>I24-SUM(J24:N24)</f>
        <v>362525.16000000003</v>
      </c>
      <c r="P24" s="36" t="s">
        <v>41</v>
      </c>
      <c r="Q24" s="36">
        <v>215526</v>
      </c>
      <c r="R24" s="35"/>
      <c r="S24" s="36"/>
      <c r="T24" s="36"/>
      <c r="U24" s="36">
        <f t="shared" si="1"/>
        <v>215526</v>
      </c>
      <c r="V24" s="37" t="s">
        <v>39</v>
      </c>
    </row>
    <row r="25" spans="1:81" ht="30" customHeight="1" x14ac:dyDescent="0.25">
      <c r="A25" s="35">
        <v>58504</v>
      </c>
      <c r="B25" s="36" t="s">
        <v>21</v>
      </c>
      <c r="C25" s="15"/>
      <c r="D25" s="7">
        <v>1</v>
      </c>
      <c r="E25" s="36">
        <f>N24</f>
        <v>70166.16</v>
      </c>
      <c r="F25" s="36"/>
      <c r="G25" s="36"/>
      <c r="H25" s="36"/>
      <c r="I25" s="36"/>
      <c r="J25" s="36"/>
      <c r="K25" s="36"/>
      <c r="L25" s="36"/>
      <c r="M25" s="36"/>
      <c r="N25" s="36"/>
      <c r="O25" s="53">
        <f>E25</f>
        <v>70166.16</v>
      </c>
      <c r="P25" s="36"/>
      <c r="Q25" s="36"/>
      <c r="R25" s="36"/>
      <c r="S25" s="36"/>
      <c r="T25" s="36"/>
      <c r="U25" s="36">
        <v>70166</v>
      </c>
      <c r="V25" s="37" t="s">
        <v>44</v>
      </c>
    </row>
    <row r="26" spans="1:81" ht="30" customHeight="1" x14ac:dyDescent="0.25">
      <c r="A26" s="35">
        <v>58504</v>
      </c>
      <c r="B26" s="36"/>
      <c r="C26" s="15"/>
      <c r="D26" s="7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>
        <v>362526</v>
      </c>
      <c r="V26" s="37" t="s">
        <v>55</v>
      </c>
      <c r="W26" s="46"/>
    </row>
    <row r="27" spans="1:81" ht="30" customHeight="1" x14ac:dyDescent="0.25">
      <c r="A27" s="35">
        <v>58504</v>
      </c>
      <c r="B27" s="36"/>
      <c r="C27" s="15"/>
      <c r="D27" s="7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>
        <v>70166</v>
      </c>
      <c r="V27" s="37" t="s">
        <v>60</v>
      </c>
      <c r="W27" s="46"/>
    </row>
    <row r="28" spans="1:81" ht="30" customHeight="1" x14ac:dyDescent="0.25">
      <c r="A28" s="35"/>
      <c r="B28" s="36"/>
      <c r="C28" s="15"/>
      <c r="D28" s="38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46"/>
    </row>
    <row r="29" spans="1:81" s="34" customFormat="1" ht="30" customHeight="1" x14ac:dyDescent="0.25">
      <c r="A29" s="35">
        <v>58503</v>
      </c>
      <c r="B29" s="40"/>
      <c r="C29" s="16"/>
      <c r="D29" s="41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39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</row>
    <row r="30" spans="1:81" ht="30" customHeight="1" x14ac:dyDescent="0.25">
      <c r="A30" s="35">
        <v>58503</v>
      </c>
      <c r="B30" s="36" t="s">
        <v>83</v>
      </c>
      <c r="C30" s="15">
        <v>45143</v>
      </c>
      <c r="D30" s="7">
        <v>4</v>
      </c>
      <c r="E30" s="36">
        <v>371250</v>
      </c>
      <c r="F30" s="36">
        <v>0</v>
      </c>
      <c r="G30" s="36">
        <v>371250</v>
      </c>
      <c r="H30" s="36">
        <v>66825</v>
      </c>
      <c r="I30" s="36">
        <v>438075</v>
      </c>
      <c r="J30" s="36">
        <v>7425</v>
      </c>
      <c r="K30" s="36">
        <v>18563</v>
      </c>
      <c r="L30" s="36">
        <v>0</v>
      </c>
      <c r="M30" s="36">
        <v>0</v>
      </c>
      <c r="N30" s="53">
        <v>66825</v>
      </c>
      <c r="O30" s="36">
        <v>345262</v>
      </c>
      <c r="P30" s="36" t="s">
        <v>15</v>
      </c>
      <c r="Q30" s="36">
        <v>200000</v>
      </c>
      <c r="R30" s="36">
        <v>4000</v>
      </c>
      <c r="S30" s="36">
        <v>0</v>
      </c>
      <c r="T30" s="36">
        <v>0</v>
      </c>
      <c r="U30" s="36">
        <f>Q30-R30</f>
        <v>196000</v>
      </c>
      <c r="V30" s="37" t="s">
        <v>16</v>
      </c>
    </row>
    <row r="31" spans="1:81" ht="30" customHeight="1" x14ac:dyDescent="0.25">
      <c r="A31" s="35">
        <v>58503</v>
      </c>
      <c r="B31" s="2" t="s">
        <v>23</v>
      </c>
      <c r="C31" s="9">
        <v>45184</v>
      </c>
      <c r="D31" s="7">
        <v>4</v>
      </c>
      <c r="E31" s="36">
        <v>66825</v>
      </c>
      <c r="F31" s="36"/>
      <c r="G31" s="36">
        <f>ROUND(E31-F31,)</f>
        <v>66825</v>
      </c>
      <c r="H31" s="36"/>
      <c r="I31" s="36">
        <f>G31+H31</f>
        <v>66825</v>
      </c>
      <c r="J31" s="36"/>
      <c r="K31" s="36"/>
      <c r="L31" s="36"/>
      <c r="M31" s="36"/>
      <c r="N31" s="36">
        <f>H31</f>
        <v>0</v>
      </c>
      <c r="O31" s="53">
        <f>ROUND(I31-SUM(J31:N31),0)</f>
        <v>66825</v>
      </c>
      <c r="P31" s="36" t="s">
        <v>20</v>
      </c>
      <c r="Q31" s="36">
        <v>149262</v>
      </c>
      <c r="R31" s="36">
        <v>0</v>
      </c>
      <c r="S31" s="36">
        <v>0</v>
      </c>
      <c r="T31" s="36">
        <v>0</v>
      </c>
      <c r="U31" s="36">
        <f t="shared" ref="U31:U33" si="2">Q31-R31</f>
        <v>149262</v>
      </c>
      <c r="V31" s="37" t="s">
        <v>24</v>
      </c>
    </row>
    <row r="32" spans="1:81" ht="30" customHeight="1" x14ac:dyDescent="0.25">
      <c r="A32" s="35">
        <v>58503</v>
      </c>
      <c r="B32" s="36" t="s">
        <v>83</v>
      </c>
      <c r="C32" s="15">
        <v>45234</v>
      </c>
      <c r="D32" s="7">
        <v>7</v>
      </c>
      <c r="E32" s="36">
        <v>371250</v>
      </c>
      <c r="F32" s="36">
        <v>0</v>
      </c>
      <c r="G32" s="36">
        <f>E32-F32</f>
        <v>371250</v>
      </c>
      <c r="H32" s="36">
        <f>G32*18%</f>
        <v>66825</v>
      </c>
      <c r="I32" s="36">
        <f>H32+G32</f>
        <v>438075</v>
      </c>
      <c r="J32" s="36">
        <f>G32*2%</f>
        <v>7425</v>
      </c>
      <c r="K32" s="36">
        <f>G32*5%</f>
        <v>18562.5</v>
      </c>
      <c r="L32" s="36">
        <v>0</v>
      </c>
      <c r="M32" s="36">
        <v>0</v>
      </c>
      <c r="N32" s="53">
        <f>H32</f>
        <v>66825</v>
      </c>
      <c r="O32" s="36">
        <f>I32-J32-K32-N32-M32-L32</f>
        <v>345262.5</v>
      </c>
      <c r="P32" s="36" t="s">
        <v>36</v>
      </c>
      <c r="Q32" s="36">
        <v>66825</v>
      </c>
      <c r="R32" s="36"/>
      <c r="S32" s="36"/>
      <c r="T32" s="36"/>
      <c r="U32" s="36">
        <f t="shared" si="2"/>
        <v>66825</v>
      </c>
      <c r="V32" s="37" t="s">
        <v>31</v>
      </c>
    </row>
    <row r="33" spans="1:23" ht="30" customHeight="1" x14ac:dyDescent="0.25">
      <c r="A33" s="35">
        <v>58503</v>
      </c>
      <c r="B33" s="36" t="s">
        <v>83</v>
      </c>
      <c r="C33" s="9">
        <v>45364</v>
      </c>
      <c r="D33" s="7">
        <v>11</v>
      </c>
      <c r="E33" s="36">
        <f>A31*15%</f>
        <v>8775.4499999999989</v>
      </c>
      <c r="F33" s="36">
        <v>0</v>
      </c>
      <c r="G33" s="36">
        <f>E33-F33</f>
        <v>8775.4499999999989</v>
      </c>
      <c r="H33" s="36">
        <f>G33*18%</f>
        <v>1579.5809999999997</v>
      </c>
      <c r="I33" s="36">
        <f>H33+G33</f>
        <v>10355.030999999999</v>
      </c>
      <c r="J33" s="36">
        <f>G33*2%</f>
        <v>175.50899999999999</v>
      </c>
      <c r="K33" s="36">
        <f>G33*5%</f>
        <v>438.77249999999998</v>
      </c>
      <c r="L33" s="36">
        <v>0</v>
      </c>
      <c r="M33" s="36">
        <v>0</v>
      </c>
      <c r="N33" s="53">
        <f>H33</f>
        <v>1579.5809999999997</v>
      </c>
      <c r="O33" s="36">
        <f>I33-J33-K33-N33-M33-L33</f>
        <v>8161.1684999999998</v>
      </c>
      <c r="P33" s="36" t="s">
        <v>37</v>
      </c>
      <c r="Q33" s="36">
        <v>150000</v>
      </c>
      <c r="R33" s="36">
        <v>3000</v>
      </c>
      <c r="S33" s="36"/>
      <c r="T33" s="36"/>
      <c r="U33" s="36">
        <f t="shared" si="2"/>
        <v>147000</v>
      </c>
      <c r="V33" s="36" t="s">
        <v>35</v>
      </c>
    </row>
    <row r="34" spans="1:23" ht="30" customHeight="1" x14ac:dyDescent="0.25">
      <c r="A34" s="35">
        <v>58503</v>
      </c>
      <c r="B34" s="36" t="s">
        <v>21</v>
      </c>
      <c r="C34" s="15"/>
      <c r="D34" s="38">
        <v>7</v>
      </c>
      <c r="E34" s="36">
        <f>N32</f>
        <v>66825</v>
      </c>
      <c r="F34" s="36"/>
      <c r="G34" s="36"/>
      <c r="H34" s="36"/>
      <c r="I34" s="36"/>
      <c r="J34" s="36"/>
      <c r="K34" s="36"/>
      <c r="L34" s="36"/>
      <c r="M34" s="36"/>
      <c r="N34" s="36"/>
      <c r="O34" s="53">
        <f>E34</f>
        <v>66825</v>
      </c>
      <c r="P34" s="36"/>
      <c r="Q34" s="36"/>
      <c r="R34" s="36"/>
      <c r="S34" s="36"/>
      <c r="T34" s="36"/>
      <c r="U34" s="36">
        <v>198262</v>
      </c>
      <c r="V34" s="36" t="s">
        <v>45</v>
      </c>
    </row>
    <row r="35" spans="1:23" ht="30" customHeight="1" x14ac:dyDescent="0.25">
      <c r="A35" s="35">
        <v>58503</v>
      </c>
      <c r="B35" s="43" t="s">
        <v>21</v>
      </c>
      <c r="C35" s="17"/>
      <c r="D35" s="44">
        <v>11</v>
      </c>
      <c r="E35" s="43">
        <f>N33</f>
        <v>1579.5809999999997</v>
      </c>
      <c r="F35" s="43"/>
      <c r="G35" s="43"/>
      <c r="H35" s="43"/>
      <c r="I35" s="43"/>
      <c r="J35" s="43"/>
      <c r="K35" s="43"/>
      <c r="L35" s="43"/>
      <c r="M35" s="43"/>
      <c r="N35" s="43"/>
      <c r="O35" s="54">
        <f>E35</f>
        <v>1579.5809999999997</v>
      </c>
      <c r="P35" s="43"/>
      <c r="Q35" s="43"/>
      <c r="R35" s="43"/>
      <c r="S35" s="43"/>
      <c r="T35" s="43"/>
      <c r="U35" s="43">
        <v>300000</v>
      </c>
      <c r="V35" s="43" t="s">
        <v>46</v>
      </c>
    </row>
    <row r="36" spans="1:23" ht="30" customHeight="1" x14ac:dyDescent="0.25">
      <c r="A36" s="35">
        <v>58503</v>
      </c>
      <c r="B36" s="36" t="s">
        <v>83</v>
      </c>
      <c r="C36" s="15">
        <v>45143</v>
      </c>
      <c r="D36" s="7">
        <v>4</v>
      </c>
      <c r="E36" s="36">
        <v>247500</v>
      </c>
      <c r="F36" s="36">
        <v>0</v>
      </c>
      <c r="G36" s="36">
        <f>E36-F36</f>
        <v>247500</v>
      </c>
      <c r="H36" s="36">
        <f>G36*18%</f>
        <v>44550</v>
      </c>
      <c r="I36" s="36">
        <f>H36+G36</f>
        <v>292050</v>
      </c>
      <c r="J36" s="36">
        <f>G36*2%</f>
        <v>4950</v>
      </c>
      <c r="K36" s="36">
        <f>G36*5%</f>
        <v>12375</v>
      </c>
      <c r="L36" s="36">
        <v>0</v>
      </c>
      <c r="M36" s="36">
        <v>0</v>
      </c>
      <c r="N36" s="53">
        <f>H36</f>
        <v>44550</v>
      </c>
      <c r="O36" s="36">
        <f>I36-J36-K36-N36-M36-L36</f>
        <v>230175</v>
      </c>
      <c r="P36" s="43"/>
      <c r="Q36" s="43"/>
      <c r="R36" s="43"/>
      <c r="S36" s="43"/>
      <c r="T36" s="43"/>
      <c r="U36" s="43">
        <v>66825</v>
      </c>
      <c r="V36" s="36" t="s">
        <v>47</v>
      </c>
    </row>
    <row r="37" spans="1:23" ht="30" customHeight="1" x14ac:dyDescent="0.25">
      <c r="A37" s="35">
        <v>58503</v>
      </c>
      <c r="B37" s="43" t="s">
        <v>23</v>
      </c>
      <c r="C37" s="17"/>
      <c r="D37" s="44">
        <v>4</v>
      </c>
      <c r="E37" s="43">
        <f>H36</f>
        <v>44550</v>
      </c>
      <c r="F37" s="43"/>
      <c r="G37" s="43"/>
      <c r="H37" s="43"/>
      <c r="I37" s="43"/>
      <c r="J37" s="43"/>
      <c r="K37" s="43"/>
      <c r="L37" s="43"/>
      <c r="M37" s="43"/>
      <c r="N37" s="43"/>
      <c r="O37" s="54">
        <f>N36</f>
        <v>44550</v>
      </c>
      <c r="P37" s="43"/>
      <c r="Q37" s="43"/>
      <c r="R37" s="43"/>
      <c r="S37" s="43"/>
      <c r="T37" s="43"/>
      <c r="U37" s="43">
        <v>230175</v>
      </c>
      <c r="V37" s="43" t="s">
        <v>50</v>
      </c>
    </row>
    <row r="38" spans="1:23" ht="30" customHeight="1" x14ac:dyDescent="0.25">
      <c r="A38" s="35">
        <v>58503</v>
      </c>
      <c r="B38" s="36" t="s">
        <v>83</v>
      </c>
      <c r="C38" s="15">
        <v>45458</v>
      </c>
      <c r="D38" s="7">
        <v>7</v>
      </c>
      <c r="E38" s="36">
        <v>371250</v>
      </c>
      <c r="F38" s="36">
        <v>0</v>
      </c>
      <c r="G38" s="36">
        <f>E38-F38</f>
        <v>371250</v>
      </c>
      <c r="H38" s="36">
        <f>G38*18%</f>
        <v>66825</v>
      </c>
      <c r="I38" s="36">
        <f>H38+G38</f>
        <v>438075</v>
      </c>
      <c r="J38" s="36">
        <f>G38*2%</f>
        <v>7425</v>
      </c>
      <c r="K38" s="36">
        <f>G38*5%</f>
        <v>18562.5</v>
      </c>
      <c r="L38" s="36">
        <v>0</v>
      </c>
      <c r="M38" s="36">
        <v>0</v>
      </c>
      <c r="N38" s="53">
        <f>H38</f>
        <v>66825</v>
      </c>
      <c r="O38" s="36">
        <f>I38-J38-K38-N38-M38-L38</f>
        <v>345262.5</v>
      </c>
      <c r="P38" s="43"/>
      <c r="Q38" s="43"/>
      <c r="R38" s="43"/>
      <c r="S38" s="43"/>
      <c r="T38" s="43"/>
      <c r="U38" s="36">
        <v>66825</v>
      </c>
      <c r="V38" s="36" t="s">
        <v>51</v>
      </c>
    </row>
    <row r="39" spans="1:23" ht="30" customHeight="1" x14ac:dyDescent="0.25">
      <c r="A39" s="35">
        <v>58503</v>
      </c>
      <c r="B39" s="50" t="s">
        <v>23</v>
      </c>
      <c r="C39" s="51"/>
      <c r="D39" s="52">
        <v>7</v>
      </c>
      <c r="E39" s="50">
        <f>N38</f>
        <v>66825</v>
      </c>
      <c r="F39" s="50"/>
      <c r="G39" s="50"/>
      <c r="H39" s="50"/>
      <c r="I39" s="50"/>
      <c r="J39" s="50"/>
      <c r="K39" s="50"/>
      <c r="L39" s="50"/>
      <c r="M39" s="50"/>
      <c r="N39" s="50"/>
      <c r="O39" s="53">
        <f>N38</f>
        <v>66825</v>
      </c>
      <c r="P39" s="49"/>
      <c r="Q39" s="49"/>
      <c r="R39" s="49"/>
      <c r="S39" s="49"/>
      <c r="T39" s="49"/>
      <c r="U39" s="50">
        <v>44550</v>
      </c>
      <c r="V39" s="50" t="s">
        <v>56</v>
      </c>
      <c r="W39" s="46"/>
    </row>
    <row r="40" spans="1:23" ht="30" customHeight="1" x14ac:dyDescent="0.25">
      <c r="A40" s="35">
        <v>58503</v>
      </c>
      <c r="B40" s="50"/>
      <c r="C40" s="51"/>
      <c r="D40" s="52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>
        <v>345262</v>
      </c>
      <c r="V40" s="50" t="s">
        <v>57</v>
      </c>
      <c r="W40" s="46"/>
    </row>
    <row r="41" spans="1:23" ht="30" customHeight="1" x14ac:dyDescent="0.25">
      <c r="A41" s="35">
        <v>58503</v>
      </c>
      <c r="B41" s="50"/>
      <c r="C41" s="51"/>
      <c r="D41" s="52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>
        <v>66825</v>
      </c>
      <c r="V41" s="50" t="s">
        <v>61</v>
      </c>
      <c r="W41" s="46"/>
    </row>
    <row r="42" spans="1:23" ht="30" customHeight="1" x14ac:dyDescent="0.25">
      <c r="C42" s="18"/>
      <c r="H42" s="18"/>
      <c r="I42" s="18"/>
    </row>
    <row r="43" spans="1:23" ht="30" customHeight="1" x14ac:dyDescent="0.25">
      <c r="C43" s="18"/>
      <c r="H43" s="18"/>
      <c r="I43" s="18"/>
    </row>
    <row r="44" spans="1:23" ht="30" customHeight="1" x14ac:dyDescent="0.25">
      <c r="C44" s="18"/>
      <c r="H44" s="18"/>
      <c r="I44" s="18"/>
    </row>
    <row r="45" spans="1:23" ht="30" customHeight="1" thickBot="1" x14ac:dyDescent="0.3">
      <c r="A45" s="1"/>
      <c r="B45" s="1"/>
      <c r="C45" s="47"/>
      <c r="D45" s="4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3" ht="30" customHeight="1" x14ac:dyDescent="0.25">
      <c r="A46" s="1"/>
      <c r="B46" s="1"/>
      <c r="C46" s="47"/>
      <c r="D46" s="48"/>
      <c r="E46" s="1"/>
      <c r="F46" s="1"/>
      <c r="G46" s="1"/>
      <c r="H46" s="1"/>
      <c r="I46" s="63" t="s">
        <v>8</v>
      </c>
      <c r="J46" s="64"/>
      <c r="K46" s="6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3" ht="30" customHeight="1" x14ac:dyDescent="0.25">
      <c r="I47" s="60" t="s">
        <v>62</v>
      </c>
      <c r="J47" s="61"/>
      <c r="K47" s="62"/>
    </row>
    <row r="48" spans="1:23" ht="30" customHeight="1" x14ac:dyDescent="0.25">
      <c r="I48" s="55" t="s">
        <v>52</v>
      </c>
      <c r="J48" s="66" t="e">
        <f>#REF!+#REF!</f>
        <v>#REF!</v>
      </c>
      <c r="K48" s="67"/>
    </row>
    <row r="49" spans="9:11" ht="30" customHeight="1" x14ac:dyDescent="0.25">
      <c r="I49" s="55" t="s">
        <v>54</v>
      </c>
      <c r="J49" s="66" t="e">
        <f>#REF!</f>
        <v>#REF!</v>
      </c>
      <c r="K49" s="67"/>
    </row>
    <row r="50" spans="9:11" ht="30" customHeight="1" thickBot="1" x14ac:dyDescent="0.3">
      <c r="I50" s="56" t="s">
        <v>53</v>
      </c>
      <c r="J50" s="68" t="s">
        <v>63</v>
      </c>
      <c r="K50" s="69"/>
    </row>
  </sheetData>
  <mergeCells count="5">
    <mergeCell ref="I47:K47"/>
    <mergeCell ref="I46:K46"/>
    <mergeCell ref="J48:K48"/>
    <mergeCell ref="J49:K49"/>
    <mergeCell ref="J50:K50"/>
  </mergeCells>
  <phoneticPr fontId="9" type="noConversion"/>
  <pageMargins left="0.70866141732283472" right="0.70866141732283472" top="0.74803149606299213" bottom="0.74803149606299213" header="0.31496062992125984" footer="0.31496062992125984"/>
  <pageSetup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2024-05-10T11:29:15Z</cp:lastPrinted>
  <dcterms:created xsi:type="dcterms:W3CDTF">2022-06-10T14:11:52Z</dcterms:created>
  <dcterms:modified xsi:type="dcterms:W3CDTF">2025-05-27T10:52:03Z</dcterms:modified>
</cp:coreProperties>
</file>