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jakta\Golden key construction\"/>
    </mc:Choice>
  </mc:AlternateContent>
  <xr:revisionPtr revIDLastSave="0" documentId="13_ncr:1_{F9EF6A37-D8EE-4805-BC1A-F019A4E41098}" xr6:coauthVersionLast="47" xr6:coauthVersionMax="47" xr10:uidLastSave="{00000000-0000-0000-0000-000000000000}"/>
  <bookViews>
    <workbookView xWindow="3120" yWindow="1275" windowWidth="14355" windowHeight="14925" xr2:uid="{00000000-000D-0000-FFFF-FFFF00000000}"/>
  </bookViews>
  <sheets>
    <sheet name="Sheet1" sheetId="1" r:id="rId1"/>
  </sheets>
  <definedNames>
    <definedName name="_xlnm._FilterDatabase" localSheetId="0" hidden="1">Sheet1!$V$1:$V$68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7" i="1" l="1"/>
  <c r="T15" i="1" l="1"/>
  <c r="T14" i="1"/>
  <c r="T9" i="1"/>
  <c r="T11" i="1"/>
  <c r="T12" i="1"/>
  <c r="T16" i="1"/>
  <c r="T17" i="1"/>
  <c r="G55" i="1"/>
  <c r="K55" i="1" s="1"/>
  <c r="P53" i="1"/>
  <c r="T24" i="1"/>
  <c r="T25" i="1"/>
  <c r="G41" i="1"/>
  <c r="K41" i="1" s="1"/>
  <c r="H55" i="1" l="1"/>
  <c r="O55" i="1" s="1"/>
  <c r="E56" i="1" s="1"/>
  <c r="P56" i="1" s="1"/>
  <c r="L55" i="1"/>
  <c r="M55" i="1"/>
  <c r="J55" i="1"/>
  <c r="H41" i="1"/>
  <c r="O41" i="1" s="1"/>
  <c r="E43" i="1" s="1"/>
  <c r="P43" i="1" s="1"/>
  <c r="L41" i="1"/>
  <c r="M41" i="1"/>
  <c r="J41" i="1"/>
  <c r="I41" i="1" l="1"/>
  <c r="P41" i="1" s="1"/>
  <c r="I55" i="1"/>
  <c r="P55" i="1" s="1"/>
  <c r="V55" i="1" s="1"/>
  <c r="G11" i="1"/>
  <c r="L11" i="1" s="1"/>
  <c r="G40" i="1"/>
  <c r="K40" i="1" s="1"/>
  <c r="G50" i="1"/>
  <c r="M50" i="1" s="1"/>
  <c r="S13" i="1"/>
  <c r="T13" i="1" s="1"/>
  <c r="T23" i="1"/>
  <c r="T22" i="1"/>
  <c r="G23" i="1"/>
  <c r="K23" i="1" s="1"/>
  <c r="G49" i="1"/>
  <c r="L49" i="1" s="1"/>
  <c r="T29" i="1"/>
  <c r="G29" i="1"/>
  <c r="M29" i="1" s="1"/>
  <c r="G22" i="1"/>
  <c r="L22" i="1" s="1"/>
  <c r="T37" i="1"/>
  <c r="T36" i="1"/>
  <c r="T21" i="1"/>
  <c r="G38" i="1"/>
  <c r="M38" i="1" s="1"/>
  <c r="K11" i="1" l="1"/>
  <c r="M11" i="1"/>
  <c r="J11" i="1"/>
  <c r="H11" i="1"/>
  <c r="O11" i="1" s="1"/>
  <c r="E13" i="1" s="1"/>
  <c r="P13" i="1" s="1"/>
  <c r="H40" i="1"/>
  <c r="O40" i="1" s="1"/>
  <c r="E42" i="1" s="1"/>
  <c r="P42" i="1" s="1"/>
  <c r="L40" i="1"/>
  <c r="M40" i="1"/>
  <c r="J40" i="1"/>
  <c r="J50" i="1"/>
  <c r="K50" i="1"/>
  <c r="H50" i="1"/>
  <c r="L50" i="1"/>
  <c r="H23" i="1"/>
  <c r="I23" i="1" s="1"/>
  <c r="J23" i="1"/>
  <c r="L23" i="1"/>
  <c r="M23" i="1"/>
  <c r="J49" i="1"/>
  <c r="K49" i="1"/>
  <c r="M49" i="1"/>
  <c r="H49" i="1"/>
  <c r="O49" i="1" s="1"/>
  <c r="E51" i="1" s="1"/>
  <c r="P51" i="1" s="1"/>
  <c r="L29" i="1"/>
  <c r="H29" i="1"/>
  <c r="O29" i="1" s="1"/>
  <c r="E30" i="1" s="1"/>
  <c r="P30" i="1" s="1"/>
  <c r="J29" i="1"/>
  <c r="K29" i="1"/>
  <c r="M22" i="1"/>
  <c r="K22" i="1"/>
  <c r="J22" i="1"/>
  <c r="H22" i="1"/>
  <c r="O22" i="1" s="1"/>
  <c r="J38" i="1"/>
  <c r="L38" i="1"/>
  <c r="H38" i="1"/>
  <c r="I38" i="1" s="1"/>
  <c r="K38" i="1"/>
  <c r="G28" i="1"/>
  <c r="K28" i="1" s="1"/>
  <c r="O23" i="1" l="1"/>
  <c r="E24" i="1" s="1"/>
  <c r="P24" i="1" s="1"/>
  <c r="I40" i="1"/>
  <c r="P40" i="1" s="1"/>
  <c r="I11" i="1"/>
  <c r="P11" i="1" s="1"/>
  <c r="O50" i="1"/>
  <c r="E52" i="1" s="1"/>
  <c r="P52" i="1" s="1"/>
  <c r="I50" i="1"/>
  <c r="I49" i="1"/>
  <c r="P49" i="1" s="1"/>
  <c r="I29" i="1"/>
  <c r="P29" i="1" s="1"/>
  <c r="I22" i="1"/>
  <c r="P22" i="1" s="1"/>
  <c r="O38" i="1"/>
  <c r="H28" i="1"/>
  <c r="O28" i="1" s="1"/>
  <c r="E31" i="1" s="1"/>
  <c r="P31" i="1" s="1"/>
  <c r="L28" i="1"/>
  <c r="M28" i="1"/>
  <c r="J28" i="1"/>
  <c r="P23" i="1" l="1"/>
  <c r="P50" i="1"/>
  <c r="V49" i="1" s="1"/>
  <c r="P38" i="1"/>
  <c r="E39" i="1"/>
  <c r="I28" i="1"/>
  <c r="P28" i="1" s="1"/>
  <c r="G39" i="1" l="1"/>
  <c r="P39" i="1"/>
  <c r="G37" i="1"/>
  <c r="G36" i="1"/>
  <c r="M36" i="1" l="1"/>
  <c r="J36" i="1"/>
  <c r="K36" i="1"/>
  <c r="H36" i="1"/>
  <c r="O36" i="1" s="1"/>
  <c r="L36" i="1"/>
  <c r="F9" i="1"/>
  <c r="G9" i="1" l="1"/>
  <c r="L9" i="1" s="1"/>
  <c r="I36" i="1"/>
  <c r="P36" i="1" s="1"/>
  <c r="V36" i="1" s="1"/>
  <c r="H9" i="1" l="1"/>
  <c r="O9" i="1" s="1"/>
  <c r="E12" i="1" s="1"/>
  <c r="P12" i="1" s="1"/>
  <c r="M9" i="1"/>
  <c r="J9" i="1"/>
  <c r="K9" i="1"/>
  <c r="I9" i="1" l="1"/>
  <c r="P9" i="1" s="1"/>
  <c r="S28" i="1"/>
  <c r="T28" i="1" s="1"/>
  <c r="V28" i="1" s="1"/>
  <c r="F21" i="1" l="1"/>
  <c r="G21" i="1" l="1"/>
  <c r="M21" i="1" s="1"/>
  <c r="S20" i="1"/>
  <c r="H21" i="1" l="1"/>
  <c r="O21" i="1" s="1"/>
  <c r="E25" i="1" s="1"/>
  <c r="P25" i="1" s="1"/>
  <c r="J21" i="1"/>
  <c r="K21" i="1"/>
  <c r="L21" i="1"/>
  <c r="I21" i="1" l="1"/>
  <c r="P21" i="1" s="1"/>
  <c r="V21" i="1" s="1"/>
  <c r="G8" i="1"/>
  <c r="S10" i="1"/>
  <c r="T10" i="1" s="1"/>
  <c r="S8" i="1"/>
  <c r="T8" i="1" s="1"/>
  <c r="H8" i="1" l="1"/>
  <c r="K8" i="1"/>
  <c r="J8" i="1"/>
  <c r="I8" i="1" l="1"/>
  <c r="M8" i="1" l="1"/>
  <c r="L8" i="1"/>
  <c r="O8" i="1" l="1"/>
  <c r="E10" i="1" l="1"/>
  <c r="P10" i="1" s="1"/>
  <c r="P8" i="1"/>
  <c r="V8" i="1" l="1"/>
</calcChain>
</file>

<file path=xl/sharedStrings.xml><?xml version="1.0" encoding="utf-8"?>
<sst xmlns="http://schemas.openxmlformats.org/spreadsheetml/2006/main" count="132" uniqueCount="110">
  <si>
    <t>PAYMENT NOTE No.</t>
  </si>
  <si>
    <t>UTR</t>
  </si>
  <si>
    <t>Amount with GST</t>
  </si>
  <si>
    <t>Hold the Amount because the Qty. is more then the DPR</t>
  </si>
  <si>
    <t xml:space="preserve">Siakandarpur Kalan Village Pipe laying work </t>
  </si>
  <si>
    <t>14-07-2023 NEFT/AXISP00406995902/RIUP23/1075/GOLDEN KEY CONS 145213.00</t>
  </si>
  <si>
    <t>30-06-2023 NEFT/AXISP004045214526/RIUP23/966/GOLDEN KEY CON 148500.00</t>
  </si>
  <si>
    <t>24-07-2023 NEFT/AXISP00408935256/RIUP23/1189/GOLDEN KEY CONS 198000.00</t>
  </si>
  <si>
    <t xml:space="preserve">Chokda Kalan Village Pipe laying work </t>
  </si>
  <si>
    <t>RIUP23/1886</t>
  </si>
  <si>
    <t>07-09-2023 NEFT/AXISP00422654405/RIUP23/1886/GOLDEN KEY CONSTRU/SBIN0000713 99000.00</t>
  </si>
  <si>
    <t>11-09-2023 NEFT/AXISP00423501808/RIUP23/1940/GOLDEN KEY CONSTRU/SBIN0000713 400000.00</t>
  </si>
  <si>
    <t>RIUP23/966</t>
  </si>
  <si>
    <t>RIUP23/1075</t>
  </si>
  <si>
    <t>RIUP23/1889</t>
  </si>
  <si>
    <t>RIUP23/1940</t>
  </si>
  <si>
    <t>28-08-2023 NEFT/AXISP00418773002/RIUP23/1715/GOLDEN KEY CONSTRU/SBIN0000713 1029212.00</t>
  </si>
  <si>
    <t>KAMALPUR Village Pipeline laying work</t>
  </si>
  <si>
    <t>RIUP23/716</t>
  </si>
  <si>
    <t>19-06-2023 NEFT/AXISP00399545673/RIUP23/716/GOLDEN KEY CONST 176363.00</t>
  </si>
  <si>
    <t>GST Release Note</t>
  </si>
  <si>
    <t xml:space="preserve">Mohidddipur Village Pipe laying work </t>
  </si>
  <si>
    <t>RIUP23/2826</t>
  </si>
  <si>
    <t>23-10-2023 NEFT/AXISP00436469169/RIUP23/2826/GOLDEN KEY CONSTRU/SBIN0000713 257258.00</t>
  </si>
  <si>
    <t>30-09-2023 NEFT/AXISP00429227610/RIUP23/2354/GOLDEN KEY CONSTRU 56582.00</t>
  </si>
  <si>
    <t>RIUP23/2354</t>
  </si>
  <si>
    <t>03-10-2023 NEFT/AXISP00430209791/RIUP23/2427/GOLDEN KEY CONSTRU/SBIN0000713 369423.00</t>
  </si>
  <si>
    <t>RIUP23/2427</t>
  </si>
  <si>
    <t>Muzahidpur Block Khatauli</t>
  </si>
  <si>
    <t>08-11-2023 NEFT/AXISP00442118550/RIUP23/3102/GOLDEN KEY CONSTRU/SBIN0000713 230684.00</t>
  </si>
  <si>
    <t>RIUP23/3102</t>
  </si>
  <si>
    <t>14-12-2023 NEFT/AXISP00452996799/RIUP23/3668/GOLDEN KEY CONSTRU/SBIN0000713 212520.00</t>
  </si>
  <si>
    <t>RIUP23/3103</t>
  </si>
  <si>
    <t>14-12-2023 NEFT/AXISP00452966709/RIUP23/3753/GOLDEN KEY CONSTRU/SBIN0000713 198000.00</t>
  </si>
  <si>
    <t>08-11-2023 NEFT/AXISP00442118549/RIUP23/3103/GOLDEN KEY CONSTRU/SBIN0000713 429675.00</t>
  </si>
  <si>
    <t>09-11-2023 NEFT/AXISP00442790292/RIUP23/3146/GOLDEN KEY CONSTRU/SBIN0000713 10578.00</t>
  </si>
  <si>
    <t>09-01-2024 NEFT/AXISP00460826662/RIUP23/4007/GOLDEN KEY CONSTRU/SBIN0000713 65800.00</t>
  </si>
  <si>
    <t>10-11-2023 NEFT/AXISP00443464531/RIUP23/3260/GOLDEN KEY CONSTRU/SBIN0000713 148500.00</t>
  </si>
  <si>
    <t>14-12-2023 NEFT/AXISP00452966710/RIUP23/3669/GOLDEN KEY CONSTRU/SBIN0000713 187197.00</t>
  </si>
  <si>
    <t>09-01-2024 NEFT/AXISP00460826661/RIUP23/4006/GOLDEN KEY CONSTRU/SBIN0000713 66922.00</t>
  </si>
  <si>
    <t>10-11-2023 NEFT/AXISP00443237227/RIUP23/3226/GOLDEN KEY CONSTRU/SBIN0000713 198000.00</t>
  </si>
  <si>
    <t>RIUP23/3226</t>
  </si>
  <si>
    <t>RIUP23/4006</t>
  </si>
  <si>
    <t>Golden Key Construction</t>
  </si>
  <si>
    <t>RIUP23/3669</t>
  </si>
  <si>
    <t>Advance Village Wise</t>
  </si>
  <si>
    <t>01-02-2024 NEFT/AXISP00467277209/RIUP23/4027/GOLDEN KEY CONSTRU/SBIN0000713 134377.00</t>
  </si>
  <si>
    <t>8 &amp; 11</t>
  </si>
  <si>
    <t>RIUP23/4027</t>
  </si>
  <si>
    <t>18-01-2024 NEFT/AXISP00463442553/RIUP23/4035/GOLDEN KEY CONSTRU/SBIN0000713 108596.00</t>
  </si>
  <si>
    <t>RIUP23/3753</t>
  </si>
  <si>
    <t>RIUP23/4035</t>
  </si>
  <si>
    <t>09-02-2024 NEFT/AXISP00469899335/RIUP23/4374/GOLDEN KEY CONSTRU/SBIN0000713 218136.00</t>
  </si>
  <si>
    <t>17-02-2024 NEFT/AXISP00472224389/RIUP23/4749/GOLDEN KEY CONSTRU/SBIN0000713 ₹ 2,97,000.00</t>
  </si>
  <si>
    <t>09-02-2024 NEFT/AXISP00469899336/RIUP23/4424/GOLDEN KEY CONSTRU/SBIN0000713 322414.00</t>
  </si>
  <si>
    <t>16-02-2024 NEFT/AXISP00471832018/RIUP23/4629/GOLDEN KEY CONSTRU/SBIN0000713 ₹ 98,512.00</t>
  </si>
  <si>
    <t>RIUP23/4629</t>
  </si>
  <si>
    <t>06-03-2024 NEFT/AXISP00477945202/RIUP23/4854/GOLDEN KEY CONSTRU/SBIN0000713 247154.00</t>
  </si>
  <si>
    <t>RIUP23/4854</t>
  </si>
  <si>
    <t>22-03-2024 NEFT/AXISP00483444822/RIUP23/4855/GOLDEN KEY CONSTRU/SBIN0000713 240229.00</t>
  </si>
  <si>
    <t>RIUP23/4374</t>
  </si>
  <si>
    <t>RIUP23/4855</t>
  </si>
  <si>
    <t>Payment difference by Rohit Sir Rs.27</t>
  </si>
  <si>
    <t>PIPE LINE WORK AT RASULPUR</t>
  </si>
  <si>
    <t>06-04-2024 NEFT/AXISP00489186662/RIUP23/4800/GOLDEN KEY CONSTRU/SBIN0000713 256817.00</t>
  </si>
  <si>
    <t>06-04-2024 NEFT/AXISP00489186671/RIUP23/5191/GOLDEN KEY CONSTRU/SBIN0000713 77403.00</t>
  </si>
  <si>
    <t>RIUP23/4800</t>
  </si>
  <si>
    <t>RIUP23/5191</t>
  </si>
  <si>
    <t>30-03-2024 NEFT/AXISP00486493284/RIUP23/4856/GOLDEN KEY CONSTRU/SBIN0000713 124998.00</t>
  </si>
  <si>
    <t>06-04-2024 NEFT/AXISP00489186683/RIUP23/5295/GOLDEN KEY CONSTRU/SBIN0000713 250054.00</t>
  </si>
  <si>
    <t>RIUP23/5295</t>
  </si>
  <si>
    <t>26-04-2024 NEFT/AXISP00493934368/RIUP24/005/GOLDEN KEY CONSTRU/SBIN0000713 500000.00</t>
  </si>
  <si>
    <t>26-04-2024 NEFT/AXISP00494052855/RIUP24/0179/GOLDEN KEY CONSTRU/SBIN0000713 81656.00</t>
  </si>
  <si>
    <t>26-04-2024 NEFT/AXISP00494052856/RIUP23/5123/GOLDEN KEY CONSTRU/SBIN0000713 23963.00</t>
  </si>
  <si>
    <t>14-06-2024 NEFT/AXISP00509460934/RIUP23/5124/GOLDEN KEY CONSTRU/SBIN0000713 132875.00</t>
  </si>
  <si>
    <t>14-06-2024 NEFT/AXISP00509460933/RIUP24/0863/GOLDEN KEY CONSTRU/SBIN0000713 133961.00</t>
  </si>
  <si>
    <t>03-08-2024 NEFT/AXISP00524511266/RIUP24/1093/GOLDEN KEY CONSTRU/SBIN0000713 236264.00</t>
  </si>
  <si>
    <t>KAMALPUR Village  Block - Shahpur Pipeline laying work</t>
  </si>
  <si>
    <t xml:space="preserve">Chokda Kalan Village  Block - Charthawala Pipe laying work </t>
  </si>
  <si>
    <t xml:space="preserve">Siakandarpur Kalan Village Block - Khatauli Pipe laying work </t>
  </si>
  <si>
    <t xml:space="preserve">Mohidddipur Block - Khatauli Village Pipe laying work </t>
  </si>
  <si>
    <t>29-08-2024 NEFT/AXISP00533195025/RIUP24/1576/GOLDEN KEY CONSTRU/SBIN0000713 99000.00</t>
  </si>
  <si>
    <t>29-08-2024 NEFT/AXISP00533195026/RIUP24/1577/GOLDEN KEY CONSTRU/SBIN0000713 99000.00</t>
  </si>
  <si>
    <t>29-08-2024 NEFT/AXISP00533195024/RIUP24/1575/GOLDEN KEY CONSTRU/SBIN0000713 99000.00</t>
  </si>
  <si>
    <t>29-08-2024 NEFT/AXISP00533195023/RIUP24/1574/GOLDEN KEY CONSTRU/SBIN0000713 198000.00</t>
  </si>
  <si>
    <t>17-09-2024 NEFT/AXISP00541203757/RIUP24/1796/GOLDEN KEY CONSTRU/SBIN0000713 178200.00</t>
  </si>
  <si>
    <t>Subcontractor:</t>
  </si>
  <si>
    <t>State:</t>
  </si>
  <si>
    <t>District:</t>
  </si>
  <si>
    <t>Block:</t>
  </si>
  <si>
    <t>PMC_No</t>
  </si>
  <si>
    <t>GST  Release Note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</si>
  <si>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</si>
  <si>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</si>
  <si>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</si>
  <si>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</si>
  <si>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</si>
  <si>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</si>
  <si>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</si>
  <si>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</si>
  <si>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</si>
  <si>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</si>
  <si>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</si>
  <si>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</si>
  <si>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</si>
  <si>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</si>
  <si>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</si>
  <si>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</si>
  <si>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>Uttar Pradesh</t>
  </si>
  <si>
    <t>Muzaffarnagar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</si>
</sst>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15" fontId="3" fillId="2" borderId="2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43" fontId="3" fillId="3" borderId="2" xfId="1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quotePrefix="1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4" fontId="3" fillId="2" borderId="2" xfId="1" applyNumberFormat="1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43" fontId="6" fillId="2" borderId="3" xfId="1" applyNumberFormat="1" applyFont="1" applyFill="1" applyBorder="1" applyAlignment="1">
      <alignment horizontal="center" vertical="center" wrapText="1"/>
    </xf>
    <xf numFmtId="43" fontId="5" fillId="2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3" borderId="5" xfId="0" applyFill="1" applyBorder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9" fontId="3" fillId="3" borderId="5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164" fontId="0" fillId="2" borderId="0" xfId="1" applyFont="1" applyFill="1" applyAlignment="1">
      <alignment vertical="center"/>
    </xf>
    <xf numFmtId="164" fontId="3" fillId="2" borderId="0" xfId="1" applyFont="1" applyFill="1" applyAlignment="1">
      <alignment vertical="center"/>
    </xf>
    <xf numFmtId="164" fontId="5" fillId="2" borderId="3" xfId="1" applyFont="1" applyFill="1" applyBorder="1" applyAlignment="1">
      <alignment horizontal="center" vertical="center" wrapText="1"/>
    </xf>
    <xf numFmtId="164" fontId="0" fillId="2" borderId="4" xfId="1" applyFont="1" applyFill="1" applyBorder="1" applyAlignment="1">
      <alignment vertical="center"/>
    </xf>
    <xf numFmtId="164" fontId="0" fillId="3" borderId="5" xfId="1" applyFont="1" applyFill="1" applyBorder="1" applyAlignment="1">
      <alignment vertical="center"/>
    </xf>
    <xf numFmtId="164" fontId="0" fillId="2" borderId="2" xfId="1" applyFont="1" applyFill="1" applyBorder="1" applyAlignment="1">
      <alignment vertical="center"/>
    </xf>
    <xf numFmtId="164" fontId="3" fillId="2" borderId="2" xfId="1" applyFont="1" applyFill="1" applyBorder="1" applyAlignment="1">
      <alignment vertical="center"/>
    </xf>
    <xf numFmtId="164" fontId="3" fillId="3" borderId="2" xfId="1" applyFont="1" applyFill="1" applyBorder="1" applyAlignment="1">
      <alignment vertical="center"/>
    </xf>
    <xf numFmtId="0" fontId="7" fillId="0" borderId="0" xfId="0" applyFont="1"/>
    <xf numFmtId="43" fontId="6" fillId="2" borderId="0" xfId="1" applyNumberFormat="1" applyFont="1" applyFill="1" applyBorder="1" applyAlignment="1">
      <alignment vertical="center"/>
    </xf>
    <xf numFmtId="0" fontId="7" fillId="2" borderId="3" xfId="0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68"/>
  <sheetViews>
    <sheetView tabSelected="1" zoomScale="115" zoomScaleNormal="115" workbookViewId="0">
      <pane ySplit="6" topLeftCell="A10" activePane="bottomLeft" state="frozen"/>
      <selection pane="bottomLeft" activeCell="D3" sqref="D3"/>
    </sheetView>
  </sheetViews>
  <sheetFormatPr defaultColWidth="9" defaultRowHeight="15" x14ac:dyDescent="0.25"/>
  <cols>
    <col min="1" max="1" width="8.5703125" style="2" customWidth="1"/>
    <col min="2" max="2" width="49.5703125" style="2" bestFit="1" customWidth="1"/>
    <col min="3" max="3" width="11.7109375" style="2" bestFit="1" customWidth="1"/>
    <col min="4" max="4" width="34.140625" style="2" bestFit="1" customWidth="1"/>
    <col min="5" max="5" width="13.5703125" style="2" customWidth="1"/>
    <col min="6" max="6" width="11.85546875" style="2" customWidth="1"/>
    <col min="7" max="7" width="15.42578125" style="2" bestFit="1" customWidth="1"/>
    <col min="8" max="8" width="12.85546875" style="12" customWidth="1"/>
    <col min="9" max="9" width="16.140625" style="12" bestFit="1" customWidth="1"/>
    <col min="10" max="10" width="12.5703125" style="2" customWidth="1"/>
    <col min="11" max="11" width="12.5703125" style="2" bestFit="1" customWidth="1"/>
    <col min="12" max="12" width="15" style="2" bestFit="1" customWidth="1"/>
    <col min="13" max="13" width="13.7109375" style="2" bestFit="1" customWidth="1"/>
    <col min="14" max="14" width="51.42578125" style="32" bestFit="1" customWidth="1"/>
    <col min="15" max="16" width="13.7109375" style="2" bestFit="1" customWidth="1"/>
    <col min="17" max="17" width="28.140625" style="2" bestFit="1" customWidth="1"/>
    <col min="18" max="18" width="12.85546875" style="2" bestFit="1" customWidth="1"/>
    <col min="19" max="19" width="35.140625" style="2" bestFit="1" customWidth="1"/>
    <col min="20" max="20" width="16.140625" style="2" bestFit="1" customWidth="1"/>
    <col min="21" max="21" width="94.85546875" style="2" bestFit="1" customWidth="1"/>
    <col min="22" max="22" width="33" style="2" bestFit="1" customWidth="1"/>
    <col min="23" max="16384" width="9" style="2"/>
  </cols>
  <sheetData>
    <row r="1" spans="1:102" x14ac:dyDescent="0.25">
      <c r="A1" s="40" t="s">
        <v>86</v>
      </c>
      <c r="B1" s="41" t="s">
        <v>43</v>
      </c>
      <c r="E1" s="3"/>
      <c r="F1" s="3"/>
      <c r="G1" s="3"/>
      <c r="H1" s="4"/>
      <c r="I1" s="4"/>
    </row>
    <row r="2" spans="1:102" ht="21" x14ac:dyDescent="0.25">
      <c r="A2" s="40" t="s">
        <v>87</v>
      </c>
      <c r="B2" t="s">
        <v>108</v>
      </c>
      <c r="C2" s="5"/>
      <c r="D2" s="5"/>
      <c r="G2" s="6"/>
      <c r="I2" s="6"/>
      <c r="J2" s="7"/>
      <c r="K2" s="7"/>
      <c r="L2" s="7"/>
      <c r="M2" s="7"/>
      <c r="N2" s="33"/>
      <c r="O2" s="7"/>
      <c r="P2" s="7"/>
      <c r="Q2" s="7"/>
      <c r="R2" s="7"/>
      <c r="S2" s="7"/>
    </row>
    <row r="3" spans="1:102" ht="21.75" thickBot="1" x14ac:dyDescent="0.3">
      <c r="A3" s="40" t="s">
        <v>88</v>
      </c>
      <c r="B3" t="s">
        <v>109</v>
      </c>
      <c r="C3" s="5"/>
      <c r="D3" s="5"/>
      <c r="G3" s="6"/>
      <c r="I3" s="6"/>
      <c r="J3" s="7"/>
      <c r="K3" s="7"/>
      <c r="L3" s="7"/>
      <c r="M3" s="7"/>
      <c r="N3" s="33"/>
      <c r="O3" s="7"/>
      <c r="P3" s="7"/>
      <c r="Q3" s="7"/>
      <c r="R3" s="7"/>
      <c r="S3" s="7"/>
    </row>
    <row r="4" spans="1:102" ht="15.75" thickBot="1" x14ac:dyDescent="0.3">
      <c r="A4" s="40" t="s">
        <v>89</v>
      </c>
      <c r="B4" t="s">
        <v>109</v>
      </c>
      <c r="C4" s="8"/>
      <c r="D4" s="8"/>
      <c r="E4" s="8"/>
      <c r="F4" s="7"/>
      <c r="G4" s="7"/>
      <c r="H4" s="9"/>
      <c r="I4" s="9"/>
      <c r="J4" s="7"/>
      <c r="K4" s="7"/>
      <c r="L4" s="7"/>
      <c r="M4" s="7"/>
      <c r="O4" s="7"/>
      <c r="Q4" s="7"/>
      <c r="R4" s="10"/>
      <c r="S4" s="10"/>
      <c r="T4" s="10"/>
      <c r="U4" s="10"/>
      <c r="V4" s="10"/>
    </row>
    <row r="5" spans="1:102" s="13" customFormat="1" ht="30" x14ac:dyDescent="0.25">
      <c r="A5" s="42" t="s">
        <v>90</v>
      </c>
      <c r="B5" s="24" t="s">
        <v>92</v>
      </c>
      <c r="C5" s="24" t="s">
        <v>93</v>
      </c>
      <c r="D5" s="24" t="s">
        <v>94</v>
      </c>
      <c r="E5" s="24" t="s">
        <v>95</v>
      </c>
      <c r="F5" s="24" t="s">
        <v>96</v>
      </c>
      <c r="G5" s="24" t="s">
        <v>97</v>
      </c>
      <c r="H5" s="25" t="s">
        <v>98</v>
      </c>
      <c r="I5" s="26" t="s">
        <v>2</v>
      </c>
      <c r="J5" s="24" t="s">
        <v>99</v>
      </c>
      <c r="K5" s="24" t="s">
        <v>100</v>
      </c>
      <c r="L5" s="24" t="s">
        <v>101</v>
      </c>
      <c r="M5" s="24" t="s">
        <v>102</v>
      </c>
      <c r="N5" s="34" t="s">
        <v>3</v>
      </c>
      <c r="O5" s="24" t="s">
        <v>103</v>
      </c>
      <c r="P5" s="24" t="s">
        <v>104</v>
      </c>
      <c r="Q5" s="24" t="s">
        <v>0</v>
      </c>
      <c r="R5" s="24" t="s">
        <v>105</v>
      </c>
      <c r="S5" s="24" t="s">
        <v>106</v>
      </c>
      <c r="T5" s="24" t="s">
        <v>107</v>
      </c>
      <c r="U5" s="24" t="s">
        <v>1</v>
      </c>
      <c r="V5" s="24" t="s">
        <v>45</v>
      </c>
    </row>
    <row r="6" spans="1:102" ht="15.75" thickBot="1" x14ac:dyDescent="0.3">
      <c r="A6" s="23"/>
      <c r="B6" s="22"/>
      <c r="C6" s="22"/>
      <c r="D6" s="22"/>
      <c r="E6" s="22"/>
      <c r="F6" s="22"/>
      <c r="G6" s="22"/>
      <c r="H6" s="31">
        <v>0.18</v>
      </c>
      <c r="I6" s="22"/>
      <c r="J6" s="31">
        <v>0.01</v>
      </c>
      <c r="K6" s="31">
        <v>0.05</v>
      </c>
      <c r="L6" s="31">
        <v>0.05</v>
      </c>
      <c r="M6" s="31">
        <v>0.1</v>
      </c>
      <c r="N6" s="35"/>
      <c r="O6" s="31">
        <v>0.18</v>
      </c>
      <c r="P6" s="22"/>
      <c r="Q6" s="22"/>
      <c r="R6" s="22"/>
      <c r="S6" s="31">
        <v>0.01</v>
      </c>
      <c r="T6" s="22"/>
      <c r="U6" s="22"/>
      <c r="V6" s="22"/>
    </row>
    <row r="7" spans="1:102" s="14" customFormat="1" x14ac:dyDescent="0.25">
      <c r="A7" s="28"/>
      <c r="B7" s="29"/>
      <c r="C7" s="29"/>
      <c r="D7" s="29"/>
      <c r="E7" s="29"/>
      <c r="F7" s="29"/>
      <c r="G7" s="29"/>
      <c r="H7" s="30"/>
      <c r="I7" s="29"/>
      <c r="J7" s="30"/>
      <c r="K7" s="30"/>
      <c r="L7" s="30"/>
      <c r="M7" s="30"/>
      <c r="N7" s="36"/>
      <c r="O7" s="30"/>
      <c r="P7" s="29"/>
      <c r="Q7" s="29"/>
      <c r="R7" s="29"/>
      <c r="S7" s="30"/>
      <c r="T7" s="29"/>
      <c r="U7" s="29"/>
      <c r="V7" s="29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</row>
    <row r="8" spans="1:102" x14ac:dyDescent="0.25">
      <c r="A8" s="18">
        <v>58095</v>
      </c>
      <c r="B8" s="16" t="s">
        <v>79</v>
      </c>
      <c r="C8" s="1">
        <v>45114</v>
      </c>
      <c r="D8" s="17">
        <v>2</v>
      </c>
      <c r="E8" s="11">
        <v>371788.38</v>
      </c>
      <c r="F8" s="11">
        <v>0</v>
      </c>
      <c r="G8" s="11">
        <f>ROUND(E8-F8,0)</f>
        <v>371788</v>
      </c>
      <c r="H8" s="11">
        <f>ROUND(G8*$H$6,0)</f>
        <v>66922</v>
      </c>
      <c r="I8" s="11">
        <f>G8+H8</f>
        <v>438710</v>
      </c>
      <c r="J8" s="11">
        <f>ROUND(G8*$J$6,0)</f>
        <v>3718</v>
      </c>
      <c r="K8" s="11">
        <f>ROUND(G8*$K$6,0)</f>
        <v>18589</v>
      </c>
      <c r="L8" s="11">
        <f>G8*$L$6</f>
        <v>18589.400000000001</v>
      </c>
      <c r="M8" s="11">
        <f>G8*$M$6</f>
        <v>37178.800000000003</v>
      </c>
      <c r="N8" s="37">
        <v>0</v>
      </c>
      <c r="O8" s="11">
        <f>H8</f>
        <v>66922</v>
      </c>
      <c r="P8" s="11">
        <f>ROUND(I8-SUM(J8:O8),0)</f>
        <v>293713</v>
      </c>
      <c r="Q8" s="11" t="s">
        <v>12</v>
      </c>
      <c r="R8" s="11">
        <v>150000</v>
      </c>
      <c r="S8" s="11">
        <f>R8*$S$6</f>
        <v>1500</v>
      </c>
      <c r="T8" s="11">
        <f>R8-S8</f>
        <v>148500</v>
      </c>
      <c r="U8" s="27" t="s">
        <v>6</v>
      </c>
      <c r="V8" s="11">
        <f>SUM(P8:P19)-SUM(T8:T19)</f>
        <v>-376173</v>
      </c>
    </row>
    <row r="9" spans="1:102" x14ac:dyDescent="0.25">
      <c r="A9" s="18">
        <v>58095</v>
      </c>
      <c r="B9" s="16" t="s">
        <v>4</v>
      </c>
      <c r="C9" s="1">
        <v>37865</v>
      </c>
      <c r="D9" s="17">
        <v>4</v>
      </c>
      <c r="E9" s="11">
        <v>1348063</v>
      </c>
      <c r="F9" s="11">
        <f>673*20</f>
        <v>13460</v>
      </c>
      <c r="G9" s="11">
        <f>E9-F9</f>
        <v>1334603</v>
      </c>
      <c r="H9" s="11">
        <f>ROUND(G9*$H$6,0)</f>
        <v>240229</v>
      </c>
      <c r="I9" s="11">
        <f>G9+H9</f>
        <v>1574832</v>
      </c>
      <c r="J9" s="11">
        <f>ROUND(G9*$J$6,0)</f>
        <v>13346</v>
      </c>
      <c r="K9" s="11">
        <f>ROUND(G9*$K$6,0)</f>
        <v>66730</v>
      </c>
      <c r="L9" s="11">
        <f>G9*$L$6</f>
        <v>66730.150000000009</v>
      </c>
      <c r="M9" s="11">
        <f>G9*$M$6</f>
        <v>133460.30000000002</v>
      </c>
      <c r="N9" s="37">
        <v>199079</v>
      </c>
      <c r="O9" s="11">
        <f>H9</f>
        <v>240229</v>
      </c>
      <c r="P9" s="11">
        <f>ROUND(I9-SUM(J9:O9),0)</f>
        <v>855258</v>
      </c>
      <c r="Q9" s="11" t="s">
        <v>13</v>
      </c>
      <c r="R9" s="11">
        <v>145213</v>
      </c>
      <c r="S9" s="11">
        <v>0</v>
      </c>
      <c r="T9" s="11">
        <f t="shared" ref="T9:T17" si="0">R9-S9</f>
        <v>145213</v>
      </c>
      <c r="U9" s="27" t="s">
        <v>5</v>
      </c>
      <c r="V9" s="11"/>
    </row>
    <row r="10" spans="1:102" x14ac:dyDescent="0.25">
      <c r="A10" s="18">
        <v>58095</v>
      </c>
      <c r="B10" s="16" t="s">
        <v>91</v>
      </c>
      <c r="C10" s="1"/>
      <c r="D10" s="19">
        <v>2</v>
      </c>
      <c r="E10" s="11">
        <f>O8</f>
        <v>66922</v>
      </c>
      <c r="F10" s="11"/>
      <c r="G10" s="11"/>
      <c r="H10" s="11"/>
      <c r="I10" s="11"/>
      <c r="J10" s="11"/>
      <c r="K10" s="11"/>
      <c r="L10" s="11"/>
      <c r="M10" s="11"/>
      <c r="N10" s="38"/>
      <c r="O10" s="11"/>
      <c r="P10" s="11">
        <f>E10</f>
        <v>66922</v>
      </c>
      <c r="Q10" s="11" t="s">
        <v>14</v>
      </c>
      <c r="R10" s="11">
        <v>200000</v>
      </c>
      <c r="S10" s="11">
        <f>R10*$S$6</f>
        <v>2000</v>
      </c>
      <c r="T10" s="11">
        <f t="shared" si="0"/>
        <v>198000</v>
      </c>
      <c r="U10" s="27" t="s">
        <v>7</v>
      </c>
      <c r="V10" s="11"/>
    </row>
    <row r="11" spans="1:102" x14ac:dyDescent="0.25">
      <c r="A11" s="18">
        <v>58095</v>
      </c>
      <c r="B11" s="16" t="s">
        <v>4</v>
      </c>
      <c r="C11" s="1">
        <v>45307</v>
      </c>
      <c r="D11" s="17">
        <v>17</v>
      </c>
      <c r="E11" s="11">
        <v>1522088</v>
      </c>
      <c r="F11" s="11">
        <v>132900</v>
      </c>
      <c r="G11" s="11">
        <f>E11-F11</f>
        <v>1389188</v>
      </c>
      <c r="H11" s="11">
        <f>ROUND(G11*$H$6,0)</f>
        <v>250054</v>
      </c>
      <c r="I11" s="11">
        <f>G11+H11</f>
        <v>1639242</v>
      </c>
      <c r="J11" s="11">
        <f>ROUND(G11*$J$6,0)</f>
        <v>13892</v>
      </c>
      <c r="K11" s="11">
        <f>ROUND(G11*$K$6,0)</f>
        <v>69459</v>
      </c>
      <c r="L11" s="11">
        <f>G11*10%</f>
        <v>138918.80000000002</v>
      </c>
      <c r="M11" s="11">
        <f>G11*$M$6</f>
        <v>138918.80000000002</v>
      </c>
      <c r="N11" s="37">
        <v>611836</v>
      </c>
      <c r="O11" s="11">
        <f>H11</f>
        <v>250054</v>
      </c>
      <c r="P11" s="11">
        <f>ROUND(I11-SUM(J11:O11),0)</f>
        <v>416163</v>
      </c>
      <c r="Q11" s="11" t="s">
        <v>15</v>
      </c>
      <c r="R11" s="11">
        <v>400000</v>
      </c>
      <c r="S11" s="11">
        <v>0</v>
      </c>
      <c r="T11" s="11">
        <f t="shared" si="0"/>
        <v>400000</v>
      </c>
      <c r="U11" s="27" t="s">
        <v>11</v>
      </c>
      <c r="V11" s="11"/>
    </row>
    <row r="12" spans="1:102" x14ac:dyDescent="0.25">
      <c r="A12" s="18">
        <v>58095</v>
      </c>
      <c r="B12" s="16" t="s">
        <v>91</v>
      </c>
      <c r="C12" s="1"/>
      <c r="D12" s="19">
        <v>4</v>
      </c>
      <c r="E12" s="11">
        <f>O9</f>
        <v>240229</v>
      </c>
      <c r="F12" s="11"/>
      <c r="G12" s="11"/>
      <c r="H12" s="11"/>
      <c r="I12" s="11"/>
      <c r="J12" s="11"/>
      <c r="K12" s="11"/>
      <c r="L12" s="11"/>
      <c r="M12" s="11"/>
      <c r="N12" s="38"/>
      <c r="O12" s="11"/>
      <c r="P12" s="11">
        <f>E12</f>
        <v>240229</v>
      </c>
      <c r="Q12" s="11" t="s">
        <v>22</v>
      </c>
      <c r="R12" s="11">
        <v>257258</v>
      </c>
      <c r="S12" s="11"/>
      <c r="T12" s="11">
        <f t="shared" si="0"/>
        <v>257258</v>
      </c>
      <c r="U12" s="27" t="s">
        <v>23</v>
      </c>
      <c r="V12" s="11"/>
    </row>
    <row r="13" spans="1:102" x14ac:dyDescent="0.25">
      <c r="A13" s="18">
        <v>58095</v>
      </c>
      <c r="B13" s="16" t="s">
        <v>91</v>
      </c>
      <c r="C13" s="20"/>
      <c r="D13" s="19">
        <v>17</v>
      </c>
      <c r="E13" s="11">
        <f>O11</f>
        <v>250054</v>
      </c>
      <c r="F13" s="11"/>
      <c r="G13" s="11"/>
      <c r="H13" s="11"/>
      <c r="I13" s="11"/>
      <c r="J13" s="11"/>
      <c r="K13" s="11"/>
      <c r="L13" s="11"/>
      <c r="M13" s="11"/>
      <c r="N13" s="38"/>
      <c r="O13" s="11"/>
      <c r="P13" s="11">
        <f>E13</f>
        <v>250054</v>
      </c>
      <c r="Q13" s="11" t="s">
        <v>41</v>
      </c>
      <c r="R13" s="11">
        <v>200000</v>
      </c>
      <c r="S13" s="11">
        <f>R13*$S$6</f>
        <v>2000</v>
      </c>
      <c r="T13" s="11">
        <f t="shared" si="0"/>
        <v>198000</v>
      </c>
      <c r="U13" s="27" t="s">
        <v>40</v>
      </c>
      <c r="V13" s="11"/>
    </row>
    <row r="14" spans="1:102" x14ac:dyDescent="0.25">
      <c r="A14" s="18"/>
      <c r="B14" s="16"/>
      <c r="C14" s="20"/>
      <c r="D14" s="19"/>
      <c r="E14" s="11"/>
      <c r="F14" s="11"/>
      <c r="G14" s="11"/>
      <c r="H14" s="11"/>
      <c r="I14" s="11"/>
      <c r="J14" s="11"/>
      <c r="K14" s="11"/>
      <c r="L14" s="11"/>
      <c r="M14" s="11"/>
      <c r="N14" s="38"/>
      <c r="O14" s="11"/>
      <c r="P14" s="11"/>
      <c r="Q14" s="11" t="s">
        <v>42</v>
      </c>
      <c r="R14" s="11">
        <v>66922</v>
      </c>
      <c r="S14" s="11"/>
      <c r="T14" s="11">
        <f>R14-S14</f>
        <v>66922</v>
      </c>
      <c r="U14" s="27" t="s">
        <v>39</v>
      </c>
      <c r="V14" s="11"/>
    </row>
    <row r="15" spans="1:102" x14ac:dyDescent="0.25">
      <c r="A15" s="18"/>
      <c r="B15" s="16"/>
      <c r="C15" s="20"/>
      <c r="D15" s="19"/>
      <c r="E15" s="11"/>
      <c r="F15" s="11"/>
      <c r="G15" s="11"/>
      <c r="H15" s="11"/>
      <c r="I15" s="11"/>
      <c r="J15" s="11"/>
      <c r="K15" s="11"/>
      <c r="L15" s="11"/>
      <c r="M15" s="11"/>
      <c r="N15" s="38"/>
      <c r="O15" s="11"/>
      <c r="P15" s="11"/>
      <c r="Q15" s="11" t="s">
        <v>60</v>
      </c>
      <c r="R15" s="11">
        <v>218136</v>
      </c>
      <c r="S15" s="11">
        <v>0</v>
      </c>
      <c r="T15" s="11">
        <f>R15-S15</f>
        <v>218136</v>
      </c>
      <c r="U15" s="27" t="s">
        <v>52</v>
      </c>
      <c r="V15" s="11" t="s">
        <v>62</v>
      </c>
    </row>
    <row r="16" spans="1:102" x14ac:dyDescent="0.25">
      <c r="A16" s="18"/>
      <c r="B16" s="16"/>
      <c r="C16" s="20"/>
      <c r="D16" s="19"/>
      <c r="E16" s="11"/>
      <c r="F16" s="11"/>
      <c r="G16" s="11"/>
      <c r="H16" s="11"/>
      <c r="I16" s="11"/>
      <c r="J16" s="11"/>
      <c r="K16" s="11"/>
      <c r="L16" s="11"/>
      <c r="M16" s="11"/>
      <c r="N16" s="38"/>
      <c r="O16" s="11"/>
      <c r="P16" s="11"/>
      <c r="Q16" s="11" t="s">
        <v>61</v>
      </c>
      <c r="R16" s="11">
        <v>240229</v>
      </c>
      <c r="S16" s="11"/>
      <c r="T16" s="11">
        <f t="shared" si="0"/>
        <v>240229</v>
      </c>
      <c r="U16" s="27" t="s">
        <v>59</v>
      </c>
      <c r="V16" s="11"/>
    </row>
    <row r="17" spans="1:102" x14ac:dyDescent="0.25">
      <c r="A17" s="18"/>
      <c r="B17" s="16"/>
      <c r="C17" s="20"/>
      <c r="D17" s="19"/>
      <c r="E17" s="11"/>
      <c r="F17" s="11"/>
      <c r="G17" s="11"/>
      <c r="H17" s="11"/>
      <c r="I17" s="11"/>
      <c r="J17" s="11"/>
      <c r="K17" s="11"/>
      <c r="L17" s="11"/>
      <c r="M17" s="11"/>
      <c r="N17" s="38"/>
      <c r="O17" s="11"/>
      <c r="P17" s="11"/>
      <c r="Q17" s="11" t="s">
        <v>70</v>
      </c>
      <c r="R17" s="11">
        <v>250054</v>
      </c>
      <c r="S17" s="11"/>
      <c r="T17" s="11">
        <f t="shared" si="0"/>
        <v>250054</v>
      </c>
      <c r="U17" s="27" t="s">
        <v>69</v>
      </c>
      <c r="V17" s="11"/>
    </row>
    <row r="18" spans="1:102" x14ac:dyDescent="0.25">
      <c r="A18" s="18"/>
      <c r="B18" s="16"/>
      <c r="C18" s="20"/>
      <c r="D18" s="19"/>
      <c r="E18" s="11"/>
      <c r="F18" s="11"/>
      <c r="G18" s="11"/>
      <c r="H18" s="11"/>
      <c r="I18" s="11"/>
      <c r="J18" s="11"/>
      <c r="K18" s="11"/>
      <c r="L18" s="11"/>
      <c r="M18" s="11"/>
      <c r="N18" s="38"/>
      <c r="O18" s="11"/>
      <c r="P18" s="11"/>
      <c r="Q18" s="11"/>
      <c r="R18" s="11"/>
      <c r="S18" s="11"/>
      <c r="T18" s="11">
        <v>198000</v>
      </c>
      <c r="U18" s="27" t="s">
        <v>84</v>
      </c>
      <c r="V18" s="11"/>
    </row>
    <row r="19" spans="1:102" x14ac:dyDescent="0.25">
      <c r="A19" s="18"/>
      <c r="B19" s="16"/>
      <c r="C19" s="20"/>
      <c r="D19" s="19"/>
      <c r="E19" s="11"/>
      <c r="F19" s="11"/>
      <c r="G19" s="11"/>
      <c r="H19" s="11"/>
      <c r="I19" s="11"/>
      <c r="J19" s="11"/>
      <c r="K19" s="11"/>
      <c r="L19" s="11"/>
      <c r="M19" s="11"/>
      <c r="N19" s="38"/>
      <c r="O19" s="11"/>
      <c r="P19" s="11"/>
      <c r="Q19" s="11"/>
      <c r="R19" s="11"/>
      <c r="S19" s="11"/>
      <c r="T19" s="11">
        <v>178200</v>
      </c>
      <c r="U19" s="27" t="s">
        <v>85</v>
      </c>
      <c r="V19" s="11"/>
    </row>
    <row r="20" spans="1:102" s="14" customFormat="1" x14ac:dyDescent="0.25">
      <c r="A20" s="21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39"/>
      <c r="O20" s="15"/>
      <c r="P20" s="15"/>
      <c r="Q20" s="15"/>
      <c r="R20" s="15"/>
      <c r="S20" s="15">
        <f>R20*$S$6</f>
        <v>0</v>
      </c>
      <c r="T20" s="15"/>
      <c r="U20" s="21"/>
      <c r="V20" s="15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</row>
    <row r="21" spans="1:102" x14ac:dyDescent="0.25">
      <c r="A21" s="18">
        <v>59006</v>
      </c>
      <c r="B21" s="16" t="s">
        <v>78</v>
      </c>
      <c r="C21" s="1">
        <v>45159</v>
      </c>
      <c r="D21" s="17">
        <v>4</v>
      </c>
      <c r="E21" s="11">
        <v>1382537.25</v>
      </c>
      <c r="F21" s="11">
        <f>473*20</f>
        <v>9460</v>
      </c>
      <c r="G21" s="11">
        <f>ROUND(E21-F21,0)</f>
        <v>1373077</v>
      </c>
      <c r="H21" s="11">
        <f>ROUND(G21*$H$6,0)</f>
        <v>247154</v>
      </c>
      <c r="I21" s="11">
        <f>G21+H21</f>
        <v>1620231</v>
      </c>
      <c r="J21" s="11">
        <f>ROUND(G21*$J$6,0)</f>
        <v>13731</v>
      </c>
      <c r="K21" s="11">
        <f>ROUND(G21*$K$6,0)</f>
        <v>68654</v>
      </c>
      <c r="L21" s="11">
        <f>G21*$L$6</f>
        <v>68653.850000000006</v>
      </c>
      <c r="M21" s="11">
        <f>G21*$M$6</f>
        <v>137307.70000000001</v>
      </c>
      <c r="N21" s="37">
        <v>55518</v>
      </c>
      <c r="O21" s="11">
        <f>H21</f>
        <v>247154</v>
      </c>
      <c r="P21" s="11">
        <f>ROUND(I21-SUM(J21:O21),0)</f>
        <v>1029212</v>
      </c>
      <c r="Q21" s="11" t="s">
        <v>15</v>
      </c>
      <c r="R21" s="11">
        <v>1029212</v>
      </c>
      <c r="S21" s="11">
        <v>0</v>
      </c>
      <c r="T21" s="11">
        <f t="shared" ref="T21:T25" si="1">R21-S21</f>
        <v>1029212</v>
      </c>
      <c r="U21" s="27" t="s">
        <v>16</v>
      </c>
      <c r="V21" s="11">
        <f>SUM(P21:P25)-SUM(T21:T26)</f>
        <v>-99001</v>
      </c>
    </row>
    <row r="22" spans="1:102" x14ac:dyDescent="0.25">
      <c r="A22" s="18">
        <v>59006</v>
      </c>
      <c r="B22" s="16" t="s">
        <v>8</v>
      </c>
      <c r="C22" s="1">
        <v>45228</v>
      </c>
      <c r="D22" s="17">
        <v>8</v>
      </c>
      <c r="E22" s="11">
        <v>445700</v>
      </c>
      <c r="F22" s="11">
        <v>7160</v>
      </c>
      <c r="G22" s="11">
        <f>ROUND(E22-F22,0)</f>
        <v>438540</v>
      </c>
      <c r="H22" s="11">
        <f>ROUND(G22*$H$6,0)</f>
        <v>78937</v>
      </c>
      <c r="I22" s="11">
        <f>G22+H22</f>
        <v>517477</v>
      </c>
      <c r="J22" s="11">
        <f>ROUND(G22*$J$6,0)</f>
        <v>4385</v>
      </c>
      <c r="K22" s="11">
        <f>ROUND(G22*$K$6,0)</f>
        <v>21927</v>
      </c>
      <c r="L22" s="11">
        <f>G22*10%</f>
        <v>43854</v>
      </c>
      <c r="M22" s="11">
        <f>G22*$M$6</f>
        <v>43854</v>
      </c>
      <c r="N22" s="37">
        <v>93837</v>
      </c>
      <c r="O22" s="11">
        <f>H22</f>
        <v>78937</v>
      </c>
      <c r="P22" s="11">
        <f>ROUND(I22-SUM(J22:O22),0)</f>
        <v>230683</v>
      </c>
      <c r="Q22" s="11" t="s">
        <v>30</v>
      </c>
      <c r="R22" s="11">
        <v>230684</v>
      </c>
      <c r="S22" s="11">
        <v>0</v>
      </c>
      <c r="T22" s="11">
        <f t="shared" si="1"/>
        <v>230684</v>
      </c>
      <c r="U22" s="27" t="s">
        <v>29</v>
      </c>
      <c r="V22" s="11"/>
    </row>
    <row r="23" spans="1:102" x14ac:dyDescent="0.25">
      <c r="A23" s="18">
        <v>59006</v>
      </c>
      <c r="B23" s="16" t="s">
        <v>8</v>
      </c>
      <c r="C23" s="1">
        <v>45240</v>
      </c>
      <c r="D23" s="17">
        <v>11</v>
      </c>
      <c r="E23" s="11">
        <v>308000</v>
      </c>
      <c r="F23" s="11">
        <v>0</v>
      </c>
      <c r="G23" s="11">
        <f>ROUND(E23-F23,0)</f>
        <v>308000</v>
      </c>
      <c r="H23" s="11">
        <f>ROUND(G23*$H$6,0)</f>
        <v>55440</v>
      </c>
      <c r="I23" s="11">
        <f>G23+H23</f>
        <v>363440</v>
      </c>
      <c r="J23" s="11">
        <f>ROUND(G23*$J$6,0)</f>
        <v>3080</v>
      </c>
      <c r="K23" s="11">
        <f>ROUND(G23*$K$6,0)</f>
        <v>15400</v>
      </c>
      <c r="L23" s="11">
        <f>G23*10%</f>
        <v>30800</v>
      </c>
      <c r="M23" s="11">
        <f>G23*$M$6</f>
        <v>30800</v>
      </c>
      <c r="N23" s="37">
        <v>15400</v>
      </c>
      <c r="O23" s="11">
        <f>H23</f>
        <v>55440</v>
      </c>
      <c r="P23" s="11">
        <f>ROUND(I23-SUM(J23:O23),0)</f>
        <v>212520</v>
      </c>
      <c r="Q23" s="11" t="s">
        <v>32</v>
      </c>
      <c r="R23" s="11">
        <v>212520</v>
      </c>
      <c r="S23" s="11"/>
      <c r="T23" s="11">
        <f t="shared" si="1"/>
        <v>212520</v>
      </c>
      <c r="U23" s="27" t="s">
        <v>31</v>
      </c>
      <c r="V23" s="11"/>
    </row>
    <row r="24" spans="1:102" x14ac:dyDescent="0.25">
      <c r="A24" s="18">
        <v>59006</v>
      </c>
      <c r="B24" s="11" t="s">
        <v>91</v>
      </c>
      <c r="C24" s="11"/>
      <c r="D24" s="11" t="s">
        <v>47</v>
      </c>
      <c r="E24" s="11">
        <f>O22+O23</f>
        <v>134377</v>
      </c>
      <c r="F24" s="11"/>
      <c r="G24" s="11"/>
      <c r="H24" s="11"/>
      <c r="I24" s="11"/>
      <c r="J24" s="11"/>
      <c r="K24" s="11"/>
      <c r="L24" s="11"/>
      <c r="M24" s="11"/>
      <c r="N24" s="38"/>
      <c r="O24" s="11"/>
      <c r="P24" s="11">
        <f>E24</f>
        <v>134377</v>
      </c>
      <c r="Q24" s="11" t="s">
        <v>48</v>
      </c>
      <c r="R24" s="11">
        <v>134377</v>
      </c>
      <c r="S24" s="11"/>
      <c r="T24" s="11">
        <f t="shared" si="1"/>
        <v>134377</v>
      </c>
      <c r="U24" s="27" t="s">
        <v>46</v>
      </c>
      <c r="V24" s="11"/>
    </row>
    <row r="25" spans="1:102" x14ac:dyDescent="0.25">
      <c r="A25" s="18">
        <v>59006</v>
      </c>
      <c r="B25" s="11" t="s">
        <v>91</v>
      </c>
      <c r="C25" s="11"/>
      <c r="D25" s="17">
        <v>4</v>
      </c>
      <c r="E25" s="11">
        <f>O21</f>
        <v>247154</v>
      </c>
      <c r="F25" s="11"/>
      <c r="G25" s="11"/>
      <c r="H25" s="11"/>
      <c r="I25" s="11"/>
      <c r="J25" s="11"/>
      <c r="K25" s="11"/>
      <c r="L25" s="11"/>
      <c r="M25" s="11"/>
      <c r="N25" s="38"/>
      <c r="O25" s="11"/>
      <c r="P25" s="11">
        <f>E25</f>
        <v>247154</v>
      </c>
      <c r="Q25" s="11" t="s">
        <v>58</v>
      </c>
      <c r="R25" s="11">
        <v>247154</v>
      </c>
      <c r="S25" s="11"/>
      <c r="T25" s="11">
        <f t="shared" si="1"/>
        <v>247154</v>
      </c>
      <c r="U25" s="27" t="s">
        <v>57</v>
      </c>
      <c r="V25" s="11"/>
    </row>
    <row r="26" spans="1:102" x14ac:dyDescent="0.25">
      <c r="A26" s="18"/>
      <c r="B26" s="11"/>
      <c r="C26" s="11"/>
      <c r="D26" s="17"/>
      <c r="E26" s="11"/>
      <c r="F26" s="11"/>
      <c r="G26" s="11"/>
      <c r="H26" s="11"/>
      <c r="I26" s="11"/>
      <c r="J26" s="11"/>
      <c r="K26" s="11"/>
      <c r="L26" s="11"/>
      <c r="M26" s="11"/>
      <c r="N26" s="38"/>
      <c r="O26" s="11"/>
      <c r="P26" s="11"/>
      <c r="Q26" s="11"/>
      <c r="R26" s="11"/>
      <c r="S26" s="11"/>
      <c r="T26" s="11">
        <v>99000</v>
      </c>
      <c r="U26" s="27" t="s">
        <v>83</v>
      </c>
      <c r="V26" s="11"/>
    </row>
    <row r="27" spans="1:102" s="14" customFormat="1" x14ac:dyDescent="0.25">
      <c r="A27" s="2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39"/>
      <c r="O27" s="15"/>
      <c r="P27" s="15"/>
      <c r="Q27" s="15"/>
      <c r="R27" s="15"/>
      <c r="S27" s="15"/>
      <c r="T27" s="15"/>
      <c r="U27" s="21"/>
      <c r="V27" s="15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</row>
    <row r="28" spans="1:102" x14ac:dyDescent="0.25">
      <c r="A28" s="18">
        <v>59117</v>
      </c>
      <c r="B28" s="16" t="s">
        <v>80</v>
      </c>
      <c r="C28" s="1">
        <v>45181</v>
      </c>
      <c r="D28" s="17">
        <v>6</v>
      </c>
      <c r="E28" s="11">
        <v>694432.5</v>
      </c>
      <c r="F28" s="11">
        <v>0</v>
      </c>
      <c r="G28" s="11">
        <f>ROUND(E28-F28,0)</f>
        <v>694433</v>
      </c>
      <c r="H28" s="11">
        <f>ROUND(G28*$H$6,0)</f>
        <v>124998</v>
      </c>
      <c r="I28" s="11">
        <f>G28+H28</f>
        <v>819431</v>
      </c>
      <c r="J28" s="11">
        <f>ROUND(G28*$J$6,0)</f>
        <v>6944</v>
      </c>
      <c r="K28" s="11">
        <f>ROUND(G28*$K$6,0)</f>
        <v>34722</v>
      </c>
      <c r="L28" s="11">
        <f>G28*$L$6</f>
        <v>34721.65</v>
      </c>
      <c r="M28" s="11">
        <f>G28*$M$6</f>
        <v>69443.3</v>
      </c>
      <c r="N28" s="37">
        <v>80179</v>
      </c>
      <c r="O28" s="11">
        <f>H28</f>
        <v>124998</v>
      </c>
      <c r="P28" s="11">
        <f>ROUND(I28-SUM(J28:O28),0)</f>
        <v>468423</v>
      </c>
      <c r="Q28" s="11" t="s">
        <v>9</v>
      </c>
      <c r="R28" s="11">
        <v>100000</v>
      </c>
      <c r="S28" s="11">
        <f>R28*$S$6</f>
        <v>1000</v>
      </c>
      <c r="T28" s="11">
        <f t="shared" ref="T28" si="2">R28-S28</f>
        <v>99000</v>
      </c>
      <c r="U28" s="27" t="s">
        <v>10</v>
      </c>
      <c r="V28" s="11">
        <f>SUM(P28:P32)-SUM(T28:T34)</f>
        <v>-197999</v>
      </c>
    </row>
    <row r="29" spans="1:102" x14ac:dyDescent="0.25">
      <c r="A29" s="18">
        <v>59117</v>
      </c>
      <c r="B29" s="16" t="s">
        <v>21</v>
      </c>
      <c r="C29" s="1">
        <v>45233</v>
      </c>
      <c r="D29" s="17">
        <v>10</v>
      </c>
      <c r="E29" s="11">
        <v>365555</v>
      </c>
      <c r="F29" s="11">
        <v>0</v>
      </c>
      <c r="G29" s="11">
        <f>ROUND(E29-F29,0)</f>
        <v>365555</v>
      </c>
      <c r="H29" s="11">
        <f>ROUND(G29*$H$6,0)</f>
        <v>65800</v>
      </c>
      <c r="I29" s="11">
        <f>G29+H29</f>
        <v>431355</v>
      </c>
      <c r="J29" s="11">
        <f>ROUND(G29*$J$6,0)</f>
        <v>3656</v>
      </c>
      <c r="K29" s="11">
        <f>ROUND(G29*$K$6,0)</f>
        <v>18278</v>
      </c>
      <c r="L29" s="11">
        <f>G29*10%</f>
        <v>36555.5</v>
      </c>
      <c r="M29" s="11">
        <f>G29*$M$6</f>
        <v>36555.5</v>
      </c>
      <c r="N29" s="37">
        <v>259931</v>
      </c>
      <c r="O29" s="11">
        <f>H29</f>
        <v>65800</v>
      </c>
      <c r="P29" s="11">
        <f>ROUND(I29-SUM(J29:O29),0)</f>
        <v>10579</v>
      </c>
      <c r="Q29" s="11" t="s">
        <v>27</v>
      </c>
      <c r="R29" s="11">
        <v>369423</v>
      </c>
      <c r="S29" s="11">
        <v>0</v>
      </c>
      <c r="T29" s="11">
        <f t="shared" ref="T29" si="3">R29-S29</f>
        <v>369423</v>
      </c>
      <c r="U29" s="27" t="s">
        <v>26</v>
      </c>
      <c r="V29" s="11"/>
    </row>
    <row r="30" spans="1:102" x14ac:dyDescent="0.25">
      <c r="A30" s="18">
        <v>59117</v>
      </c>
      <c r="B30" s="16" t="s">
        <v>91</v>
      </c>
      <c r="C30" s="1"/>
      <c r="D30" s="17">
        <v>10</v>
      </c>
      <c r="E30" s="11">
        <f>O29</f>
        <v>65800</v>
      </c>
      <c r="F30" s="11"/>
      <c r="G30" s="11"/>
      <c r="H30" s="11"/>
      <c r="I30" s="11"/>
      <c r="J30" s="11"/>
      <c r="K30" s="11"/>
      <c r="L30" s="11"/>
      <c r="M30" s="11"/>
      <c r="N30" s="37"/>
      <c r="O30" s="11"/>
      <c r="P30" s="11">
        <f>E30</f>
        <v>65800</v>
      </c>
      <c r="Q30" s="11"/>
      <c r="R30" s="11"/>
      <c r="S30" s="11"/>
      <c r="T30" s="11">
        <v>10578</v>
      </c>
      <c r="U30" s="27" t="s">
        <v>35</v>
      </c>
      <c r="V30" s="11"/>
    </row>
    <row r="31" spans="1:102" x14ac:dyDescent="0.25">
      <c r="A31" s="18">
        <v>59117</v>
      </c>
      <c r="B31" s="16" t="s">
        <v>91</v>
      </c>
      <c r="C31" s="1"/>
      <c r="D31" s="17">
        <v>6</v>
      </c>
      <c r="E31" s="11">
        <f>O28</f>
        <v>124998</v>
      </c>
      <c r="F31" s="11"/>
      <c r="G31" s="11"/>
      <c r="H31" s="11"/>
      <c r="I31" s="11"/>
      <c r="J31" s="11"/>
      <c r="K31" s="11"/>
      <c r="L31" s="11"/>
      <c r="M31" s="11"/>
      <c r="N31" s="37"/>
      <c r="O31" s="11"/>
      <c r="P31" s="11">
        <f>E31</f>
        <v>124998</v>
      </c>
      <c r="Q31" s="11"/>
      <c r="R31" s="11"/>
      <c r="S31" s="11"/>
      <c r="T31" s="11">
        <v>65800</v>
      </c>
      <c r="U31" s="27" t="s">
        <v>36</v>
      </c>
      <c r="V31" s="11"/>
    </row>
    <row r="32" spans="1:102" x14ac:dyDescent="0.25">
      <c r="A32" s="18"/>
      <c r="B32" s="16"/>
      <c r="C32" s="1"/>
      <c r="D32" s="17"/>
      <c r="E32" s="11"/>
      <c r="F32" s="11"/>
      <c r="G32" s="11"/>
      <c r="H32" s="11"/>
      <c r="I32" s="11"/>
      <c r="J32" s="11"/>
      <c r="K32" s="11"/>
      <c r="L32" s="11"/>
      <c r="M32" s="11"/>
      <c r="N32" s="37"/>
      <c r="O32" s="11"/>
      <c r="P32" s="11"/>
      <c r="Q32" s="11"/>
      <c r="R32" s="11"/>
      <c r="S32" s="11"/>
      <c r="T32" s="11">
        <v>124998</v>
      </c>
      <c r="U32" s="27" t="s">
        <v>68</v>
      </c>
      <c r="V32" s="11"/>
    </row>
    <row r="33" spans="1:102" x14ac:dyDescent="0.25">
      <c r="A33" s="18"/>
      <c r="B33" s="16"/>
      <c r="C33" s="1"/>
      <c r="D33" s="17"/>
      <c r="E33" s="11"/>
      <c r="F33" s="11"/>
      <c r="G33" s="11"/>
      <c r="H33" s="11"/>
      <c r="I33" s="11"/>
      <c r="J33" s="11"/>
      <c r="K33" s="11"/>
      <c r="L33" s="11"/>
      <c r="M33" s="11"/>
      <c r="N33" s="37"/>
      <c r="O33" s="11"/>
      <c r="P33" s="11"/>
      <c r="Q33" s="11"/>
      <c r="R33" s="11"/>
      <c r="S33" s="11"/>
      <c r="T33" s="11">
        <v>99000</v>
      </c>
      <c r="U33" s="27" t="s">
        <v>81</v>
      </c>
      <c r="V33" s="11"/>
    </row>
    <row r="34" spans="1:102" x14ac:dyDescent="0.25">
      <c r="A34" s="18"/>
      <c r="B34" s="16"/>
      <c r="C34" s="1"/>
      <c r="D34" s="17"/>
      <c r="E34" s="11"/>
      <c r="F34" s="11"/>
      <c r="G34" s="11"/>
      <c r="H34" s="11"/>
      <c r="I34" s="11"/>
      <c r="J34" s="11"/>
      <c r="K34" s="11"/>
      <c r="L34" s="11"/>
      <c r="M34" s="11"/>
      <c r="N34" s="37"/>
      <c r="O34" s="11"/>
      <c r="P34" s="11"/>
      <c r="Q34" s="11"/>
      <c r="R34" s="11"/>
      <c r="S34" s="11"/>
      <c r="T34" s="11">
        <v>99000</v>
      </c>
      <c r="U34" s="27" t="s">
        <v>82</v>
      </c>
      <c r="V34" s="11"/>
    </row>
    <row r="35" spans="1:102" s="14" customFormat="1" x14ac:dyDescent="0.25">
      <c r="A35" s="21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39"/>
      <c r="O35" s="15"/>
      <c r="P35" s="15"/>
      <c r="Q35" s="15"/>
      <c r="R35" s="15"/>
      <c r="S35" s="15"/>
      <c r="T35" s="15"/>
      <c r="U35" s="21"/>
      <c r="V35" s="15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</row>
    <row r="36" spans="1:102" x14ac:dyDescent="0.25">
      <c r="A36" s="18">
        <v>57729</v>
      </c>
      <c r="B36" s="16" t="s">
        <v>77</v>
      </c>
      <c r="C36" s="1">
        <v>45084</v>
      </c>
      <c r="D36" s="19">
        <v>1</v>
      </c>
      <c r="E36" s="11">
        <v>314345.18</v>
      </c>
      <c r="F36" s="11">
        <v>0</v>
      </c>
      <c r="G36" s="11">
        <f>ROUND(E36-F36,)</f>
        <v>314345</v>
      </c>
      <c r="H36" s="11">
        <f>ROUND(G36*18%,)</f>
        <v>56582</v>
      </c>
      <c r="I36" s="11">
        <f>ROUND(G36+H36,)</f>
        <v>370927</v>
      </c>
      <c r="J36" s="11">
        <f>ROUND(G36*$J$6,0)</f>
        <v>3143</v>
      </c>
      <c r="K36" s="11">
        <f>ROUND(G36*5%,)</f>
        <v>15717</v>
      </c>
      <c r="L36" s="11">
        <f>ROUND(G36*5%,)</f>
        <v>15717</v>
      </c>
      <c r="M36" s="11">
        <f>ROUND(G36*10%,)</f>
        <v>31435</v>
      </c>
      <c r="N36" s="38">
        <v>71970</v>
      </c>
      <c r="O36" s="11">
        <f>H36</f>
        <v>56582</v>
      </c>
      <c r="P36" s="11">
        <f>I36-SUM(J36:O36)</f>
        <v>176363</v>
      </c>
      <c r="Q36" s="11" t="s">
        <v>18</v>
      </c>
      <c r="R36" s="11">
        <v>176363</v>
      </c>
      <c r="S36" s="11">
        <v>0</v>
      </c>
      <c r="T36" s="11">
        <f t="shared" ref="T36:T37" si="4">R36-S36</f>
        <v>176363</v>
      </c>
      <c r="U36" s="27" t="s">
        <v>19</v>
      </c>
      <c r="V36" s="11">
        <f>SUM(P36:P47)-SUM(T36:T47)</f>
        <v>-99000</v>
      </c>
    </row>
    <row r="37" spans="1:102" x14ac:dyDescent="0.25">
      <c r="A37" s="18">
        <v>57729</v>
      </c>
      <c r="B37" s="16" t="s">
        <v>20</v>
      </c>
      <c r="C37" s="1">
        <v>45185</v>
      </c>
      <c r="D37" s="19">
        <v>1</v>
      </c>
      <c r="E37" s="11">
        <v>56582</v>
      </c>
      <c r="F37" s="11">
        <v>0</v>
      </c>
      <c r="G37" s="11">
        <f>E37-F37</f>
        <v>56582</v>
      </c>
      <c r="H37" s="11"/>
      <c r="I37" s="11"/>
      <c r="J37" s="11"/>
      <c r="K37" s="11"/>
      <c r="L37" s="11"/>
      <c r="M37" s="11"/>
      <c r="N37" s="38"/>
      <c r="O37" s="11"/>
      <c r="P37" s="11">
        <f>E37</f>
        <v>56582</v>
      </c>
      <c r="Q37" s="11" t="s">
        <v>25</v>
      </c>
      <c r="R37" s="11">
        <v>56582</v>
      </c>
      <c r="S37" s="11">
        <v>0</v>
      </c>
      <c r="T37" s="11">
        <f t="shared" si="4"/>
        <v>56582</v>
      </c>
      <c r="U37" s="27" t="s">
        <v>24</v>
      </c>
      <c r="V37" s="11"/>
    </row>
    <row r="38" spans="1:102" x14ac:dyDescent="0.25">
      <c r="A38" s="18">
        <v>57729</v>
      </c>
      <c r="B38" s="16" t="s">
        <v>17</v>
      </c>
      <c r="C38" s="1">
        <v>45084</v>
      </c>
      <c r="D38" s="19">
        <v>7</v>
      </c>
      <c r="E38" s="11">
        <v>615768</v>
      </c>
      <c r="F38" s="11">
        <v>12460</v>
      </c>
      <c r="G38" s="11">
        <f>ROUND(E38-F38,)</f>
        <v>603308</v>
      </c>
      <c r="H38" s="11">
        <f>ROUND(G38*18%,)</f>
        <v>108595</v>
      </c>
      <c r="I38" s="11">
        <f>ROUND(G38+H38,)</f>
        <v>711903</v>
      </c>
      <c r="J38" s="11">
        <f>ROUND(G38*$J$6,0)</f>
        <v>6033</v>
      </c>
      <c r="K38" s="11">
        <f>ROUND(G38*5%,)</f>
        <v>30165</v>
      </c>
      <c r="L38" s="11">
        <f>ROUND(G38*10%,)</f>
        <v>60331</v>
      </c>
      <c r="M38" s="11">
        <f>ROUND(G38*10%,)</f>
        <v>60331</v>
      </c>
      <c r="N38" s="38">
        <v>16774</v>
      </c>
      <c r="O38" s="11">
        <f>H38</f>
        <v>108595</v>
      </c>
      <c r="P38" s="11">
        <f>I38-SUM(J38:O38)</f>
        <v>429674</v>
      </c>
      <c r="Q38" s="11" t="s">
        <v>32</v>
      </c>
      <c r="R38" s="11">
        <v>56583</v>
      </c>
      <c r="S38" s="11"/>
      <c r="T38" s="11">
        <v>429675</v>
      </c>
      <c r="U38" s="27" t="s">
        <v>34</v>
      </c>
      <c r="V38" s="11"/>
    </row>
    <row r="39" spans="1:102" x14ac:dyDescent="0.25">
      <c r="A39" s="18">
        <v>57729</v>
      </c>
      <c r="B39" s="16" t="s">
        <v>20</v>
      </c>
      <c r="C39" s="1"/>
      <c r="D39" s="19">
        <v>7</v>
      </c>
      <c r="E39" s="11">
        <f>O38</f>
        <v>108595</v>
      </c>
      <c r="F39" s="11">
        <v>0</v>
      </c>
      <c r="G39" s="11">
        <f>E39-F39</f>
        <v>108595</v>
      </c>
      <c r="H39" s="11"/>
      <c r="I39" s="11"/>
      <c r="J39" s="11"/>
      <c r="K39" s="11"/>
      <c r="L39" s="11"/>
      <c r="M39" s="11"/>
      <c r="N39" s="38"/>
      <c r="O39" s="11"/>
      <c r="P39" s="11">
        <f>E39</f>
        <v>108595</v>
      </c>
      <c r="Q39" s="11" t="s">
        <v>50</v>
      </c>
      <c r="R39" s="11">
        <v>56584</v>
      </c>
      <c r="S39" s="11"/>
      <c r="T39" s="11">
        <v>198000</v>
      </c>
      <c r="U39" s="27" t="s">
        <v>33</v>
      </c>
      <c r="V39" s="11"/>
    </row>
    <row r="40" spans="1:102" x14ac:dyDescent="0.25">
      <c r="A40" s="18">
        <v>57729</v>
      </c>
      <c r="B40" s="16" t="s">
        <v>17</v>
      </c>
      <c r="C40" s="1">
        <v>45279</v>
      </c>
      <c r="D40" s="19">
        <v>12</v>
      </c>
      <c r="E40" s="11">
        <v>813194</v>
      </c>
      <c r="F40" s="11">
        <v>75000</v>
      </c>
      <c r="G40" s="11">
        <f>ROUND(E40-F40,)</f>
        <v>738194</v>
      </c>
      <c r="H40" s="11">
        <f>ROUND(G40*18%,)</f>
        <v>132875</v>
      </c>
      <c r="I40" s="11">
        <f>ROUND(G40+H40,)</f>
        <v>871069</v>
      </c>
      <c r="J40" s="11">
        <f>ROUND(G40*$J$6,0)</f>
        <v>7382</v>
      </c>
      <c r="K40" s="11">
        <f>ROUND(G40*5%,)</f>
        <v>36910</v>
      </c>
      <c r="L40" s="11">
        <f>ROUND(G40*10%,)</f>
        <v>73819</v>
      </c>
      <c r="M40" s="11">
        <f>ROUND(G40*10%,)</f>
        <v>73819</v>
      </c>
      <c r="N40" s="38">
        <v>25850</v>
      </c>
      <c r="O40" s="11">
        <f>H40</f>
        <v>132875</v>
      </c>
      <c r="P40" s="11">
        <f>I40-SUM(J40:O40)</f>
        <v>520414</v>
      </c>
      <c r="Q40" s="11" t="s">
        <v>51</v>
      </c>
      <c r="R40" s="11">
        <v>56585</v>
      </c>
      <c r="S40" s="11"/>
      <c r="T40" s="11">
        <v>108596</v>
      </c>
      <c r="U40" s="27" t="s">
        <v>49</v>
      </c>
      <c r="V40" s="11"/>
    </row>
    <row r="41" spans="1:102" x14ac:dyDescent="0.25">
      <c r="A41" s="18">
        <v>57729</v>
      </c>
      <c r="B41" s="16" t="s">
        <v>17</v>
      </c>
      <c r="C41" s="1">
        <v>45369</v>
      </c>
      <c r="D41" s="19">
        <v>20</v>
      </c>
      <c r="E41" s="11">
        <v>1312575</v>
      </c>
      <c r="F41" s="11">
        <v>0</v>
      </c>
      <c r="G41" s="11">
        <f>ROUND(E41-F41,)</f>
        <v>1312575</v>
      </c>
      <c r="H41" s="11">
        <f>ROUND(G41*18%,)</f>
        <v>236264</v>
      </c>
      <c r="I41" s="11">
        <f>ROUND(G41+H41,)</f>
        <v>1548839</v>
      </c>
      <c r="J41" s="11">
        <f>ROUND(G41*$J$6,0)</f>
        <v>13126</v>
      </c>
      <c r="K41" s="11">
        <f>ROUND(G41*5%,)</f>
        <v>65629</v>
      </c>
      <c r="L41" s="11">
        <f>ROUND(G41*10%,)</f>
        <v>131258</v>
      </c>
      <c r="M41" s="11">
        <f>ROUND(G41*10%,)</f>
        <v>131258</v>
      </c>
      <c r="N41" s="38">
        <v>40343</v>
      </c>
      <c r="O41" s="11">
        <f>H41</f>
        <v>236264</v>
      </c>
      <c r="P41" s="11">
        <f>I41-SUM(J41:O41)</f>
        <v>930961</v>
      </c>
      <c r="Q41" s="11"/>
      <c r="R41" s="11"/>
      <c r="S41" s="11"/>
      <c r="T41" s="11">
        <v>322414</v>
      </c>
      <c r="U41" s="27" t="s">
        <v>54</v>
      </c>
      <c r="V41" s="11"/>
    </row>
    <row r="42" spans="1:102" x14ac:dyDescent="0.25">
      <c r="A42" s="18">
        <v>57729</v>
      </c>
      <c r="B42" s="16" t="s">
        <v>20</v>
      </c>
      <c r="C42" s="1"/>
      <c r="D42" s="19">
        <v>12</v>
      </c>
      <c r="E42" s="11">
        <f>O40</f>
        <v>132875</v>
      </c>
      <c r="F42" s="11"/>
      <c r="G42" s="11"/>
      <c r="H42" s="11"/>
      <c r="I42" s="11"/>
      <c r="J42" s="11"/>
      <c r="K42" s="11"/>
      <c r="L42" s="11"/>
      <c r="M42" s="11"/>
      <c r="N42" s="38"/>
      <c r="O42" s="11"/>
      <c r="P42" s="11">
        <f>E42</f>
        <v>132875</v>
      </c>
      <c r="Q42" s="11"/>
      <c r="R42" s="11"/>
      <c r="S42" s="11"/>
      <c r="T42" s="11">
        <v>297000</v>
      </c>
      <c r="U42" s="27" t="s">
        <v>53</v>
      </c>
      <c r="V42" s="11"/>
    </row>
    <row r="43" spans="1:102" x14ac:dyDescent="0.25">
      <c r="A43" s="18">
        <v>57729</v>
      </c>
      <c r="B43" s="16" t="s">
        <v>91</v>
      </c>
      <c r="C43" s="1"/>
      <c r="D43" s="19">
        <v>20</v>
      </c>
      <c r="E43" s="11">
        <f>O41</f>
        <v>236264</v>
      </c>
      <c r="F43" s="11"/>
      <c r="G43" s="11"/>
      <c r="H43" s="11"/>
      <c r="I43" s="11"/>
      <c r="J43" s="11"/>
      <c r="K43" s="11"/>
      <c r="L43" s="11"/>
      <c r="M43" s="11"/>
      <c r="N43" s="38"/>
      <c r="O43" s="11"/>
      <c r="P43" s="11">
        <f>E43</f>
        <v>236264</v>
      </c>
      <c r="Q43" s="11"/>
      <c r="R43" s="11"/>
      <c r="S43" s="11"/>
      <c r="T43" s="11">
        <v>500000</v>
      </c>
      <c r="U43" s="27" t="s">
        <v>71</v>
      </c>
      <c r="V43" s="11"/>
    </row>
    <row r="44" spans="1:102" x14ac:dyDescent="0.25">
      <c r="A44" s="18"/>
      <c r="B44" s="16"/>
      <c r="C44" s="1"/>
      <c r="D44" s="19"/>
      <c r="E44" s="11"/>
      <c r="F44" s="11"/>
      <c r="G44" s="11"/>
      <c r="H44" s="11"/>
      <c r="I44" s="11"/>
      <c r="J44" s="11"/>
      <c r="K44" s="11"/>
      <c r="L44" s="11"/>
      <c r="M44" s="11"/>
      <c r="N44" s="38"/>
      <c r="O44" s="11"/>
      <c r="P44" s="11"/>
      <c r="Q44" s="11"/>
      <c r="R44" s="11"/>
      <c r="S44" s="11"/>
      <c r="T44" s="11">
        <v>132875</v>
      </c>
      <c r="U44" s="27" t="s">
        <v>74</v>
      </c>
      <c r="V44" s="11"/>
    </row>
    <row r="45" spans="1:102" x14ac:dyDescent="0.25">
      <c r="A45" s="18"/>
      <c r="B45" s="16"/>
      <c r="C45" s="1"/>
      <c r="D45" s="19"/>
      <c r="E45" s="11"/>
      <c r="F45" s="11"/>
      <c r="G45" s="11"/>
      <c r="H45" s="11"/>
      <c r="I45" s="11"/>
      <c r="J45" s="11"/>
      <c r="K45" s="11"/>
      <c r="L45" s="11"/>
      <c r="M45" s="11"/>
      <c r="N45" s="38"/>
      <c r="O45" s="11"/>
      <c r="P45" s="11"/>
      <c r="Q45" s="11"/>
      <c r="R45" s="11"/>
      <c r="S45" s="11"/>
      <c r="T45" s="11">
        <v>133961</v>
      </c>
      <c r="U45" s="27" t="s">
        <v>75</v>
      </c>
      <c r="V45" s="11"/>
    </row>
    <row r="46" spans="1:102" x14ac:dyDescent="0.25">
      <c r="A46" s="18"/>
      <c r="B46" s="16"/>
      <c r="C46" s="1"/>
      <c r="D46" s="19"/>
      <c r="E46" s="11"/>
      <c r="F46" s="11"/>
      <c r="G46" s="11"/>
      <c r="H46" s="11"/>
      <c r="I46" s="11"/>
      <c r="J46" s="11"/>
      <c r="K46" s="11"/>
      <c r="L46" s="11"/>
      <c r="M46" s="11"/>
      <c r="N46" s="38"/>
      <c r="O46" s="11"/>
      <c r="P46" s="11"/>
      <c r="Q46" s="11"/>
      <c r="R46" s="11"/>
      <c r="S46" s="11"/>
      <c r="T46" s="11">
        <v>236262</v>
      </c>
      <c r="U46" s="27" t="s">
        <v>76</v>
      </c>
      <c r="V46" s="11"/>
    </row>
    <row r="47" spans="1:102" x14ac:dyDescent="0.25">
      <c r="A47" s="18"/>
      <c r="B47" s="16"/>
      <c r="C47" s="1"/>
      <c r="D47" s="19"/>
      <c r="E47" s="11"/>
      <c r="F47" s="11"/>
      <c r="G47" s="11"/>
      <c r="H47" s="11"/>
      <c r="I47" s="11"/>
      <c r="J47" s="11"/>
      <c r="K47" s="11"/>
      <c r="L47" s="11"/>
      <c r="M47" s="11"/>
      <c r="N47" s="38"/>
      <c r="O47" s="11"/>
      <c r="P47" s="11"/>
      <c r="Q47" s="11"/>
      <c r="R47" s="11"/>
      <c r="S47" s="11"/>
      <c r="T47" s="11">
        <v>99000</v>
      </c>
      <c r="U47" s="27" t="s">
        <v>82</v>
      </c>
      <c r="V47" s="11"/>
    </row>
    <row r="48" spans="1:102" x14ac:dyDescent="0.25">
      <c r="A48" s="21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39"/>
      <c r="O48" s="15"/>
      <c r="P48" s="15"/>
      <c r="Q48" s="15"/>
      <c r="R48" s="15"/>
      <c r="S48" s="15"/>
      <c r="T48" s="15"/>
      <c r="U48" s="21"/>
      <c r="V48" s="15"/>
    </row>
    <row r="49" spans="1:22" x14ac:dyDescent="0.25">
      <c r="A49" s="18">
        <v>60099</v>
      </c>
      <c r="B49" s="16" t="s">
        <v>28</v>
      </c>
      <c r="C49" s="1">
        <v>45259</v>
      </c>
      <c r="D49" s="19">
        <v>9</v>
      </c>
      <c r="E49" s="11">
        <v>461645</v>
      </c>
      <c r="F49" s="11">
        <v>8000</v>
      </c>
      <c r="G49" s="11">
        <f>ROUND(E49-F49,)</f>
        <v>453645</v>
      </c>
      <c r="H49" s="11">
        <f>ROUND(G49*18%,)</f>
        <v>81656</v>
      </c>
      <c r="I49" s="11">
        <f>ROUND(G49+H49,)</f>
        <v>535301</v>
      </c>
      <c r="J49" s="11">
        <f>G49*1%</f>
        <v>4536.45</v>
      </c>
      <c r="K49" s="11">
        <f>ROUND(G49*5%,)</f>
        <v>22682</v>
      </c>
      <c r="L49" s="11">
        <f>G49*10%</f>
        <v>45364.5</v>
      </c>
      <c r="M49" s="11">
        <f>ROUND(G49*10%,)</f>
        <v>45365</v>
      </c>
      <c r="N49" s="38">
        <v>0</v>
      </c>
      <c r="O49" s="11">
        <f>H49</f>
        <v>81656</v>
      </c>
      <c r="P49" s="11">
        <f>I49-SUM(J49:O49)</f>
        <v>335697.05</v>
      </c>
      <c r="Q49" s="11" t="s">
        <v>18</v>
      </c>
      <c r="R49" s="11">
        <v>150000</v>
      </c>
      <c r="S49" s="11">
        <v>0</v>
      </c>
      <c r="T49" s="11">
        <v>148500</v>
      </c>
      <c r="U49" s="27" t="s">
        <v>37</v>
      </c>
      <c r="V49" s="11">
        <f>SUM(P49:P53)-SUM(T49:T53)</f>
        <v>0.30000000004656613</v>
      </c>
    </row>
    <row r="50" spans="1:22" x14ac:dyDescent="0.25">
      <c r="A50" s="18"/>
      <c r="B50" s="16" t="s">
        <v>28</v>
      </c>
      <c r="C50" s="1">
        <v>45315</v>
      </c>
      <c r="D50" s="19">
        <v>18</v>
      </c>
      <c r="E50" s="11">
        <v>133125</v>
      </c>
      <c r="F50" s="11">
        <v>0</v>
      </c>
      <c r="G50" s="11">
        <f>ROUND(E50-F50,)</f>
        <v>133125</v>
      </c>
      <c r="H50" s="11">
        <f>ROUND(G50*18%,)</f>
        <v>23963</v>
      </c>
      <c r="I50" s="11">
        <f>ROUND(G50+H50,)</f>
        <v>157088</v>
      </c>
      <c r="J50" s="11">
        <f>G50*1%</f>
        <v>1331.25</v>
      </c>
      <c r="K50" s="11">
        <f>ROUND(G50*5%,)</f>
        <v>6656</v>
      </c>
      <c r="L50" s="11">
        <f>G50*10%</f>
        <v>13312.5</v>
      </c>
      <c r="M50" s="11">
        <f>ROUND(G50*10%,)</f>
        <v>13313</v>
      </c>
      <c r="N50" s="38">
        <v>0</v>
      </c>
      <c r="O50" s="11">
        <f>H50</f>
        <v>23963</v>
      </c>
      <c r="P50" s="11">
        <f>I50-SUM(J50:O50)</f>
        <v>98512.25</v>
      </c>
      <c r="Q50" s="11" t="s">
        <v>44</v>
      </c>
      <c r="R50" s="11">
        <v>187197</v>
      </c>
      <c r="S50" s="11"/>
      <c r="T50" s="11">
        <v>187197</v>
      </c>
      <c r="U50" s="27" t="s">
        <v>38</v>
      </c>
      <c r="V50" s="11"/>
    </row>
    <row r="51" spans="1:22" x14ac:dyDescent="0.25">
      <c r="A51" s="18"/>
      <c r="B51" s="16" t="s">
        <v>20</v>
      </c>
      <c r="C51" s="1"/>
      <c r="D51" s="19">
        <v>9</v>
      </c>
      <c r="E51" s="11">
        <f>O49</f>
        <v>81656</v>
      </c>
      <c r="F51" s="11"/>
      <c r="G51" s="11"/>
      <c r="H51" s="11"/>
      <c r="I51" s="11"/>
      <c r="J51" s="11"/>
      <c r="K51" s="11"/>
      <c r="L51" s="11"/>
      <c r="M51" s="11"/>
      <c r="N51" s="38"/>
      <c r="O51" s="11"/>
      <c r="P51" s="11">
        <f>E51</f>
        <v>81656</v>
      </c>
      <c r="Q51" s="11" t="s">
        <v>56</v>
      </c>
      <c r="R51" s="11">
        <v>98512</v>
      </c>
      <c r="S51" s="11"/>
      <c r="T51" s="11">
        <v>98512</v>
      </c>
      <c r="U51" s="27" t="s">
        <v>55</v>
      </c>
      <c r="V51" s="11"/>
    </row>
    <row r="52" spans="1:22" x14ac:dyDescent="0.25">
      <c r="A52" s="18"/>
      <c r="B52" s="16" t="s">
        <v>20</v>
      </c>
      <c r="C52" s="1"/>
      <c r="D52" s="19">
        <v>18</v>
      </c>
      <c r="E52" s="11">
        <f>O50</f>
        <v>23963</v>
      </c>
      <c r="F52" s="11"/>
      <c r="G52" s="11"/>
      <c r="H52" s="11"/>
      <c r="I52" s="11"/>
      <c r="J52" s="11"/>
      <c r="K52" s="11"/>
      <c r="L52" s="11"/>
      <c r="M52" s="11"/>
      <c r="N52" s="38"/>
      <c r="O52" s="11"/>
      <c r="P52" s="11">
        <f>E52</f>
        <v>23963</v>
      </c>
      <c r="Q52" s="11"/>
      <c r="R52" s="11"/>
      <c r="S52" s="11"/>
      <c r="T52" s="11">
        <v>81656</v>
      </c>
      <c r="U52" s="27" t="s">
        <v>72</v>
      </c>
      <c r="V52" s="11"/>
    </row>
    <row r="53" spans="1:22" x14ac:dyDescent="0.25">
      <c r="A53" s="18"/>
      <c r="B53" s="16"/>
      <c r="C53" s="1"/>
      <c r="D53" s="19"/>
      <c r="E53" s="11"/>
      <c r="F53" s="11"/>
      <c r="G53" s="11"/>
      <c r="H53" s="11"/>
      <c r="I53" s="11"/>
      <c r="J53" s="11"/>
      <c r="K53" s="11"/>
      <c r="L53" s="11"/>
      <c r="M53" s="11"/>
      <c r="N53" s="38"/>
      <c r="O53" s="11"/>
      <c r="P53" s="11">
        <f>E53</f>
        <v>0</v>
      </c>
      <c r="Q53" s="11"/>
      <c r="R53" s="11"/>
      <c r="S53" s="11"/>
      <c r="T53" s="11">
        <v>23963</v>
      </c>
      <c r="U53" s="27" t="s">
        <v>73</v>
      </c>
      <c r="V53" s="11"/>
    </row>
    <row r="54" spans="1:22" x14ac:dyDescent="0.25">
      <c r="A54" s="21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9"/>
      <c r="O54" s="15"/>
      <c r="P54" s="15"/>
      <c r="Q54" s="15"/>
      <c r="R54" s="15"/>
      <c r="S54" s="15"/>
      <c r="T54" s="15"/>
      <c r="U54" s="21"/>
      <c r="V54" s="15"/>
    </row>
    <row r="55" spans="1:22" x14ac:dyDescent="0.25">
      <c r="A55" s="18">
        <v>62273</v>
      </c>
      <c r="B55" s="16" t="s">
        <v>63</v>
      </c>
      <c r="C55" s="1">
        <v>45330</v>
      </c>
      <c r="D55" s="19">
        <v>19</v>
      </c>
      <c r="E55" s="11">
        <v>434014</v>
      </c>
      <c r="F55" s="11">
        <v>4000</v>
      </c>
      <c r="G55" s="11">
        <f>ROUND(E55-F55,)</f>
        <v>430014</v>
      </c>
      <c r="H55" s="11">
        <f>ROUND(G55*18%,)</f>
        <v>77403</v>
      </c>
      <c r="I55" s="11">
        <f>ROUND(G55+H55,)</f>
        <v>507417</v>
      </c>
      <c r="J55" s="11">
        <f>G55*1%</f>
        <v>4300.1400000000003</v>
      </c>
      <c r="K55" s="11">
        <f>ROUND(G55*5%,)</f>
        <v>21501</v>
      </c>
      <c r="L55" s="11">
        <f>G55*10%</f>
        <v>43001.4</v>
      </c>
      <c r="M55" s="11">
        <f>ROUND(G55*10%,)</f>
        <v>43001</v>
      </c>
      <c r="N55" s="38">
        <v>61394</v>
      </c>
      <c r="O55" s="11">
        <f>H55</f>
        <v>77403</v>
      </c>
      <c r="P55" s="11">
        <f>I55-SUM(J55:O55)</f>
        <v>256816.46</v>
      </c>
      <c r="Q55" s="11" t="s">
        <v>66</v>
      </c>
      <c r="R55" s="11">
        <v>150000</v>
      </c>
      <c r="S55" s="11">
        <v>0</v>
      </c>
      <c r="T55" s="11">
        <v>256817</v>
      </c>
      <c r="U55" s="27" t="s">
        <v>64</v>
      </c>
      <c r="V55" s="11">
        <f>SUM(P55:P56)-SUM(T55:T56)</f>
        <v>-0.5400000000372529</v>
      </c>
    </row>
    <row r="56" spans="1:22" x14ac:dyDescent="0.25">
      <c r="A56" s="18"/>
      <c r="B56" s="16" t="s">
        <v>20</v>
      </c>
      <c r="C56" s="1"/>
      <c r="D56" s="19">
        <v>19</v>
      </c>
      <c r="E56" s="11">
        <f>O55</f>
        <v>77403</v>
      </c>
      <c r="F56" s="11"/>
      <c r="G56" s="11"/>
      <c r="H56" s="11"/>
      <c r="I56" s="11"/>
      <c r="J56" s="11"/>
      <c r="K56" s="11"/>
      <c r="L56" s="11"/>
      <c r="M56" s="11"/>
      <c r="N56" s="38"/>
      <c r="O56" s="11"/>
      <c r="P56" s="11">
        <f>E56</f>
        <v>77403</v>
      </c>
      <c r="Q56" s="11" t="s">
        <v>67</v>
      </c>
      <c r="R56" s="11">
        <v>187197</v>
      </c>
      <c r="S56" s="11"/>
      <c r="T56" s="11">
        <v>77403</v>
      </c>
      <c r="U56" s="27" t="s">
        <v>65</v>
      </c>
      <c r="V56" s="11"/>
    </row>
    <row r="57" spans="1:22" x14ac:dyDescent="0.25">
      <c r="H57" s="2"/>
      <c r="I57" s="2"/>
      <c r="N57" s="2"/>
    </row>
    <row r="58" spans="1:22" x14ac:dyDescent="0.25">
      <c r="H58" s="2"/>
      <c r="I58" s="2"/>
      <c r="N58" s="2"/>
    </row>
    <row r="59" spans="1:22" x14ac:dyDescent="0.25">
      <c r="H59" s="2"/>
      <c r="I59" s="2"/>
      <c r="N59" s="2"/>
    </row>
    <row r="62" spans="1:22" x14ac:dyDescent="0.25">
      <c r="J62" s="32"/>
      <c r="N62" s="2"/>
    </row>
    <row r="63" spans="1:22" x14ac:dyDescent="0.25">
      <c r="J63" s="32"/>
      <c r="N63" s="2"/>
    </row>
    <row r="64" spans="1:22" x14ac:dyDescent="0.25">
      <c r="J64" s="32"/>
      <c r="N64" s="2"/>
    </row>
    <row r="65" spans="10:14" x14ac:dyDescent="0.25">
      <c r="J65" s="32"/>
      <c r="N65" s="2"/>
    </row>
    <row r="66" spans="10:14" x14ac:dyDescent="0.25">
      <c r="J66" s="32"/>
      <c r="N66" s="2"/>
    </row>
    <row r="67" spans="10:14" x14ac:dyDescent="0.25">
      <c r="J67" s="32"/>
      <c r="N67" s="2"/>
    </row>
    <row r="68" spans="10:14" x14ac:dyDescent="0.25">
      <c r="J68" s="32"/>
      <c r="N68" s="2"/>
    </row>
  </sheetData>
  <autoFilter ref="V1:V68" xr:uid="{00000000-0009-0000-0000-000000000000}"/>
  <phoneticPr fontId="8" type="noConversion"/>
  <pageMargins left="0.70866141732283472" right="0.70866141732283472" top="0.74803149606299213" bottom="0.74803149606299213" header="0.31496062992125984" footer="0.31496062992125984"/>
  <pageSetup scale="1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2024-01-18T10:16:39Z</cp:lastPrinted>
  <dcterms:created xsi:type="dcterms:W3CDTF">2022-06-10T14:11:52Z</dcterms:created>
  <dcterms:modified xsi:type="dcterms:W3CDTF">2025-05-27T10:51:12Z</dcterms:modified>
</cp:coreProperties>
</file>