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C8EDEF94-CA2A-408A-9E1A-E96056E16A44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Sheet1!$F$1:$F$83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1" l="1"/>
  <c r="S32" i="1"/>
  <c r="G26" i="1"/>
  <c r="J26" i="1" s="1"/>
  <c r="G25" i="1"/>
  <c r="M25" i="1" s="1"/>
  <c r="L26" i="1" l="1"/>
  <c r="M26" i="1"/>
  <c r="K26" i="1"/>
  <c r="H26" i="1"/>
  <c r="N26" i="1" s="1"/>
  <c r="J25" i="1"/>
  <c r="L25" i="1"/>
  <c r="K25" i="1"/>
  <c r="H25" i="1"/>
  <c r="N25" i="1" s="1"/>
  <c r="G23" i="1"/>
  <c r="K23" i="1" s="1"/>
  <c r="G21" i="1"/>
  <c r="K21" i="1" s="1"/>
  <c r="O31" i="1"/>
  <c r="O43" i="1" s="1"/>
  <c r="G19" i="1"/>
  <c r="J19" i="1" s="1"/>
  <c r="E27" i="1" l="1"/>
  <c r="P27" i="1" s="1"/>
  <c r="I26" i="1"/>
  <c r="P26" i="1" s="1"/>
  <c r="I25" i="1"/>
  <c r="P25" i="1" s="1"/>
  <c r="M23" i="1"/>
  <c r="L23" i="1"/>
  <c r="H23" i="1"/>
  <c r="N23" i="1" s="1"/>
  <c r="E24" i="1" s="1"/>
  <c r="P24" i="1" s="1"/>
  <c r="J23" i="1"/>
  <c r="L21" i="1"/>
  <c r="H21" i="1"/>
  <c r="N21" i="1" s="1"/>
  <c r="E22" i="1" s="1"/>
  <c r="P22" i="1" s="1"/>
  <c r="M21" i="1"/>
  <c r="J21" i="1"/>
  <c r="K19" i="1"/>
  <c r="H19" i="1"/>
  <c r="N19" i="1" s="1"/>
  <c r="E20" i="1" s="1"/>
  <c r="P20" i="1" s="1"/>
  <c r="L19" i="1"/>
  <c r="M19" i="1"/>
  <c r="G17" i="1"/>
  <c r="K17" i="1" s="1"/>
  <c r="Q14" i="1"/>
  <c r="G10" i="1"/>
  <c r="K10" i="1" s="1"/>
  <c r="G15" i="1"/>
  <c r="M15" i="1" s="1"/>
  <c r="Q7" i="1"/>
  <c r="I23" i="1" l="1"/>
  <c r="P23" i="1" s="1"/>
  <c r="I21" i="1"/>
  <c r="P21" i="1"/>
  <c r="I19" i="1"/>
  <c r="P19" i="1" s="1"/>
  <c r="J17" i="1"/>
  <c r="H17" i="1"/>
  <c r="L17" i="1"/>
  <c r="M17" i="1"/>
  <c r="J10" i="1"/>
  <c r="H10" i="1"/>
  <c r="N10" i="1" s="1"/>
  <c r="E11" i="1" s="1"/>
  <c r="G11" i="1" s="1"/>
  <c r="I11" i="1" s="1"/>
  <c r="P11" i="1" s="1"/>
  <c r="M10" i="1"/>
  <c r="L10" i="1"/>
  <c r="J15" i="1"/>
  <c r="H15" i="1"/>
  <c r="N15" i="1" s="1"/>
  <c r="E16" i="1" s="1"/>
  <c r="G16" i="1" s="1"/>
  <c r="I16" i="1" s="1"/>
  <c r="P16" i="1" s="1"/>
  <c r="K15" i="1"/>
  <c r="L15" i="1"/>
  <c r="G77" i="1"/>
  <c r="G79" i="1"/>
  <c r="G76" i="1"/>
  <c r="G70" i="1"/>
  <c r="G69" i="1"/>
  <c r="G68" i="1"/>
  <c r="N17" i="1" l="1"/>
  <c r="E18" i="1"/>
  <c r="P18" i="1" s="1"/>
  <c r="I17" i="1"/>
  <c r="I15" i="1"/>
  <c r="P15" i="1" s="1"/>
  <c r="I10" i="1"/>
  <c r="P10" i="1" s="1"/>
  <c r="G8" i="1"/>
  <c r="J8" i="1" s="1"/>
  <c r="P17" i="1" l="1"/>
  <c r="K8" i="1"/>
  <c r="K31" i="1" s="1"/>
  <c r="L69" i="1"/>
  <c r="N69" i="1" s="1"/>
  <c r="L68" i="1"/>
  <c r="N68" i="1" s="1"/>
  <c r="G83" i="1"/>
  <c r="G71" i="1"/>
  <c r="G72" i="1"/>
  <c r="G73" i="1"/>
  <c r="G74" i="1"/>
  <c r="G75" i="1"/>
  <c r="G81" i="1"/>
  <c r="G82" i="1"/>
  <c r="F80" i="1"/>
  <c r="G80" i="1" s="1"/>
  <c r="F78" i="1"/>
  <c r="G78" i="1" s="1"/>
  <c r="N70" i="1" l="1"/>
  <c r="L8" i="1" l="1"/>
  <c r="L31" i="1" s="1"/>
  <c r="M8" i="1" l="1"/>
  <c r="M31" i="1" s="1"/>
  <c r="H8" i="1"/>
  <c r="O41" i="1" l="1"/>
  <c r="I8" i="1"/>
  <c r="N8" i="1"/>
  <c r="N31" i="1" s="1"/>
  <c r="G9" i="1"/>
  <c r="I9" i="1" s="1"/>
  <c r="P9" i="1" s="1"/>
  <c r="O44" i="1" l="1"/>
  <c r="P8" i="1"/>
  <c r="P32" i="1" s="1"/>
  <c r="U13" i="1" l="1"/>
  <c r="U32" i="1" s="1"/>
  <c r="S34" i="1"/>
  <c r="O42" i="1" s="1"/>
</calcChain>
</file>

<file path=xl/sharedStrings.xml><?xml version="1.0" encoding="utf-8"?>
<sst xmlns="http://schemas.openxmlformats.org/spreadsheetml/2006/main" count="134" uniqueCount="115">
  <si>
    <t>Amount</t>
  </si>
  <si>
    <t>PAYMENT NOTE No.</t>
  </si>
  <si>
    <t>UTR</t>
  </si>
  <si>
    <t>Total Payable Amount Rs. -</t>
  </si>
  <si>
    <t>Total Paid Amount Rs. -</t>
  </si>
  <si>
    <t>Hold Amunt for Quantity excess anainst DPR</t>
  </si>
  <si>
    <t>Purmafi Village Pipeline laying work</t>
  </si>
  <si>
    <t>Javed Contractor</t>
  </si>
  <si>
    <t>S.No.</t>
  </si>
  <si>
    <t>PIPE DIA</t>
  </si>
  <si>
    <t xml:space="preserve">AS PER DPR </t>
  </si>
  <si>
    <t>ASPER SITE</t>
  </si>
  <si>
    <t>CUMULATIVE</t>
  </si>
  <si>
    <t>A</t>
  </si>
  <si>
    <t>B</t>
  </si>
  <si>
    <t>C</t>
  </si>
  <si>
    <t>D</t>
  </si>
  <si>
    <t>E</t>
  </si>
  <si>
    <t>F=D+E</t>
  </si>
  <si>
    <t>Pipe 63 mm</t>
  </si>
  <si>
    <t>Pipe 75 mm</t>
  </si>
  <si>
    <t>Pipe 90 mm</t>
  </si>
  <si>
    <t>Pipe 110 mm</t>
  </si>
  <si>
    <t>Pipe 160 mm</t>
  </si>
  <si>
    <t>Pipe 200 mm</t>
  </si>
  <si>
    <t>FHTC</t>
  </si>
  <si>
    <t>J-HOCK</t>
  </si>
  <si>
    <t>Dismentale of C.c Road</t>
  </si>
  <si>
    <t>Dismentale of BOE</t>
  </si>
  <si>
    <t>Dismentale of B.T</t>
  </si>
  <si>
    <t>Dismentale of Interlocking</t>
  </si>
  <si>
    <t>Restoration of BOE</t>
  </si>
  <si>
    <t>Anil associates</t>
  </si>
  <si>
    <t>Restoration of Interlocking</t>
  </si>
  <si>
    <t>Restoration of C.c Road</t>
  </si>
  <si>
    <t>Restoration of B.T</t>
  </si>
  <si>
    <t>ITEM</t>
  </si>
  <si>
    <t>DPR</t>
  </si>
  <si>
    <t>CUM</t>
  </si>
  <si>
    <t>EXCESS</t>
  </si>
  <si>
    <t>RATE</t>
  </si>
  <si>
    <t>AMOUNT</t>
  </si>
  <si>
    <t>Hold Amt</t>
  </si>
  <si>
    <t>17-07-2023 NEFT/AXISP00407534685/RIUP23/1100/JAVED CONTRACTO 394507.00</t>
  </si>
  <si>
    <t>24-07-2023 NEFT/AXISP00408935250/RIUP23/1177/JAVED CONTRACTO 110415.00</t>
  </si>
  <si>
    <t>RIUP23/1100</t>
  </si>
  <si>
    <t>RIUP23/1177</t>
  </si>
  <si>
    <t>GST Release Note</t>
  </si>
  <si>
    <t>Jahanpuri Village Pipeline laying work</t>
  </si>
  <si>
    <t>18-09-2023 NEFT/AXISP00425658720/RIUP23/2089/JAVED CONTRACTOR/PUNB0166010 49500.00</t>
  </si>
  <si>
    <t>RIUP23/2089</t>
  </si>
  <si>
    <t>29-11-2023 NEFT/AXISP004462589654/RIUP23/3486/JAVED CONTRACTOR/PUNB0166010 148500.00</t>
  </si>
  <si>
    <t>24-11-2023 NEFT/AXISP00446292740/RIUP23/3359/JAVED CONTRACTOR/PUNB0166010 114374.00</t>
  </si>
  <si>
    <t>10-11-2023 NEFT/AXISP00443464532/RIUP23/3250/JAVED CONTRACTOR/PUNB0166010 266019.00</t>
  </si>
  <si>
    <t>29-11-2023 NEFT/AXISP00430563574/RIUP23/3436/JAVED CONTRACTOR 175066.00</t>
  </si>
  <si>
    <t>RIUP23/3436</t>
  </si>
  <si>
    <t>RIUP23/3250</t>
  </si>
  <si>
    <t>RIUP23/3359</t>
  </si>
  <si>
    <t>RIUP23/3486</t>
  </si>
  <si>
    <t xml:space="preserve">Total Hold </t>
  </si>
  <si>
    <t>Advance / Surplus</t>
  </si>
  <si>
    <t>07-02-2024 NEFT/AXISP00469197341/RIUP23/4341/JAVED CONTRACTOR/PUNB0166010 356044.00</t>
  </si>
  <si>
    <t>28-02-2024 NEFT/AXISP00474711647/RIUP23/4792/JAVED CONTRACTOR/PUNB0166010 128801.00</t>
  </si>
  <si>
    <t>05-02-2024 NEFT/AXISP00468222681/RIUP23/4316/JAVED CONTRACTOR/PUNB0166010 57209.00</t>
  </si>
  <si>
    <t>19-03-2024 NEFT/AXISP00482138727/RIUP23/5187/JAVED CONTRACTOR/PUNB0166010 99000.00</t>
  </si>
  <si>
    <t>21-10-2024 NEFT/AXISP00556268919/RIUP24/2259/JAVED CONTRACTOR/PUNB0166010 118800.00</t>
  </si>
  <si>
    <t>Advance Village Wise</t>
  </si>
  <si>
    <t>30-10-2024 NEFT/AXISP00561389912/RIUP24/2372/JAVED CONTRACTOR/PUNB0166010 99000.00</t>
  </si>
  <si>
    <t>GST</t>
  </si>
  <si>
    <t>RIUP23/4341</t>
  </si>
  <si>
    <t>RIUP23/4316</t>
  </si>
  <si>
    <t>RIUP23/4792</t>
  </si>
  <si>
    <t>RIUP23/5187</t>
  </si>
  <si>
    <t>RIUP24/2259</t>
  </si>
  <si>
    <t>RIUP24/2372</t>
  </si>
  <si>
    <t>DPR Hold</t>
  </si>
  <si>
    <t>21-12-2024 NEFT/AXISP00587304764/RIUP24/2779/JAVED CONTRACTOR/PUNB0166010 99000.00</t>
  </si>
  <si>
    <t>RIUP24/2779</t>
  </si>
  <si>
    <t>07-01-2025 NEFT/AXISP00595156003/RIUP24/2867/JAVED CONTRACTOR/PUNB0166010 49500.00</t>
  </si>
  <si>
    <t>RIUP24/2867</t>
  </si>
  <si>
    <t>10-01-2025 NEFT/AXISP00597065263/RIUP24/2894/JAVED CONTRACTOR/PUNB0166010 49500.00</t>
  </si>
  <si>
    <t>RIUP24/2894</t>
  </si>
  <si>
    <t>29-01-2025 NEFT/AXISP00604547881/RIUP24/3031/JAVED CONTRACTOR/PUNB0166010 99000.00</t>
  </si>
  <si>
    <t>RIUP24/3031</t>
  </si>
  <si>
    <t>14-02-2025 NEFT/AXISP00616404587/RIUP24/3168/JAVED CONTRACTOR/PUNB0166010 49500.00</t>
  </si>
  <si>
    <t>RIUP24/3168</t>
  </si>
  <si>
    <t>14-02-2025 NEFT/AXISP00616404586/RIUP24/3167/JAVED CONTRACTOR/PUNB0166010 99000.00</t>
  </si>
  <si>
    <t>RIUP24/3167</t>
  </si>
  <si>
    <t>13-03-2025 NEFT/AXISP00633031178/RIUP24/3419/JAVED CONTRACTOR/PUNB0166010 148500.00</t>
  </si>
  <si>
    <t>RIUP24/3419</t>
  </si>
  <si>
    <t>Balance Payable</t>
  </si>
  <si>
    <t>19-04-2025 NEFT/AXISP00653358542/RIUP25/0131/JAVED CONTRACTOR/PUNB0166010 99000.00</t>
  </si>
  <si>
    <t>4 &amp; 5</t>
  </si>
  <si>
    <t>03-05-2025 NEFT/AXISP00660705845/RIUP25/0210/JAVED CONTRACTOR/PUNB0166010 99000.00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</si>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</sst>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mm/d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color rgb="FFFF0000"/>
      <name val="Comic Sans MS"/>
      <family val="4"/>
    </font>
    <font>
      <b/>
      <sz val="11"/>
      <color rgb="FFFF0000"/>
      <name val="Comic Sans MS"/>
      <family val="4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164" fontId="0" fillId="2" borderId="0" xfId="1" applyNumberFormat="1" applyFont="1" applyFill="1" applyAlignment="1">
      <alignment vertical="center"/>
    </xf>
    <xf numFmtId="164" fontId="0" fillId="2" borderId="4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43" fontId="2" fillId="2" borderId="8" xfId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6" xfId="0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/>
    </xf>
    <xf numFmtId="164" fontId="6" fillId="2" borderId="9" xfId="1" applyNumberFormat="1" applyFont="1" applyFill="1" applyBorder="1" applyAlignment="1">
      <alignment vertical="center"/>
    </xf>
    <xf numFmtId="9" fontId="6" fillId="2" borderId="9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164" fontId="6" fillId="3" borderId="3" xfId="1" applyNumberFormat="1" applyFont="1" applyFill="1" applyBorder="1" applyAlignment="1">
      <alignment vertical="center"/>
    </xf>
    <xf numFmtId="9" fontId="6" fillId="3" borderId="3" xfId="1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2" borderId="8" xfId="0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vertical="center"/>
    </xf>
    <xf numFmtId="164" fontId="7" fillId="5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164" fontId="0" fillId="2" borderId="8" xfId="0" applyNumberForma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164" fontId="6" fillId="3" borderId="8" xfId="1" applyNumberFormat="1" applyFont="1" applyFill="1" applyBorder="1" applyAlignment="1">
      <alignment vertical="center"/>
    </xf>
    <xf numFmtId="9" fontId="6" fillId="3" borderId="8" xfId="1" applyNumberFormat="1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164" fontId="6" fillId="2" borderId="8" xfId="1" applyNumberFormat="1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 wrapText="1"/>
    </xf>
    <xf numFmtId="164" fontId="6" fillId="2" borderId="22" xfId="1" applyNumberFormat="1" applyFont="1" applyFill="1" applyBorder="1" applyAlignment="1">
      <alignment vertical="center"/>
    </xf>
    <xf numFmtId="164" fontId="6" fillId="2" borderId="16" xfId="1" applyNumberFormat="1" applyFont="1" applyFill="1" applyBorder="1" applyAlignment="1">
      <alignment vertical="center"/>
    </xf>
    <xf numFmtId="164" fontId="5" fillId="2" borderId="16" xfId="1" applyNumberFormat="1" applyFont="1" applyFill="1" applyBorder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4" fontId="2" fillId="2" borderId="8" xfId="0" applyNumberFormat="1" applyFont="1" applyFill="1" applyBorder="1" applyAlignment="1">
      <alignment vertical="center"/>
    </xf>
    <xf numFmtId="4" fontId="2" fillId="2" borderId="22" xfId="0" applyNumberFormat="1" applyFont="1" applyFill="1" applyBorder="1" applyAlignment="1">
      <alignment vertical="center"/>
    </xf>
    <xf numFmtId="4" fontId="2" fillId="2" borderId="9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 shrinkToFit="1"/>
    </xf>
    <xf numFmtId="2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164" fontId="0" fillId="2" borderId="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164" fontId="6" fillId="2" borderId="23" xfId="1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164" fontId="6" fillId="2" borderId="4" xfId="1" applyNumberFormat="1" applyFont="1" applyFill="1" applyBorder="1" applyAlignment="1">
      <alignment vertical="center"/>
    </xf>
    <xf numFmtId="164" fontId="6" fillId="2" borderId="3" xfId="1" applyNumberFormat="1" applyFont="1" applyFill="1" applyBorder="1" applyAlignment="1">
      <alignment vertical="center"/>
    </xf>
    <xf numFmtId="164" fontId="6" fillId="2" borderId="24" xfId="1" applyNumberFormat="1" applyFont="1" applyFill="1" applyBorder="1" applyAlignment="1">
      <alignment vertical="center"/>
    </xf>
    <xf numFmtId="167" fontId="0" fillId="2" borderId="0" xfId="0" applyNumberFormat="1" applyFill="1" applyAlignment="1">
      <alignment vertical="center"/>
    </xf>
    <xf numFmtId="167" fontId="6" fillId="2" borderId="9" xfId="1" applyNumberFormat="1" applyFont="1" applyFill="1" applyBorder="1" applyAlignment="1">
      <alignment vertical="center"/>
    </xf>
    <xf numFmtId="167" fontId="6" fillId="3" borderId="3" xfId="1" applyNumberFormat="1" applyFont="1" applyFill="1" applyBorder="1" applyAlignment="1">
      <alignment vertical="center"/>
    </xf>
    <xf numFmtId="167" fontId="6" fillId="2" borderId="8" xfId="0" applyNumberFormat="1" applyFont="1" applyFill="1" applyBorder="1" applyAlignment="1">
      <alignment horizontal="center" vertical="center"/>
    </xf>
    <xf numFmtId="167" fontId="6" fillId="3" borderId="8" xfId="1" applyNumberFormat="1" applyFont="1" applyFill="1" applyBorder="1" applyAlignment="1">
      <alignment vertical="center"/>
    </xf>
    <xf numFmtId="167" fontId="6" fillId="2" borderId="8" xfId="1" applyNumberFormat="1" applyFont="1" applyFill="1" applyBorder="1" applyAlignment="1">
      <alignment vertical="center"/>
    </xf>
    <xf numFmtId="167" fontId="6" fillId="2" borderId="3" xfId="1" applyNumberFormat="1" applyFont="1" applyFill="1" applyBorder="1" applyAlignment="1">
      <alignment vertical="center"/>
    </xf>
    <xf numFmtId="167" fontId="6" fillId="2" borderId="16" xfId="1" applyNumberFormat="1" applyFont="1" applyFill="1" applyBorder="1" applyAlignment="1">
      <alignment vertical="center"/>
    </xf>
    <xf numFmtId="167" fontId="2" fillId="0" borderId="14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left" vertical="center" wrapText="1"/>
    </xf>
    <xf numFmtId="167" fontId="0" fillId="0" borderId="4" xfId="0" applyNumberFormat="1" applyBorder="1" applyAlignment="1">
      <alignment horizontal="left" wrapText="1"/>
    </xf>
    <xf numFmtId="0" fontId="2" fillId="0" borderId="0" xfId="0" applyFont="1"/>
    <xf numFmtId="0" fontId="0" fillId="0" borderId="0" xfId="0" applyFont="1"/>
    <xf numFmtId="0" fontId="2" fillId="2" borderId="16" xfId="0" applyFont="1" applyFill="1" applyBorder="1" applyAlignment="1">
      <alignment vertical="center"/>
    </xf>
    <xf numFmtId="14" fontId="2" fillId="2" borderId="16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64" fontId="10" fillId="2" borderId="16" xfId="1" applyNumberFormat="1" applyFont="1" applyFill="1" applyBorder="1" applyAlignment="1">
      <alignment horizontal="center" vertical="center"/>
    </xf>
    <xf numFmtId="164" fontId="2" fillId="2" borderId="16" xfId="1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2" borderId="17" xfId="1" applyNumberFormat="1" applyFont="1" applyFill="1" applyBorder="1" applyAlignment="1">
      <alignment horizontal="center" vertical="center"/>
    </xf>
    <xf numFmtId="164" fontId="2" fillId="2" borderId="18" xfId="1" applyNumberFormat="1" applyFont="1" applyFill="1" applyBorder="1" applyAlignment="1">
      <alignment horizontal="center" vertical="center"/>
    </xf>
    <xf numFmtId="164" fontId="2" fillId="2" borderId="19" xfId="1" applyNumberFormat="1" applyFont="1" applyFill="1" applyBorder="1" applyAlignment="1">
      <alignment horizontal="center" vertical="center"/>
    </xf>
    <xf numFmtId="164" fontId="2" fillId="2" borderId="20" xfId="1" applyNumberFormat="1" applyFont="1" applyFill="1" applyBorder="1" applyAlignment="1">
      <alignment horizontal="center" vertical="center"/>
    </xf>
    <xf numFmtId="164" fontId="2" fillId="2" borderId="10" xfId="1" applyNumberFormat="1" applyFont="1" applyFill="1" applyBorder="1" applyAlignment="1">
      <alignment horizontal="center" vertical="center"/>
    </xf>
    <xf numFmtId="164" fontId="2" fillId="2" borderId="21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164" fontId="2" fillId="2" borderId="17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\Laxmi\PMC\UP\SWSM-Shamli\Billing\Measurements\57730-SWSM-SHAMLI-Pipeline%20Work%20At%20Purmafi%20Village%20Ms%20JAVED%20CONTR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-01"/>
      <sheetName val="FHTC-01"/>
      <sheetName val="ABSTRACT-01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abSelected="1" zoomScaleNormal="100" workbookViewId="0">
      <pane ySplit="5" topLeftCell="A6" activePane="bottomLeft" state="frozen"/>
      <selection pane="bottomLeft" activeCell="B4" sqref="B4"/>
    </sheetView>
  </sheetViews>
  <sheetFormatPr defaultColWidth="9" defaultRowHeight="14.4" x14ac:dyDescent="0.3"/>
  <cols>
    <col min="1" max="1" width="6.5546875" style="7" bestFit="1" customWidth="1"/>
    <col min="2" max="2" width="37" style="7" bestFit="1" customWidth="1"/>
    <col min="3" max="3" width="14.5546875" style="65" bestFit="1" customWidth="1"/>
    <col min="4" max="4" width="12.44140625" style="7" customWidth="1"/>
    <col min="5" max="5" width="14.5546875" style="7" bestFit="1" customWidth="1"/>
    <col min="6" max="6" width="14.109375" style="7" bestFit="1" customWidth="1"/>
    <col min="7" max="7" width="19.33203125" style="7" bestFit="1" customWidth="1"/>
    <col min="8" max="8" width="16" style="1" customWidth="1"/>
    <col min="9" max="9" width="17.88671875" style="1" bestFit="1" customWidth="1"/>
    <col min="10" max="10" width="11.44140625" style="7" bestFit="1" customWidth="1"/>
    <col min="11" max="12" width="16.6640625" style="7" bestFit="1" customWidth="1"/>
    <col min="13" max="13" width="18" style="7" bestFit="1" customWidth="1"/>
    <col min="14" max="14" width="16.6640625" style="7" bestFit="1" customWidth="1"/>
    <col min="15" max="15" width="18.5546875" style="7" customWidth="1"/>
    <col min="16" max="16" width="18.109375" style="7" bestFit="1" customWidth="1"/>
    <col min="17" max="17" width="9.6640625" style="7" customWidth="1"/>
    <col min="18" max="18" width="21.88671875" style="7" customWidth="1"/>
    <col min="19" max="19" width="18.109375" style="7" bestFit="1" customWidth="1"/>
    <col min="20" max="20" width="90.44140625" style="7" bestFit="1" customWidth="1"/>
    <col min="21" max="21" width="15.33203125" style="7" bestFit="1" customWidth="1"/>
    <col min="22" max="16384" width="9" style="7"/>
  </cols>
  <sheetData>
    <row r="1" spans="1:21" s="78" customFormat="1" ht="24.9" customHeight="1" x14ac:dyDescent="0.3">
      <c r="A1" s="77" t="s">
        <v>94</v>
      </c>
      <c r="B1" s="8" t="s">
        <v>7</v>
      </c>
    </row>
    <row r="2" spans="1:21" s="78" customFormat="1" ht="24.9" customHeight="1" x14ac:dyDescent="0.3">
      <c r="A2" s="77" t="s">
        <v>95</v>
      </c>
      <c r="B2" s="78" t="s">
        <v>96</v>
      </c>
    </row>
    <row r="3" spans="1:21" s="78" customFormat="1" ht="30.6" customHeight="1" x14ac:dyDescent="0.3">
      <c r="A3" s="77" t="s">
        <v>97</v>
      </c>
      <c r="B3" s="77" t="s">
        <v>98</v>
      </c>
    </row>
    <row r="4" spans="1:21" s="78" customFormat="1" ht="24.9" customHeight="1" thickBot="1" x14ac:dyDescent="0.35">
      <c r="A4" s="77" t="s">
        <v>99</v>
      </c>
      <c r="B4" s="77" t="s">
        <v>98</v>
      </c>
    </row>
    <row r="5" spans="1:21" ht="48.6" x14ac:dyDescent="0.3">
      <c r="A5" s="79" t="s">
        <v>100</v>
      </c>
      <c r="B5" s="5" t="s">
        <v>101</v>
      </c>
      <c r="C5" s="80" t="s">
        <v>102</v>
      </c>
      <c r="D5" s="81" t="s">
        <v>103</v>
      </c>
      <c r="E5" s="5" t="s">
        <v>104</v>
      </c>
      <c r="F5" s="5" t="s">
        <v>105</v>
      </c>
      <c r="G5" s="81" t="s">
        <v>106</v>
      </c>
      <c r="H5" s="82" t="s">
        <v>107</v>
      </c>
      <c r="I5" s="83" t="s">
        <v>0</v>
      </c>
      <c r="J5" s="5" t="s">
        <v>108</v>
      </c>
      <c r="K5" s="5" t="s">
        <v>109</v>
      </c>
      <c r="L5" s="5" t="s">
        <v>110</v>
      </c>
      <c r="M5" s="5" t="s">
        <v>111</v>
      </c>
      <c r="N5" s="5" t="s">
        <v>112</v>
      </c>
      <c r="O5" s="9" t="s">
        <v>5</v>
      </c>
      <c r="P5" s="5" t="s">
        <v>113</v>
      </c>
      <c r="Q5" s="9"/>
      <c r="R5" s="9" t="s">
        <v>1</v>
      </c>
      <c r="S5" s="5" t="s">
        <v>114</v>
      </c>
      <c r="T5" s="5" t="s">
        <v>2</v>
      </c>
      <c r="U5" s="5" t="s">
        <v>66</v>
      </c>
    </row>
    <row r="6" spans="1:21" ht="16.8" thickBot="1" x14ac:dyDescent="0.35">
      <c r="A6" s="10"/>
      <c r="B6" s="11"/>
      <c r="C6" s="66"/>
      <c r="D6" s="11"/>
      <c r="E6" s="11"/>
      <c r="F6" s="11"/>
      <c r="G6" s="11"/>
      <c r="H6" s="11"/>
      <c r="I6" s="11"/>
      <c r="J6" s="12">
        <v>0.01</v>
      </c>
      <c r="K6" s="12">
        <v>0.05</v>
      </c>
      <c r="L6" s="12">
        <v>0.1</v>
      </c>
      <c r="M6" s="12">
        <v>0.1</v>
      </c>
      <c r="N6" s="11"/>
      <c r="O6" s="11"/>
      <c r="P6" s="11"/>
      <c r="Q6" s="13"/>
      <c r="R6" s="11"/>
      <c r="S6" s="11"/>
      <c r="T6" s="11"/>
      <c r="U6" s="10"/>
    </row>
    <row r="7" spans="1:21" s="18" customFormat="1" ht="16.2" x14ac:dyDescent="0.3">
      <c r="A7" s="14"/>
      <c r="B7" s="15"/>
      <c r="C7" s="67"/>
      <c r="D7" s="15"/>
      <c r="E7" s="15"/>
      <c r="F7" s="15"/>
      <c r="G7" s="15"/>
      <c r="H7" s="15"/>
      <c r="I7" s="15"/>
      <c r="J7" s="16"/>
      <c r="K7" s="16"/>
      <c r="L7" s="16"/>
      <c r="M7" s="16"/>
      <c r="N7" s="15"/>
      <c r="O7" s="15"/>
      <c r="P7" s="15"/>
      <c r="Q7" s="17">
        <f>A8</f>
        <v>57730</v>
      </c>
      <c r="R7" s="15"/>
      <c r="S7" s="15"/>
      <c r="T7" s="15"/>
      <c r="U7" s="14"/>
    </row>
    <row r="8" spans="1:21" ht="16.2" x14ac:dyDescent="0.3">
      <c r="A8" s="19">
        <v>57730</v>
      </c>
      <c r="B8" s="20" t="s">
        <v>6</v>
      </c>
      <c r="C8" s="68">
        <v>45104</v>
      </c>
      <c r="D8" s="21">
        <v>1</v>
      </c>
      <c r="E8" s="22">
        <v>667453.5</v>
      </c>
      <c r="F8" s="22">
        <v>54042</v>
      </c>
      <c r="G8" s="22">
        <f>ROUND(E8-F8,)</f>
        <v>613412</v>
      </c>
      <c r="H8" s="22">
        <f>ROUND(G8*18%,)</f>
        <v>110414</v>
      </c>
      <c r="I8" s="22">
        <f>ROUND(G8+H8,)</f>
        <v>723826</v>
      </c>
      <c r="J8" s="22">
        <f>ROUND(G8*J6,)</f>
        <v>6134</v>
      </c>
      <c r="K8" s="22">
        <f>ROUND(G8*5%,)</f>
        <v>30671</v>
      </c>
      <c r="L8" s="22">
        <f>ROUND(G8*10%,)</f>
        <v>61341</v>
      </c>
      <c r="M8" s="22">
        <f>ROUND(G8*10%,)</f>
        <v>61341</v>
      </c>
      <c r="N8" s="23">
        <f>H8</f>
        <v>110414</v>
      </c>
      <c r="O8" s="22">
        <v>59420</v>
      </c>
      <c r="P8" s="22">
        <f>I8-SUM(J8:O8)</f>
        <v>394505</v>
      </c>
      <c r="Q8" s="24"/>
      <c r="R8" s="22" t="s">
        <v>45</v>
      </c>
      <c r="S8" s="22">
        <v>394507</v>
      </c>
      <c r="T8" s="25" t="s">
        <v>43</v>
      </c>
      <c r="U8" s="19"/>
    </row>
    <row r="9" spans="1:21" ht="16.2" x14ac:dyDescent="0.3">
      <c r="A9" s="19">
        <v>57730</v>
      </c>
      <c r="B9" s="20" t="s">
        <v>47</v>
      </c>
      <c r="C9" s="68">
        <v>45128</v>
      </c>
      <c r="D9" s="21">
        <v>1</v>
      </c>
      <c r="E9" s="22">
        <v>110414</v>
      </c>
      <c r="F9" s="22">
        <v>0</v>
      </c>
      <c r="G9" s="22">
        <f>E9-F9</f>
        <v>110414</v>
      </c>
      <c r="H9" s="22">
        <v>0</v>
      </c>
      <c r="I9" s="22">
        <f>G9+H9</f>
        <v>110414</v>
      </c>
      <c r="J9" s="22">
        <v>0</v>
      </c>
      <c r="K9" s="22">
        <v>0</v>
      </c>
      <c r="L9" s="22"/>
      <c r="M9" s="22"/>
      <c r="N9" s="22">
        <v>0</v>
      </c>
      <c r="O9" s="22"/>
      <c r="P9" s="23">
        <f>I9-SUM(J9:O9)</f>
        <v>110414</v>
      </c>
      <c r="Q9" s="24"/>
      <c r="R9" s="22" t="s">
        <v>46</v>
      </c>
      <c r="S9" s="22">
        <v>110415</v>
      </c>
      <c r="T9" s="25" t="s">
        <v>44</v>
      </c>
      <c r="U9" s="19"/>
    </row>
    <row r="10" spans="1:21" ht="16.2" x14ac:dyDescent="0.3">
      <c r="A10" s="19">
        <v>57730</v>
      </c>
      <c r="B10" s="20" t="s">
        <v>6</v>
      </c>
      <c r="C10" s="68">
        <v>45250</v>
      </c>
      <c r="D10" s="21">
        <v>3</v>
      </c>
      <c r="E10" s="22">
        <v>362864</v>
      </c>
      <c r="F10" s="22">
        <v>45035</v>
      </c>
      <c r="G10" s="22">
        <f>ROUND(E10-F10,)</f>
        <v>317829</v>
      </c>
      <c r="H10" s="22">
        <f>ROUND(G10*18%,)</f>
        <v>57209</v>
      </c>
      <c r="I10" s="22">
        <f>ROUND(G10+H10,)</f>
        <v>375038</v>
      </c>
      <c r="J10" s="22">
        <f>ROUND(G10*1%,)</f>
        <v>3178</v>
      </c>
      <c r="K10" s="22">
        <f>ROUND(G10*5%,)</f>
        <v>15891</v>
      </c>
      <c r="L10" s="22">
        <f>ROUND(G10*10%,)</f>
        <v>31783</v>
      </c>
      <c r="M10" s="22">
        <f>ROUND(G10*10%,)</f>
        <v>31783</v>
      </c>
      <c r="N10" s="23">
        <f>H10</f>
        <v>57209</v>
      </c>
      <c r="O10" s="22">
        <v>10627</v>
      </c>
      <c r="P10" s="22">
        <f>I10-SUM(J10:O10)</f>
        <v>224567</v>
      </c>
      <c r="Q10" s="24"/>
      <c r="R10" s="22" t="s">
        <v>50</v>
      </c>
      <c r="S10" s="22">
        <v>49500</v>
      </c>
      <c r="T10" s="25" t="s">
        <v>49</v>
      </c>
      <c r="U10" s="19"/>
    </row>
    <row r="11" spans="1:21" ht="16.2" x14ac:dyDescent="0.3">
      <c r="A11" s="19">
        <v>57730</v>
      </c>
      <c r="B11" s="20" t="s">
        <v>47</v>
      </c>
      <c r="C11" s="68"/>
      <c r="D11" s="21">
        <v>3</v>
      </c>
      <c r="E11" s="22">
        <f>N10</f>
        <v>57209</v>
      </c>
      <c r="F11" s="22">
        <v>0</v>
      </c>
      <c r="G11" s="22">
        <f>E11-F11</f>
        <v>57209</v>
      </c>
      <c r="H11" s="22">
        <v>0</v>
      </c>
      <c r="I11" s="22">
        <f>G11+H11</f>
        <v>57209</v>
      </c>
      <c r="J11" s="22">
        <v>0</v>
      </c>
      <c r="K11" s="22">
        <v>0</v>
      </c>
      <c r="L11" s="22"/>
      <c r="M11" s="22"/>
      <c r="N11" s="22">
        <v>0</v>
      </c>
      <c r="O11" s="22"/>
      <c r="P11" s="23">
        <f>I11-SUM(J11:O11)</f>
        <v>57209</v>
      </c>
      <c r="Q11" s="24"/>
      <c r="R11" s="22" t="s">
        <v>55</v>
      </c>
      <c r="S11" s="22">
        <v>175066</v>
      </c>
      <c r="T11" s="25" t="s">
        <v>54</v>
      </c>
      <c r="U11" s="19"/>
    </row>
    <row r="12" spans="1:21" ht="16.2" x14ac:dyDescent="0.3">
      <c r="A12" s="19">
        <v>57730</v>
      </c>
      <c r="B12" s="20"/>
      <c r="C12" s="6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4"/>
      <c r="R12" s="22" t="s">
        <v>70</v>
      </c>
      <c r="S12" s="22">
        <v>57209</v>
      </c>
      <c r="T12" s="25" t="s">
        <v>63</v>
      </c>
      <c r="U12" s="19"/>
    </row>
    <row r="13" spans="1:21" ht="16.2" x14ac:dyDescent="0.3">
      <c r="A13" s="19">
        <v>57730</v>
      </c>
      <c r="B13" s="20"/>
      <c r="C13" s="6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4"/>
      <c r="R13" s="22" t="s">
        <v>85</v>
      </c>
      <c r="S13" s="22">
        <v>49500</v>
      </c>
      <c r="T13" s="25" t="s">
        <v>84</v>
      </c>
      <c r="U13" s="26">
        <f>SUM(P8:P13)-SUM(S8:S13)</f>
        <v>-49502</v>
      </c>
    </row>
    <row r="14" spans="1:21" ht="16.2" x14ac:dyDescent="0.3">
      <c r="A14" s="27"/>
      <c r="B14" s="28"/>
      <c r="C14" s="69"/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8"/>
      <c r="O14" s="28"/>
      <c r="P14" s="28"/>
      <c r="Q14" s="30">
        <f>A15</f>
        <v>60010</v>
      </c>
      <c r="R14" s="28"/>
      <c r="S14" s="28"/>
      <c r="T14" s="28"/>
      <c r="U14" s="27"/>
    </row>
    <row r="15" spans="1:21" ht="16.2" x14ac:dyDescent="0.3">
      <c r="A15" s="19">
        <v>60010</v>
      </c>
      <c r="B15" s="20" t="s">
        <v>48</v>
      </c>
      <c r="C15" s="68">
        <v>45229</v>
      </c>
      <c r="D15" s="21">
        <v>2</v>
      </c>
      <c r="E15" s="22">
        <v>653426</v>
      </c>
      <c r="F15" s="22">
        <v>18014</v>
      </c>
      <c r="G15" s="22">
        <f>ROUND(E15-F15,)</f>
        <v>635412</v>
      </c>
      <c r="H15" s="22">
        <f>ROUND(G15*18%,)</f>
        <v>114374</v>
      </c>
      <c r="I15" s="22">
        <f>ROUND(G15+H15,)</f>
        <v>749786</v>
      </c>
      <c r="J15" s="22">
        <f>ROUND(G15*J6,)</f>
        <v>6354</v>
      </c>
      <c r="K15" s="22">
        <f>ROUND(G15*5%,)</f>
        <v>31771</v>
      </c>
      <c r="L15" s="22">
        <f>ROUND(G15*10%,)</f>
        <v>63541</v>
      </c>
      <c r="M15" s="22">
        <f>ROUND(G15*10%,)</f>
        <v>63541</v>
      </c>
      <c r="N15" s="23">
        <f>H15</f>
        <v>114374</v>
      </c>
      <c r="O15" s="22">
        <v>204186</v>
      </c>
      <c r="P15" s="22">
        <f>I15-SUM(J15:O15)</f>
        <v>266019</v>
      </c>
      <c r="Q15" s="24"/>
      <c r="R15" s="22" t="s">
        <v>56</v>
      </c>
      <c r="S15" s="22">
        <v>266019</v>
      </c>
      <c r="T15" s="25" t="s">
        <v>53</v>
      </c>
      <c r="U15" s="19"/>
    </row>
    <row r="16" spans="1:21" ht="16.2" x14ac:dyDescent="0.3">
      <c r="A16" s="19">
        <v>60010</v>
      </c>
      <c r="B16" s="20" t="s">
        <v>47</v>
      </c>
      <c r="C16" s="68"/>
      <c r="D16" s="21">
        <v>2</v>
      </c>
      <c r="E16" s="22">
        <f>N15</f>
        <v>114374</v>
      </c>
      <c r="F16" s="22">
        <v>0</v>
      </c>
      <c r="G16" s="22">
        <f>E16-F16</f>
        <v>114374</v>
      </c>
      <c r="H16" s="22">
        <v>0</v>
      </c>
      <c r="I16" s="22">
        <f>G16+H16</f>
        <v>114374</v>
      </c>
      <c r="J16" s="22">
        <v>0</v>
      </c>
      <c r="K16" s="22">
        <v>0</v>
      </c>
      <c r="L16" s="22"/>
      <c r="M16" s="22"/>
      <c r="N16" s="22">
        <v>0</v>
      </c>
      <c r="O16" s="22"/>
      <c r="P16" s="23">
        <f>I16-SUM(J16:O16)</f>
        <v>114374</v>
      </c>
      <c r="Q16" s="24"/>
      <c r="R16" s="22" t="s">
        <v>57</v>
      </c>
      <c r="S16" s="22">
        <v>114374</v>
      </c>
      <c r="T16" s="25" t="s">
        <v>52</v>
      </c>
      <c r="U16" s="19"/>
    </row>
    <row r="17" spans="1:21" ht="16.2" x14ac:dyDescent="0.3">
      <c r="A17" s="19">
        <v>60010</v>
      </c>
      <c r="B17" s="20" t="s">
        <v>48</v>
      </c>
      <c r="C17" s="68">
        <v>45229</v>
      </c>
      <c r="D17" s="21">
        <v>4</v>
      </c>
      <c r="E17" s="22">
        <v>787619</v>
      </c>
      <c r="F17" s="22">
        <v>72056</v>
      </c>
      <c r="G17" s="22">
        <f>ROUND(E17-F17,)</f>
        <v>715563</v>
      </c>
      <c r="H17" s="22">
        <f>ROUND(G17*18%,)</f>
        <v>128801</v>
      </c>
      <c r="I17" s="22">
        <f>ROUND(G17+H17,)</f>
        <v>844364</v>
      </c>
      <c r="J17" s="22">
        <f>ROUND(G17*J6,)</f>
        <v>7156</v>
      </c>
      <c r="K17" s="22">
        <f>ROUND(G17*5%,)</f>
        <v>35778</v>
      </c>
      <c r="L17" s="22">
        <f>ROUND(G17*10%,)</f>
        <v>71556</v>
      </c>
      <c r="M17" s="22">
        <f>ROUND(G17*10%,)</f>
        <v>71556</v>
      </c>
      <c r="N17" s="23">
        <f>H17</f>
        <v>128801</v>
      </c>
      <c r="O17" s="22">
        <v>24973</v>
      </c>
      <c r="P17" s="22">
        <f>I17-SUM(J17:O17)</f>
        <v>504544</v>
      </c>
      <c r="Q17" s="24"/>
      <c r="R17" s="22" t="s">
        <v>58</v>
      </c>
      <c r="S17" s="22">
        <v>148500</v>
      </c>
      <c r="T17" s="25" t="s">
        <v>51</v>
      </c>
      <c r="U17" s="19"/>
    </row>
    <row r="18" spans="1:21" ht="16.2" x14ac:dyDescent="0.3">
      <c r="A18" s="19">
        <v>60010</v>
      </c>
      <c r="B18" s="20" t="s">
        <v>47</v>
      </c>
      <c r="C18" s="68"/>
      <c r="D18" s="21">
        <v>4</v>
      </c>
      <c r="E18" s="22">
        <f>H17</f>
        <v>128801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>
        <f>E18</f>
        <v>128801</v>
      </c>
      <c r="Q18" s="24"/>
      <c r="R18" s="22" t="s">
        <v>69</v>
      </c>
      <c r="S18" s="22">
        <v>356044</v>
      </c>
      <c r="T18" s="25" t="s">
        <v>61</v>
      </c>
      <c r="U18" s="19"/>
    </row>
    <row r="19" spans="1:21" ht="16.2" x14ac:dyDescent="0.3">
      <c r="A19" s="19">
        <v>60010</v>
      </c>
      <c r="B19" s="20" t="s">
        <v>48</v>
      </c>
      <c r="C19" s="68">
        <v>45618</v>
      </c>
      <c r="D19" s="21">
        <v>1</v>
      </c>
      <c r="E19" s="22">
        <v>132833</v>
      </c>
      <c r="F19" s="22">
        <v>9339</v>
      </c>
      <c r="G19" s="22">
        <f>ROUND(E19-F19,)</f>
        <v>123494</v>
      </c>
      <c r="H19" s="22">
        <f>ROUND(G19*18%,)</f>
        <v>22229</v>
      </c>
      <c r="I19" s="22">
        <f>ROUND(G19+H19,)</f>
        <v>145723</v>
      </c>
      <c r="J19" s="22">
        <f>ROUND(G19*J6,)</f>
        <v>1235</v>
      </c>
      <c r="K19" s="22">
        <f>ROUND(G19*5%,)</f>
        <v>6175</v>
      </c>
      <c r="L19" s="22">
        <f>ROUND(G19*10%,)</f>
        <v>12349</v>
      </c>
      <c r="M19" s="22">
        <f>ROUND(G19*10%,)</f>
        <v>12349</v>
      </c>
      <c r="N19" s="23">
        <f>H19</f>
        <v>22229</v>
      </c>
      <c r="O19" s="22">
        <v>10857</v>
      </c>
      <c r="P19" s="22">
        <f>I19-SUM(J19:O19)</f>
        <v>80529</v>
      </c>
      <c r="Q19" s="24"/>
      <c r="R19" s="22" t="s">
        <v>71</v>
      </c>
      <c r="S19" s="22">
        <v>128801</v>
      </c>
      <c r="T19" s="25" t="s">
        <v>62</v>
      </c>
      <c r="U19" s="19"/>
    </row>
    <row r="20" spans="1:21" ht="16.2" x14ac:dyDescent="0.3">
      <c r="A20" s="19">
        <v>60010</v>
      </c>
      <c r="B20" s="20" t="s">
        <v>47</v>
      </c>
      <c r="C20" s="68"/>
      <c r="D20" s="21">
        <v>1</v>
      </c>
      <c r="E20" s="31">
        <f>N19</f>
        <v>22229</v>
      </c>
      <c r="F20" s="31"/>
      <c r="G20" s="31"/>
      <c r="H20" s="22"/>
      <c r="I20" s="22"/>
      <c r="J20" s="22"/>
      <c r="K20" s="22"/>
      <c r="L20" s="22"/>
      <c r="M20" s="22"/>
      <c r="N20" s="22"/>
      <c r="O20" s="22"/>
      <c r="P20" s="23">
        <f>E20</f>
        <v>22229</v>
      </c>
      <c r="Q20" s="32"/>
      <c r="R20" s="22" t="s">
        <v>72</v>
      </c>
      <c r="S20" s="22">
        <v>99000</v>
      </c>
      <c r="T20" s="25" t="s">
        <v>64</v>
      </c>
      <c r="U20" s="19"/>
    </row>
    <row r="21" spans="1:21" ht="15.6" x14ac:dyDescent="0.3">
      <c r="A21" s="19">
        <v>60010</v>
      </c>
      <c r="B21" s="20" t="s">
        <v>48</v>
      </c>
      <c r="C21" s="68">
        <v>45639</v>
      </c>
      <c r="D21" s="21">
        <v>2</v>
      </c>
      <c r="E21" s="22">
        <v>552655</v>
      </c>
      <c r="F21" s="22">
        <v>95375</v>
      </c>
      <c r="G21" s="22">
        <f>ROUND(E21-F21,)</f>
        <v>457280</v>
      </c>
      <c r="H21" s="22">
        <f>ROUND(G21*18%,)</f>
        <v>82310</v>
      </c>
      <c r="I21" s="22">
        <f>ROUND(G21+H21,)</f>
        <v>539590</v>
      </c>
      <c r="J21" s="22">
        <f>G21*1%</f>
        <v>4572.8</v>
      </c>
      <c r="K21" s="22">
        <f>ROUND(G21*5%,)</f>
        <v>22864</v>
      </c>
      <c r="L21" s="22">
        <f>ROUND(G21*10%,)</f>
        <v>45728</v>
      </c>
      <c r="M21" s="22">
        <f>ROUND(G21*10%,)</f>
        <v>45728</v>
      </c>
      <c r="N21" s="23">
        <f>H21</f>
        <v>82310</v>
      </c>
      <c r="O21" s="22">
        <v>0</v>
      </c>
      <c r="P21" s="22">
        <f>I21-SUM(J21:O21)</f>
        <v>338387.20000000001</v>
      </c>
      <c r="Q21" s="22"/>
      <c r="R21" s="22" t="s">
        <v>73</v>
      </c>
      <c r="S21" s="22">
        <v>118800</v>
      </c>
      <c r="T21" s="25" t="s">
        <v>65</v>
      </c>
      <c r="U21" s="19"/>
    </row>
    <row r="22" spans="1:21" ht="15.6" x14ac:dyDescent="0.3">
      <c r="A22" s="19">
        <v>60010</v>
      </c>
      <c r="B22" s="20" t="s">
        <v>47</v>
      </c>
      <c r="C22" s="68"/>
      <c r="D22" s="21">
        <v>2</v>
      </c>
      <c r="E22" s="31">
        <f>N21</f>
        <v>82310</v>
      </c>
      <c r="F22" s="31"/>
      <c r="G22" s="31"/>
      <c r="H22" s="22"/>
      <c r="I22" s="22"/>
      <c r="J22" s="22"/>
      <c r="K22" s="22"/>
      <c r="L22" s="22"/>
      <c r="M22" s="22"/>
      <c r="N22" s="22"/>
      <c r="O22" s="22"/>
      <c r="P22" s="23">
        <f>E22</f>
        <v>82310</v>
      </c>
      <c r="Q22" s="22"/>
      <c r="R22" s="22" t="s">
        <v>74</v>
      </c>
      <c r="S22" s="22">
        <v>99000</v>
      </c>
      <c r="T22" s="25" t="s">
        <v>67</v>
      </c>
      <c r="U22" s="19"/>
    </row>
    <row r="23" spans="1:21" ht="16.2" x14ac:dyDescent="0.3">
      <c r="A23" s="19">
        <v>60010</v>
      </c>
      <c r="B23" s="20" t="s">
        <v>48</v>
      </c>
      <c r="C23" s="68">
        <v>45684</v>
      </c>
      <c r="D23" s="21">
        <v>3</v>
      </c>
      <c r="E23" s="22">
        <v>182600</v>
      </c>
      <c r="F23" s="22">
        <v>0</v>
      </c>
      <c r="G23" s="22">
        <f>ROUND(E23-F23,)</f>
        <v>182600</v>
      </c>
      <c r="H23" s="22">
        <f>ROUND(G23*18%,)</f>
        <v>32868</v>
      </c>
      <c r="I23" s="22">
        <f>ROUND(G23+H23,)</f>
        <v>215468</v>
      </c>
      <c r="J23" s="22">
        <f>G23*1%</f>
        <v>1826</v>
      </c>
      <c r="K23" s="22">
        <f>ROUND(G23*5%,)</f>
        <v>9130</v>
      </c>
      <c r="L23" s="22">
        <f>ROUND(G23*10%,)</f>
        <v>18260</v>
      </c>
      <c r="M23" s="22">
        <f>ROUND(G23*10%,)</f>
        <v>18260</v>
      </c>
      <c r="N23" s="23">
        <f>H23</f>
        <v>32868</v>
      </c>
      <c r="O23" s="22">
        <v>0</v>
      </c>
      <c r="P23" s="22">
        <f>I23-SUM(J23:O23)</f>
        <v>135124</v>
      </c>
      <c r="Q23" s="32"/>
      <c r="R23" s="22" t="s">
        <v>77</v>
      </c>
      <c r="S23" s="22">
        <v>99000</v>
      </c>
      <c r="T23" s="25" t="s">
        <v>76</v>
      </c>
      <c r="U23" s="19"/>
    </row>
    <row r="24" spans="1:21" ht="15.6" x14ac:dyDescent="0.3">
      <c r="A24" s="19">
        <v>60010</v>
      </c>
      <c r="B24" s="20" t="s">
        <v>47</v>
      </c>
      <c r="C24" s="68"/>
      <c r="D24" s="21">
        <v>3</v>
      </c>
      <c r="E24" s="31">
        <f>N23</f>
        <v>32868</v>
      </c>
      <c r="F24" s="31"/>
      <c r="G24" s="31"/>
      <c r="H24" s="22"/>
      <c r="I24" s="22"/>
      <c r="J24" s="22"/>
      <c r="K24" s="22"/>
      <c r="L24" s="22"/>
      <c r="M24" s="22"/>
      <c r="N24" s="22"/>
      <c r="O24" s="22"/>
      <c r="P24" s="23">
        <f>E24</f>
        <v>32868</v>
      </c>
      <c r="Q24" s="22"/>
      <c r="R24" s="22" t="s">
        <v>79</v>
      </c>
      <c r="S24" s="22">
        <v>49500</v>
      </c>
      <c r="T24" s="25" t="s">
        <v>78</v>
      </c>
      <c r="U24" s="19"/>
    </row>
    <row r="25" spans="1:21" ht="15.6" x14ac:dyDescent="0.3">
      <c r="A25" s="19">
        <v>60010</v>
      </c>
      <c r="B25" s="20" t="s">
        <v>48</v>
      </c>
      <c r="C25" s="68">
        <v>45734</v>
      </c>
      <c r="D25" s="21">
        <v>4</v>
      </c>
      <c r="E25" s="22">
        <v>434827</v>
      </c>
      <c r="F25" s="22">
        <v>106820</v>
      </c>
      <c r="G25" s="22">
        <f>ROUND(E25-F25,)</f>
        <v>328007</v>
      </c>
      <c r="H25" s="22">
        <f>ROUND(G25*18%,)</f>
        <v>59041</v>
      </c>
      <c r="I25" s="22">
        <f>ROUND(G25+H25,)</f>
        <v>387048</v>
      </c>
      <c r="J25" s="22">
        <f>G25*1%</f>
        <v>3280.07</v>
      </c>
      <c r="K25" s="22">
        <f>ROUND(G25*5%,)</f>
        <v>16400</v>
      </c>
      <c r="L25" s="22">
        <f>ROUND(G25*10%,)</f>
        <v>32801</v>
      </c>
      <c r="M25" s="22">
        <f>ROUND(G25*10%,)</f>
        <v>32801</v>
      </c>
      <c r="N25" s="23">
        <f>H25</f>
        <v>59041</v>
      </c>
      <c r="O25" s="22">
        <v>0</v>
      </c>
      <c r="P25" s="22">
        <f>I25-SUM(J25:O25)</f>
        <v>242724.93</v>
      </c>
      <c r="Q25" s="33"/>
      <c r="R25" s="33" t="s">
        <v>81</v>
      </c>
      <c r="S25" s="22">
        <v>49500</v>
      </c>
      <c r="T25" s="25" t="s">
        <v>80</v>
      </c>
      <c r="U25" s="19"/>
    </row>
    <row r="26" spans="1:21" ht="15.6" x14ac:dyDescent="0.3">
      <c r="A26" s="19">
        <v>60010</v>
      </c>
      <c r="B26" s="20" t="s">
        <v>48</v>
      </c>
      <c r="C26" s="68">
        <v>45742</v>
      </c>
      <c r="D26" s="21">
        <v>5</v>
      </c>
      <c r="E26" s="22">
        <v>16224</v>
      </c>
      <c r="F26" s="22">
        <v>3815</v>
      </c>
      <c r="G26" s="22">
        <f>ROUND(E26-F26,)</f>
        <v>12409</v>
      </c>
      <c r="H26" s="22">
        <f>ROUND(G26*18%,)</f>
        <v>2234</v>
      </c>
      <c r="I26" s="22">
        <f>ROUND(G26+H26,)</f>
        <v>14643</v>
      </c>
      <c r="J26" s="22">
        <f>G26*1%</f>
        <v>124.09</v>
      </c>
      <c r="K26" s="22">
        <f>ROUND(G26*5%,)</f>
        <v>620</v>
      </c>
      <c r="L26" s="22">
        <f>ROUND(G26*10%,)</f>
        <v>1241</v>
      </c>
      <c r="M26" s="22">
        <f>ROUND(G26*10%,)</f>
        <v>1241</v>
      </c>
      <c r="N26" s="23">
        <f>H26</f>
        <v>2234</v>
      </c>
      <c r="O26" s="22">
        <v>11784</v>
      </c>
      <c r="P26" s="22">
        <f>I26-SUM(J26:O26)</f>
        <v>-2601.09</v>
      </c>
      <c r="Q26" s="33"/>
      <c r="R26" s="22" t="s">
        <v>83</v>
      </c>
      <c r="S26" s="22">
        <v>99000</v>
      </c>
      <c r="T26" s="25" t="s">
        <v>82</v>
      </c>
      <c r="U26" s="19"/>
    </row>
    <row r="27" spans="1:21" ht="15.6" x14ac:dyDescent="0.3">
      <c r="A27" s="19">
        <v>60010</v>
      </c>
      <c r="B27" s="22" t="s">
        <v>47</v>
      </c>
      <c r="C27" s="70"/>
      <c r="D27" s="22" t="s">
        <v>92</v>
      </c>
      <c r="E27" s="22">
        <f>N25+N26</f>
        <v>61275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>
        <f>E27</f>
        <v>61275</v>
      </c>
      <c r="Q27" s="33"/>
      <c r="R27" s="60" t="s">
        <v>87</v>
      </c>
      <c r="S27" s="22">
        <v>99000</v>
      </c>
      <c r="T27" s="61" t="s">
        <v>86</v>
      </c>
      <c r="U27" s="19"/>
    </row>
    <row r="28" spans="1:21" ht="15.6" x14ac:dyDescent="0.3">
      <c r="A28" s="19">
        <v>60010</v>
      </c>
      <c r="B28" s="22"/>
      <c r="C28" s="70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33"/>
      <c r="R28" s="62" t="s">
        <v>89</v>
      </c>
      <c r="S28" s="22">
        <v>148500</v>
      </c>
      <c r="T28" s="61" t="s">
        <v>88</v>
      </c>
      <c r="U28" s="19"/>
    </row>
    <row r="29" spans="1:21" ht="15.6" x14ac:dyDescent="0.3">
      <c r="A29" s="19">
        <v>60010</v>
      </c>
      <c r="B29" s="63"/>
      <c r="C29" s="71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0"/>
      <c r="R29" s="64"/>
      <c r="S29" s="60">
        <v>99000</v>
      </c>
      <c r="T29" s="61" t="s">
        <v>91</v>
      </c>
      <c r="U29" s="19"/>
    </row>
    <row r="30" spans="1:21" ht="16.2" thickBot="1" x14ac:dyDescent="0.35">
      <c r="A30" s="19">
        <v>60010</v>
      </c>
      <c r="B30" s="63"/>
      <c r="C30" s="71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0"/>
      <c r="R30" s="64"/>
      <c r="S30" s="60">
        <v>99000</v>
      </c>
      <c r="T30" s="61" t="s">
        <v>93</v>
      </c>
      <c r="U30" s="26">
        <f>SUM(P15:P30)-SUM(S15:S30)</f>
        <v>-66453.960000000196</v>
      </c>
    </row>
    <row r="31" spans="1:21" ht="16.2" x14ac:dyDescent="0.3">
      <c r="A31" s="8"/>
      <c r="B31" s="34"/>
      <c r="C31" s="72"/>
      <c r="D31" s="34"/>
      <c r="E31" s="34"/>
      <c r="F31" s="34"/>
      <c r="G31" s="34"/>
      <c r="H31" s="34"/>
      <c r="I31" s="34"/>
      <c r="J31" s="34"/>
      <c r="K31" s="35">
        <f t="shared" ref="K31:N31" si="0">SUM(K8:K26)</f>
        <v>169300</v>
      </c>
      <c r="L31" s="35">
        <f t="shared" si="0"/>
        <v>338600</v>
      </c>
      <c r="M31" s="35">
        <f t="shared" si="0"/>
        <v>338600</v>
      </c>
      <c r="N31" s="35">
        <f t="shared" si="0"/>
        <v>609480</v>
      </c>
      <c r="O31" s="35">
        <f>SUM(O8:O26)</f>
        <v>321847</v>
      </c>
      <c r="P31" s="34"/>
      <c r="Q31" s="34"/>
      <c r="R31" s="34"/>
      <c r="S31" s="34"/>
      <c r="T31" s="34"/>
      <c r="U31" s="8"/>
    </row>
    <row r="32" spans="1:21" ht="16.2" x14ac:dyDescent="0.3">
      <c r="A32" s="19"/>
      <c r="B32" s="22"/>
      <c r="C32" s="70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36"/>
      <c r="O32" s="36" t="s">
        <v>3</v>
      </c>
      <c r="P32" s="36">
        <f>SUM(P8:P31)</f>
        <v>2793279.0400000005</v>
      </c>
      <c r="Q32" s="22"/>
      <c r="R32" s="36" t="s">
        <v>4</v>
      </c>
      <c r="S32" s="36">
        <f>SUM(S8:S30)</f>
        <v>2909235</v>
      </c>
      <c r="T32" s="22"/>
      <c r="U32" s="6">
        <f>SUM(U7:U30)</f>
        <v>-115955.9600000002</v>
      </c>
    </row>
    <row r="33" spans="1:21" ht="15.6" x14ac:dyDescent="0.3">
      <c r="A33" s="19"/>
      <c r="B33" s="22"/>
      <c r="C33" s="70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9"/>
    </row>
    <row r="34" spans="1:21" ht="16.2" x14ac:dyDescent="0.3">
      <c r="A34" s="19"/>
      <c r="B34" s="22"/>
      <c r="C34" s="70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36" t="s">
        <v>90</v>
      </c>
      <c r="S34" s="36">
        <f>P32-S32</f>
        <v>-115955.9599999995</v>
      </c>
      <c r="T34" s="22"/>
      <c r="U34" s="19"/>
    </row>
    <row r="35" spans="1:21" ht="16.2" thickBot="1" x14ac:dyDescent="0.35">
      <c r="A35" s="10"/>
      <c r="B35" s="11"/>
      <c r="C35" s="6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0"/>
    </row>
    <row r="38" spans="1:21" ht="15" thickBot="1" x14ac:dyDescent="0.35"/>
    <row r="39" spans="1:21" ht="15" thickBot="1" x14ac:dyDescent="0.35">
      <c r="M39" s="93" t="s">
        <v>7</v>
      </c>
      <c r="N39" s="87"/>
      <c r="O39" s="88"/>
    </row>
    <row r="40" spans="1:21" x14ac:dyDescent="0.3">
      <c r="M40" s="86">
        <v>45800</v>
      </c>
      <c r="N40" s="87"/>
      <c r="O40" s="88"/>
    </row>
    <row r="41" spans="1:21" x14ac:dyDescent="0.3">
      <c r="M41" s="89" t="s">
        <v>59</v>
      </c>
      <c r="N41" s="90"/>
      <c r="O41" s="37">
        <f>K31+L31+M31</f>
        <v>846500</v>
      </c>
    </row>
    <row r="42" spans="1:21" x14ac:dyDescent="0.3">
      <c r="M42" s="89" t="s">
        <v>60</v>
      </c>
      <c r="N42" s="90"/>
      <c r="O42" s="37">
        <f>S34</f>
        <v>-115955.9599999995</v>
      </c>
    </row>
    <row r="43" spans="1:21" x14ac:dyDescent="0.3">
      <c r="M43" s="89" t="s">
        <v>75</v>
      </c>
      <c r="N43" s="90"/>
      <c r="O43" s="38">
        <f>O31</f>
        <v>321847</v>
      </c>
    </row>
    <row r="44" spans="1:21" ht="15" thickBot="1" x14ac:dyDescent="0.35">
      <c r="M44" s="91" t="s">
        <v>68</v>
      </c>
      <c r="N44" s="92"/>
      <c r="O44" s="39">
        <f>N31-P9-P11-P16-P18-P20-P22-P24-P27</f>
        <v>0</v>
      </c>
    </row>
    <row r="65" spans="2:14" x14ac:dyDescent="0.3">
      <c r="B65" s="84" t="s">
        <v>8</v>
      </c>
      <c r="C65" s="73" t="s">
        <v>9</v>
      </c>
      <c r="D65" s="40" t="s">
        <v>10</v>
      </c>
      <c r="E65" s="41" t="s">
        <v>11</v>
      </c>
      <c r="F65" s="42"/>
      <c r="G65" s="43"/>
      <c r="H65" s="7"/>
      <c r="I65" s="7"/>
    </row>
    <row r="66" spans="2:14" ht="28.8" x14ac:dyDescent="0.3">
      <c r="B66" s="85"/>
      <c r="C66" s="74"/>
      <c r="D66" s="44"/>
      <c r="E66" s="45" t="s">
        <v>32</v>
      </c>
      <c r="F66" s="45" t="s">
        <v>7</v>
      </c>
      <c r="G66" s="45" t="s">
        <v>12</v>
      </c>
      <c r="H66" s="7"/>
      <c r="J66" s="1"/>
    </row>
    <row r="67" spans="2:14" x14ac:dyDescent="0.3">
      <c r="B67" s="46" t="s">
        <v>13</v>
      </c>
      <c r="C67" s="74" t="s">
        <v>14</v>
      </c>
      <c r="D67" s="47" t="s">
        <v>15</v>
      </c>
      <c r="E67" s="48" t="s">
        <v>16</v>
      </c>
      <c r="F67" s="49" t="s">
        <v>17</v>
      </c>
      <c r="G67" s="50" t="s">
        <v>18</v>
      </c>
      <c r="H67" s="7"/>
      <c r="I67" s="2" t="s">
        <v>36</v>
      </c>
      <c r="J67" s="2" t="s">
        <v>37</v>
      </c>
      <c r="K67" s="51" t="s">
        <v>38</v>
      </c>
      <c r="L67" s="51" t="s">
        <v>39</v>
      </c>
      <c r="M67" s="51" t="s">
        <v>40</v>
      </c>
      <c r="N67" s="51" t="s">
        <v>41</v>
      </c>
    </row>
    <row r="68" spans="2:14" x14ac:dyDescent="0.3">
      <c r="B68" s="52">
        <v>1</v>
      </c>
      <c r="C68" s="75" t="s">
        <v>19</v>
      </c>
      <c r="D68" s="53">
        <v>3495</v>
      </c>
      <c r="E68" s="54">
        <v>1371.5</v>
      </c>
      <c r="F68" s="55">
        <v>1179.3</v>
      </c>
      <c r="G68" s="56">
        <f>F68+E68</f>
        <v>2550.8000000000002</v>
      </c>
      <c r="H68" s="7"/>
      <c r="I68" s="57" t="s">
        <v>28</v>
      </c>
      <c r="J68" s="2">
        <v>23.21</v>
      </c>
      <c r="K68" s="51">
        <v>177.12</v>
      </c>
      <c r="L68" s="58">
        <f>K68-J68</f>
        <v>153.91</v>
      </c>
      <c r="M68" s="51">
        <v>50</v>
      </c>
      <c r="N68" s="58">
        <f>M68*L68</f>
        <v>7695.5</v>
      </c>
    </row>
    <row r="69" spans="2:14" x14ac:dyDescent="0.3">
      <c r="B69" s="52">
        <v>2</v>
      </c>
      <c r="C69" s="76" t="s">
        <v>20</v>
      </c>
      <c r="D69" s="53">
        <v>2280</v>
      </c>
      <c r="E69" s="54">
        <v>870.2</v>
      </c>
      <c r="F69" s="53">
        <v>929.3</v>
      </c>
      <c r="G69" s="56">
        <f>F69+E69</f>
        <v>1799.5</v>
      </c>
      <c r="H69" s="7"/>
      <c r="I69" s="57" t="s">
        <v>31</v>
      </c>
      <c r="J69" s="2">
        <v>23.21</v>
      </c>
      <c r="K69" s="51">
        <v>281.83</v>
      </c>
      <c r="L69" s="58">
        <f>K69-J69</f>
        <v>258.62</v>
      </c>
      <c r="M69" s="51">
        <v>200</v>
      </c>
      <c r="N69" s="58">
        <f>M69*L69</f>
        <v>51724</v>
      </c>
    </row>
    <row r="70" spans="2:14" x14ac:dyDescent="0.3">
      <c r="B70" s="52">
        <v>3</v>
      </c>
      <c r="C70" s="76" t="s">
        <v>21</v>
      </c>
      <c r="D70" s="53">
        <v>649</v>
      </c>
      <c r="E70" s="54">
        <v>94.8</v>
      </c>
      <c r="F70" s="55">
        <v>201.6</v>
      </c>
      <c r="G70" s="56">
        <f>F70+E70</f>
        <v>296.39999999999998</v>
      </c>
      <c r="H70" s="7"/>
      <c r="I70" s="2"/>
      <c r="J70" s="2"/>
      <c r="K70" s="51"/>
      <c r="L70" s="51"/>
      <c r="M70" s="3" t="s">
        <v>42</v>
      </c>
      <c r="N70" s="4">
        <f>SUM(N68:N69)</f>
        <v>59419.5</v>
      </c>
    </row>
    <row r="71" spans="2:14" x14ac:dyDescent="0.3">
      <c r="B71" s="52">
        <v>4</v>
      </c>
      <c r="C71" s="76" t="s">
        <v>22</v>
      </c>
      <c r="D71" s="53">
        <v>402</v>
      </c>
      <c r="E71" s="54">
        <v>386</v>
      </c>
      <c r="F71" s="55">
        <v>0</v>
      </c>
      <c r="G71" s="56">
        <f t="shared" ref="G71:G82" si="1">F71+E71</f>
        <v>386</v>
      </c>
      <c r="H71" s="7"/>
      <c r="J71" s="1"/>
    </row>
    <row r="72" spans="2:14" x14ac:dyDescent="0.3">
      <c r="B72" s="52">
        <v>5</v>
      </c>
      <c r="C72" s="76" t="s">
        <v>23</v>
      </c>
      <c r="D72" s="53">
        <v>177</v>
      </c>
      <c r="E72" s="54">
        <v>163.19999999999999</v>
      </c>
      <c r="F72" s="55">
        <v>0</v>
      </c>
      <c r="G72" s="56">
        <f t="shared" si="1"/>
        <v>163.19999999999999</v>
      </c>
    </row>
    <row r="73" spans="2:14" x14ac:dyDescent="0.3">
      <c r="B73" s="52">
        <v>6</v>
      </c>
      <c r="C73" s="76" t="s">
        <v>24</v>
      </c>
      <c r="D73" s="53">
        <v>0</v>
      </c>
      <c r="E73" s="54">
        <v>0</v>
      </c>
      <c r="F73" s="55">
        <v>0</v>
      </c>
      <c r="G73" s="56">
        <f t="shared" si="1"/>
        <v>0</v>
      </c>
    </row>
    <row r="74" spans="2:14" x14ac:dyDescent="0.3">
      <c r="B74" s="52">
        <v>7</v>
      </c>
      <c r="C74" s="76" t="s">
        <v>25</v>
      </c>
      <c r="D74" s="53">
        <v>619</v>
      </c>
      <c r="E74" s="54">
        <v>283</v>
      </c>
      <c r="F74" s="55">
        <v>73</v>
      </c>
      <c r="G74" s="56">
        <f t="shared" si="1"/>
        <v>356</v>
      </c>
    </row>
    <row r="75" spans="2:14" x14ac:dyDescent="0.3">
      <c r="B75" s="52">
        <v>8</v>
      </c>
      <c r="C75" s="76" t="s">
        <v>26</v>
      </c>
      <c r="D75" s="53"/>
      <c r="E75" s="54"/>
      <c r="F75" s="55"/>
      <c r="G75" s="56">
        <f t="shared" si="1"/>
        <v>0</v>
      </c>
    </row>
    <row r="76" spans="2:14" ht="28.8" x14ac:dyDescent="0.3">
      <c r="B76" s="52">
        <v>9</v>
      </c>
      <c r="C76" s="76" t="s">
        <v>27</v>
      </c>
      <c r="D76" s="53">
        <v>1665.51</v>
      </c>
      <c r="E76" s="54">
        <v>211.53</v>
      </c>
      <c r="F76" s="55">
        <v>506.02</v>
      </c>
      <c r="G76" s="56">
        <f>F76+E76</f>
        <v>717.55</v>
      </c>
    </row>
    <row r="77" spans="2:14" ht="28.8" x14ac:dyDescent="0.3">
      <c r="B77" s="52">
        <v>10</v>
      </c>
      <c r="C77" s="76" t="s">
        <v>28</v>
      </c>
      <c r="D77" s="53">
        <v>23.21</v>
      </c>
      <c r="E77" s="54">
        <v>668.37</v>
      </c>
      <c r="F77" s="55">
        <v>177.12</v>
      </c>
      <c r="G77" s="56">
        <f>F77+E77</f>
        <v>845.49</v>
      </c>
    </row>
    <row r="78" spans="2:14" ht="28.8" x14ac:dyDescent="0.3">
      <c r="B78" s="52">
        <v>11</v>
      </c>
      <c r="C78" s="76" t="s">
        <v>29</v>
      </c>
      <c r="D78" s="53">
        <v>43.1</v>
      </c>
      <c r="E78" s="54">
        <v>0</v>
      </c>
      <c r="F78" s="59">
        <f>'[1]MEASUREMENT-01'!N112</f>
        <v>0</v>
      </c>
      <c r="G78" s="56">
        <f t="shared" si="1"/>
        <v>0</v>
      </c>
    </row>
    <row r="79" spans="2:14" ht="28.8" x14ac:dyDescent="0.3">
      <c r="B79" s="52">
        <v>12</v>
      </c>
      <c r="C79" s="75" t="s">
        <v>30</v>
      </c>
      <c r="D79" s="53">
        <v>456.14</v>
      </c>
      <c r="E79" s="54">
        <v>408.33</v>
      </c>
      <c r="F79" s="55">
        <v>124.17</v>
      </c>
      <c r="G79" s="56">
        <f>F79+E79</f>
        <v>532.5</v>
      </c>
    </row>
    <row r="80" spans="2:14" ht="28.8" x14ac:dyDescent="0.3">
      <c r="B80" s="52">
        <v>13</v>
      </c>
      <c r="C80" s="76" t="s">
        <v>34</v>
      </c>
      <c r="D80" s="53">
        <v>1665.51</v>
      </c>
      <c r="E80" s="54">
        <v>0</v>
      </c>
      <c r="F80" s="59">
        <f>'[1]MEASUREMENT-01'!T112</f>
        <v>0</v>
      </c>
      <c r="G80" s="56">
        <f t="shared" si="1"/>
        <v>0</v>
      </c>
    </row>
    <row r="81" spans="2:7" ht="28.8" x14ac:dyDescent="0.3">
      <c r="B81" s="52">
        <v>14</v>
      </c>
      <c r="C81" s="76" t="s">
        <v>31</v>
      </c>
      <c r="D81" s="53">
        <v>23.21</v>
      </c>
      <c r="E81" s="54">
        <v>0</v>
      </c>
      <c r="F81" s="54">
        <v>281.83</v>
      </c>
      <c r="G81" s="56">
        <f t="shared" si="1"/>
        <v>281.83</v>
      </c>
    </row>
    <row r="82" spans="2:7" ht="28.8" x14ac:dyDescent="0.3">
      <c r="B82" s="52">
        <v>15</v>
      </c>
      <c r="C82" s="76" t="s">
        <v>35</v>
      </c>
      <c r="D82" s="53">
        <v>43.1</v>
      </c>
      <c r="E82" s="54">
        <v>0</v>
      </c>
      <c r="F82" s="54">
        <v>0</v>
      </c>
      <c r="G82" s="56">
        <f t="shared" si="1"/>
        <v>0</v>
      </c>
    </row>
    <row r="83" spans="2:7" ht="28.8" x14ac:dyDescent="0.3">
      <c r="B83" s="52">
        <v>16</v>
      </c>
      <c r="C83" s="75" t="s">
        <v>33</v>
      </c>
      <c r="D83" s="53">
        <v>456.14</v>
      </c>
      <c r="E83" s="54">
        <v>0</v>
      </c>
      <c r="F83" s="54">
        <v>440.26</v>
      </c>
      <c r="G83" s="56">
        <f>F83+E83</f>
        <v>440.26</v>
      </c>
    </row>
  </sheetData>
  <mergeCells count="7">
    <mergeCell ref="B65:B66"/>
    <mergeCell ref="M40:O40"/>
    <mergeCell ref="M41:N41"/>
    <mergeCell ref="M44:N44"/>
    <mergeCell ref="M39:O39"/>
    <mergeCell ref="M43:N43"/>
    <mergeCell ref="M42:N4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2025-05-29T12:17:52Z</dcterms:modified>
</cp:coreProperties>
</file>