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PR solved file\PR solved file\"/>
    </mc:Choice>
  </mc:AlternateContent>
  <xr:revisionPtr revIDLastSave="0" documentId="13_ncr:1_{8E56183B-A4FE-451C-9217-626AA30F47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Sheet1!$F$1:$F$71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N26" i="1"/>
  <c r="G51" i="1"/>
  <c r="J51" i="1" s="1"/>
  <c r="N50" i="1"/>
  <c r="H50" i="1"/>
  <c r="I50" i="1" s="1"/>
  <c r="G14" i="1"/>
  <c r="O14" i="1" s="1"/>
  <c r="G49" i="1"/>
  <c r="N49" i="1" s="1"/>
  <c r="U14" i="1"/>
  <c r="U15" i="1"/>
  <c r="U8" i="1"/>
  <c r="T16" i="1"/>
  <c r="U16" i="1" s="1"/>
  <c r="T17" i="1"/>
  <c r="U17" i="1" s="1"/>
  <c r="T12" i="1"/>
  <c r="U12" i="1" s="1"/>
  <c r="T13" i="1"/>
  <c r="U13" i="1" s="1"/>
  <c r="U21" i="1"/>
  <c r="U22" i="1"/>
  <c r="U23" i="1"/>
  <c r="U24" i="1"/>
  <c r="U25" i="1"/>
  <c r="T50" i="1"/>
  <c r="U50" i="1" s="1"/>
  <c r="U32" i="1"/>
  <c r="U33" i="1"/>
  <c r="U34" i="1"/>
  <c r="U35" i="1"/>
  <c r="U37" i="1"/>
  <c r="U38" i="1"/>
  <c r="U40" i="1"/>
  <c r="U41" i="1"/>
  <c r="U42" i="1"/>
  <c r="U43" i="1"/>
  <c r="U44" i="1"/>
  <c r="U49" i="1"/>
  <c r="T48" i="1"/>
  <c r="U48" i="1" s="1"/>
  <c r="Q19" i="1"/>
  <c r="Q28" i="1"/>
  <c r="Q7" i="1"/>
  <c r="U20" i="1"/>
  <c r="T26" i="1"/>
  <c r="U26" i="1" s="1"/>
  <c r="M50" i="1" l="1"/>
  <c r="K50" i="1"/>
  <c r="J50" i="1"/>
  <c r="N14" i="1"/>
  <c r="E15" i="1" s="1"/>
  <c r="P15" i="1" s="1"/>
  <c r="H51" i="1"/>
  <c r="I51" i="1" s="1"/>
  <c r="L51" i="1"/>
  <c r="M51" i="1"/>
  <c r="K51" i="1"/>
  <c r="N51" i="1"/>
  <c r="H14" i="1"/>
  <c r="I14" i="1" s="1"/>
  <c r="L50" i="1"/>
  <c r="H49" i="1"/>
  <c r="I49" i="1" s="1"/>
  <c r="Q47" i="1"/>
  <c r="G48" i="1"/>
  <c r="L48" i="1" s="1"/>
  <c r="P51" i="1" l="1"/>
  <c r="K14" i="1"/>
  <c r="J14" i="1"/>
  <c r="M14" i="1"/>
  <c r="L14" i="1"/>
  <c r="M49" i="1"/>
  <c r="L49" i="1"/>
  <c r="J49" i="1"/>
  <c r="K49" i="1"/>
  <c r="J48" i="1"/>
  <c r="K48" i="1"/>
  <c r="M48" i="1"/>
  <c r="H48" i="1"/>
  <c r="N48" i="1" s="1"/>
  <c r="G25" i="1"/>
  <c r="K25" i="1" s="1"/>
  <c r="G24" i="1"/>
  <c r="K24" i="1" s="1"/>
  <c r="I48" i="1" l="1"/>
  <c r="P48" i="1" s="1"/>
  <c r="W55" i="1" s="1"/>
  <c r="L24" i="1"/>
  <c r="M25" i="1"/>
  <c r="M24" i="1"/>
  <c r="L25" i="1"/>
  <c r="H24" i="1"/>
  <c r="N24" i="1" s="1"/>
  <c r="H25" i="1"/>
  <c r="N25" i="1" s="1"/>
  <c r="J24" i="1"/>
  <c r="J25" i="1"/>
  <c r="P39" i="1"/>
  <c r="P41" i="1"/>
  <c r="P35" i="1"/>
  <c r="P34" i="1"/>
  <c r="T39" i="1"/>
  <c r="U39" i="1" s="1"/>
  <c r="T36" i="1"/>
  <c r="U36" i="1" s="1"/>
  <c r="T31" i="1"/>
  <c r="U31" i="1" s="1"/>
  <c r="P33" i="1"/>
  <c r="G31" i="1"/>
  <c r="H31" i="1" s="1"/>
  <c r="E26" i="1" l="1"/>
  <c r="P26" i="1" s="1"/>
  <c r="I26" i="1"/>
  <c r="I24" i="1"/>
  <c r="P24" i="1" s="1"/>
  <c r="K31" i="1"/>
  <c r="L31" i="1"/>
  <c r="J31" i="1"/>
  <c r="M31" i="1"/>
  <c r="I25" i="1"/>
  <c r="P25" i="1" s="1"/>
  <c r="N31" i="1"/>
  <c r="I31" i="1"/>
  <c r="P31" i="1" l="1"/>
  <c r="W28" i="1"/>
  <c r="T30" i="1"/>
  <c r="U30" i="1" s="1"/>
  <c r="T29" i="1"/>
  <c r="U29" i="1" s="1"/>
  <c r="G40" i="1"/>
  <c r="J40" i="1" s="1"/>
  <c r="G38" i="1"/>
  <c r="H38" i="1" s="1"/>
  <c r="F37" i="1"/>
  <c r="G37" i="1" s="1"/>
  <c r="G36" i="1"/>
  <c r="O32" i="1"/>
  <c r="O55" i="1" s="1"/>
  <c r="F32" i="1"/>
  <c r="G32" i="1" s="1"/>
  <c r="M32" i="1" s="1"/>
  <c r="G30" i="1"/>
  <c r="M30" i="1" s="1"/>
  <c r="F29" i="1"/>
  <c r="G29" i="1" s="1"/>
  <c r="G13" i="1"/>
  <c r="H13" i="1" s="1"/>
  <c r="N13" i="1" s="1"/>
  <c r="F12" i="1"/>
  <c r="G12" i="1" s="1"/>
  <c r="K12" i="1" s="1"/>
  <c r="H37" i="1" l="1"/>
  <c r="N37" i="1" s="1"/>
  <c r="K37" i="1"/>
  <c r="J37" i="1"/>
  <c r="K40" i="1"/>
  <c r="K30" i="1"/>
  <c r="L30" i="1"/>
  <c r="H36" i="1"/>
  <c r="N36" i="1" s="1"/>
  <c r="J36" i="1"/>
  <c r="J38" i="1"/>
  <c r="K36" i="1"/>
  <c r="K38" i="1"/>
  <c r="H30" i="1"/>
  <c r="N30" i="1" s="1"/>
  <c r="J30" i="1"/>
  <c r="H40" i="1"/>
  <c r="N40" i="1" s="1"/>
  <c r="I38" i="1"/>
  <c r="N38" i="1"/>
  <c r="M29" i="1"/>
  <c r="L29" i="1"/>
  <c r="K29" i="1"/>
  <c r="J29" i="1"/>
  <c r="H29" i="1"/>
  <c r="N29" i="1" s="1"/>
  <c r="H32" i="1"/>
  <c r="N32" i="1" s="1"/>
  <c r="J32" i="1"/>
  <c r="K32" i="1"/>
  <c r="L32" i="1"/>
  <c r="J13" i="1"/>
  <c r="L13" i="1"/>
  <c r="M13" i="1"/>
  <c r="K13" i="1"/>
  <c r="I13" i="1"/>
  <c r="L12" i="1"/>
  <c r="M12" i="1"/>
  <c r="J12" i="1"/>
  <c r="H12" i="1"/>
  <c r="N12" i="1" s="1"/>
  <c r="G9" i="1"/>
  <c r="T11" i="1"/>
  <c r="U11" i="1" s="1"/>
  <c r="T10" i="1"/>
  <c r="U10" i="1" s="1"/>
  <c r="I37" i="1" l="1"/>
  <c r="I40" i="1"/>
  <c r="P40" i="1" s="1"/>
  <c r="P13" i="1"/>
  <c r="P38" i="1"/>
  <c r="I30" i="1"/>
  <c r="P37" i="1"/>
  <c r="I36" i="1"/>
  <c r="P36" i="1" s="1"/>
  <c r="I29" i="1"/>
  <c r="I32" i="1"/>
  <c r="P32" i="1" s="1"/>
  <c r="I12" i="1"/>
  <c r="P12" i="1" s="1"/>
  <c r="J9" i="1"/>
  <c r="L9" i="1"/>
  <c r="K9" i="1"/>
  <c r="H9" i="1"/>
  <c r="N9" i="1" s="1"/>
  <c r="M9" i="1"/>
  <c r="F8" i="1"/>
  <c r="W47" i="1" l="1"/>
  <c r="I9" i="1"/>
  <c r="P9" i="1" s="1"/>
  <c r="T9" i="1"/>
  <c r="U9" i="1" s="1"/>
  <c r="G11" i="1" l="1"/>
  <c r="I11" i="1" s="1"/>
  <c r="P11" i="1" l="1"/>
  <c r="G10" i="1"/>
  <c r="I10" i="1" s="1"/>
  <c r="P10" i="1" s="1"/>
  <c r="G8" i="1"/>
  <c r="H8" i="1" s="1"/>
  <c r="N8" i="1" s="1"/>
  <c r="L8" i="1" l="1"/>
  <c r="M8" i="1"/>
  <c r="K8" i="1"/>
  <c r="J8" i="1"/>
  <c r="I8" i="1" l="1"/>
  <c r="P8" i="1" s="1"/>
  <c r="W19" i="1" l="1"/>
</calcChain>
</file>

<file path=xl/sharedStrings.xml><?xml version="1.0" encoding="utf-8"?>
<sst xmlns="http://schemas.openxmlformats.org/spreadsheetml/2006/main" count="149" uniqueCount="123">
  <si>
    <t>Amount</t>
  </si>
  <si>
    <t>PAYMENT NOTE No.</t>
  </si>
  <si>
    <t>UTR</t>
  </si>
  <si>
    <t>Hold Amount for excess Qty. against DPR</t>
  </si>
  <si>
    <t>M A Enterprises</t>
  </si>
  <si>
    <t>Bhameri Shapur Village Pipeline laying work</t>
  </si>
  <si>
    <t>31-12-2022 IFT/IFT22365031250/RIUP22/1727/M A ENTERPRISES 291606.00</t>
  </si>
  <si>
    <t>02-03-2023 IFT/IFT23061020772/RIUP22/2410/M A ENTERPRISES 247500.00</t>
  </si>
  <si>
    <t>21-03-2023 IFT/IFT23080025823/RIUP22/2682/M A ENTERPRISES 99000.00</t>
  </si>
  <si>
    <t>27-03-2023 IFT/IFT23086032015/RIUP22/2746/M A ENTERPRISES 79200.00</t>
  </si>
  <si>
    <t>RIUP22/1727</t>
  </si>
  <si>
    <t>RIUP22/2410</t>
  </si>
  <si>
    <t>RIUP22/2682</t>
  </si>
  <si>
    <t>RIUP22/2746</t>
  </si>
  <si>
    <t>GST Release note</t>
  </si>
  <si>
    <t>21-04-2023 IFT/IFT23111025045/RIUP23/006/M A ENTERPRISES 78318.00</t>
  </si>
  <si>
    <t>RIUP23/006</t>
  </si>
  <si>
    <t>04-05-2023 IFT/IFT23124046202/SPUP23/0367/M A ENTERPRISES 104469.00</t>
  </si>
  <si>
    <t>SPUP23/0367</t>
  </si>
  <si>
    <t>26-06-2023 IFT/IFT23177026389/RIUP23/875/M A ENTERPRISES 189171.00</t>
  </si>
  <si>
    <t>RIUP23/875</t>
  </si>
  <si>
    <t>Tisang Village Pipeline laying work</t>
  </si>
  <si>
    <t>RIUP22/1367</t>
  </si>
  <si>
    <t>29-11-2022 IFT/IFT22333048311/RIUP22/1367/M A ENTERPRISES 179980.00</t>
  </si>
  <si>
    <t>RIUP22/2568/</t>
  </si>
  <si>
    <t>14-03-2023 IFT/IFT23073027097/RIUP22/2568/M A ENTERPRISES 148500.00</t>
  </si>
  <si>
    <t>-</t>
  </si>
  <si>
    <t>RIUP22/2678</t>
  </si>
  <si>
    <t>21-03-2023 IFT/IFT23080010694/RIUP22/2678/M A ENTERPRISES 49500.00</t>
  </si>
  <si>
    <t>RIUP22/2776</t>
  </si>
  <si>
    <t>30-03-2023 IFT/IFT23089029412/RIUP22/2776/M A ENTERPRISES 99000.00</t>
  </si>
  <si>
    <t>RIUP23/004</t>
  </si>
  <si>
    <t>21-04-2023 IFT/IFT23111025042/RIUP23/004/M A ENTERPRISES 49966.00</t>
  </si>
  <si>
    <t>SPUP23/0366</t>
  </si>
  <si>
    <t>03-05-2023 IFT/IFT23123047086/SPUP23/0366/M A ENTERPRISES 53942.00</t>
  </si>
  <si>
    <t xml:space="preserve"> </t>
  </si>
  <si>
    <t>BidauliVillage Pipeline laying work</t>
  </si>
  <si>
    <t>RIUP22/336</t>
  </si>
  <si>
    <t>15-07-2022 IFT/IFT22196017325/RIUP22/336/M A ENTERPRISES 247500.00</t>
  </si>
  <si>
    <t>RIUP22/549</t>
  </si>
  <si>
    <t>19-08-2022 IFT/IFT22231030123/RIUP22/549/M A ENTERP 99000.00</t>
  </si>
  <si>
    <t>RIUP22/762</t>
  </si>
  <si>
    <t>15-09-2022 IFT/IFT22258032555/RIUP22/762/M A ENTERP 1,48,500.00</t>
  </si>
  <si>
    <t>GST RELEASE NOTE</t>
  </si>
  <si>
    <t>5 (3&amp;4)</t>
  </si>
  <si>
    <t>RIUP22/1073</t>
  </si>
  <si>
    <t>21-10-2022 IFT/IFT22294141563/RIUP22/1073/M A ENTERPRISES 172385.00</t>
  </si>
  <si>
    <t>RIUP22/1392</t>
  </si>
  <si>
    <t>02-12-2022 IFT/IFT22336026768/RIUP22/1392/M A ENTERPRISES 89461.00</t>
  </si>
  <si>
    <t>RIUP22/1477</t>
  </si>
  <si>
    <t>10-12-2022 IFT/IFT22344008546/RIUP22/1477/M A ENTERPRISES 49077.00</t>
  </si>
  <si>
    <t>RIUP22/1903</t>
  </si>
  <si>
    <t>18-01-2023 IFT/IFT23018004991/RIUP22/1903/M A ENTERPRISES ₹ 1,00,000.00</t>
  </si>
  <si>
    <t>RIUP22/2289</t>
  </si>
  <si>
    <t>23-02-2023 IFT/IFT23054038430/RIUP22/2289/M A ENTERPRISES 49500.00</t>
  </si>
  <si>
    <t>RIUP23/003</t>
  </si>
  <si>
    <t>21-04-2023 IFT/IFT23111025043/RIUP23/003/M A ENTERPRISES 199182.00</t>
  </si>
  <si>
    <t>RIUP23/005</t>
  </si>
  <si>
    <t>21-04-2023 IFT/IFT23111025044/RIUP23/005/M A ENTERPRISES 33698.00</t>
  </si>
  <si>
    <t>RIUP23/435</t>
  </si>
  <si>
    <t>29-05-2023 IFT/IFT23149016402/RIUP23/435/M A ENTERPRISES 99000.00</t>
  </si>
  <si>
    <t>RIUP23/710</t>
  </si>
  <si>
    <t>17-06-2023 IFT/IFT23168009699/RIUP23/710/M A ENTERPRISES ₹ 1,14,605.00</t>
  </si>
  <si>
    <t>RIUP23/842</t>
  </si>
  <si>
    <t>26-06-2023 IFT/IFT23177009906/RIUP23/842/M A ENTERPRISES 48150.00</t>
  </si>
  <si>
    <t>Ignored</t>
  </si>
  <si>
    <t>GST release note</t>
  </si>
  <si>
    <t>Hold amount release note</t>
  </si>
  <si>
    <t>21-07-2023 IFT/IFT23202090049/RIUP23/1159/M A ENTERPRISES 378564.00</t>
  </si>
  <si>
    <t>RIUP23/1159</t>
  </si>
  <si>
    <t>25, 26, 27</t>
  </si>
  <si>
    <t>18-08-2023 IFT/IFT23230014095/RIUP23/1560A/M A ENTERPRISES 59832.00</t>
  </si>
  <si>
    <t>RIUP23/1560A</t>
  </si>
  <si>
    <t>RIUP23/2127</t>
  </si>
  <si>
    <t>20-09-2023 IFT/IFT23263007401/RIUP23/2127/M A ENTERPRISES 72491.00</t>
  </si>
  <si>
    <t>14-08-2023 IFT/IFT23226143736/RIUP23/1527/M A ENTERPRISES ₹ 46,189.00</t>
  </si>
  <si>
    <t>14-08-2023 IFT/IFT23226143735/RIUP23/1526/M A ENTERPRISES ₹ 49,500.00</t>
  </si>
  <si>
    <t>31-08-2023 IFT/IFT23243083242/RIUP23/1805/M A ENTERPRISES 99000.00</t>
  </si>
  <si>
    <t>26-09-2023 IFT/IFT23269023081/RIUP23/2295/M A ENTERPRISES 99000.00</t>
  </si>
  <si>
    <t>03-10-2023 IFT/IFT23276075340/RIUP23/2448/M A ENTERPRISES 72405.00</t>
  </si>
  <si>
    <t>25-10-2023 IFT/IFT23298027452/RIUP23/2870/M A ENTERPRISES 99000.00</t>
  </si>
  <si>
    <t>RIUP23/2870</t>
  </si>
  <si>
    <t>RIUP23/2448</t>
  </si>
  <si>
    <t>RIUP23/2295</t>
  </si>
  <si>
    <t>25-10-2023 IFT/IFT23298027454/RIUP23/2865/M A ENTERPRISES 99000.00</t>
  </si>
  <si>
    <t>RIUP23/2865</t>
  </si>
  <si>
    <t>RIUP23/877</t>
  </si>
  <si>
    <t>RIUP23/878</t>
  </si>
  <si>
    <t>RIUP23/879</t>
  </si>
  <si>
    <t>31-10-2023 IFT/IFT23304174594/RIUP23/2940A/M A ENTERPRISES 45777.00</t>
  </si>
  <si>
    <t>04-11-2023 IFT/IFT23308042928/RIUP23/2941/M A ENTERPRISES 63984.00</t>
  </si>
  <si>
    <t>08-11-2023 IFT/IFT23312088902/RIUP23/3139/M A ENTERPRISES 99000.0</t>
  </si>
  <si>
    <t>RIUP23/2941</t>
  </si>
  <si>
    <t>RIUP23/3139</t>
  </si>
  <si>
    <t>_</t>
  </si>
  <si>
    <t>04-12-2023 IFT/IFT23338038137/RIUP23/3577/M A ENTERPRISES 99000.00</t>
  </si>
  <si>
    <t>Advance Village Wise</t>
  </si>
  <si>
    <t>90 &amp; 92</t>
  </si>
  <si>
    <t>04-12-2023 IFT/IFT23338038138/RIUP23/3446/M A ENTERPRISES 28452.00</t>
  </si>
  <si>
    <t>Subcontractor:</t>
  </si>
  <si>
    <t>State:</t>
  </si>
  <si>
    <t>Uttar Pradesh</t>
  </si>
  <si>
    <t>District:</t>
  </si>
  <si>
    <t>Shamli</t>
  </si>
  <si>
    <t>Block:</t>
  </si>
  <si>
    <t>ODRI FATEHPUR VILLAGE pipeline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</si>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</sst>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3" fontId="3" fillId="2" borderId="4" xfId="1" applyNumberFormat="1" applyFont="1" applyFill="1" applyBorder="1" applyAlignment="1">
      <alignment vertical="center"/>
    </xf>
    <xf numFmtId="15" fontId="2" fillId="0" borderId="6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43" fontId="0" fillId="3" borderId="6" xfId="0" applyNumberForma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14" fontId="2" fillId="2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horizontal="right" vertical="center"/>
    </xf>
    <xf numFmtId="43" fontId="2" fillId="0" borderId="6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horizontal="center" vertical="center"/>
    </xf>
    <xf numFmtId="43" fontId="2" fillId="2" borderId="7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43" fontId="2" fillId="3" borderId="6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6" fillId="2" borderId="6" xfId="0" applyFont="1" applyFill="1" applyBorder="1" applyAlignment="1">
      <alignment horizontal="center" vertical="center" wrapText="1"/>
    </xf>
    <xf numFmtId="15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43" fontId="2" fillId="2" borderId="8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43" fontId="4" fillId="2" borderId="7" xfId="1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75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defaultColWidth="9" defaultRowHeight="24.95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4" customWidth="1"/>
    <col min="9" max="9" width="12.85546875" style="4" bestFit="1" customWidth="1"/>
    <col min="10" max="10" width="10.7109375" style="2" bestFit="1" customWidth="1"/>
    <col min="11" max="11" width="12.42578125" style="2" customWidth="1"/>
    <col min="12" max="12" width="14.42578125" style="2" customWidth="1"/>
    <col min="13" max="13" width="13.5703125" style="2" customWidth="1"/>
    <col min="14" max="16" width="14.85546875" style="2" customWidth="1"/>
    <col min="17" max="17" width="7.28515625" style="2" customWidth="1"/>
    <col min="18" max="18" width="20.42578125" style="2" bestFit="1" customWidth="1"/>
    <col min="19" max="19" width="11.42578125" style="2" bestFit="1" customWidth="1"/>
    <col min="20" max="20" width="14.7109375" style="2" customWidth="1"/>
    <col min="21" max="21" width="18.85546875" style="2" bestFit="1" customWidth="1"/>
    <col min="22" max="22" width="71.28515625" style="2" customWidth="1"/>
    <col min="23" max="23" width="20.42578125" style="2" bestFit="1" customWidth="1"/>
    <col min="24" max="16384" width="9" style="2"/>
  </cols>
  <sheetData>
    <row r="1" spans="1:125" customFormat="1" ht="24.95" customHeight="1" x14ac:dyDescent="0.25">
      <c r="A1" s="38" t="s">
        <v>99</v>
      </c>
      <c r="B1" s="39" t="s">
        <v>4</v>
      </c>
    </row>
    <row r="2" spans="1:125" customFormat="1" ht="24.95" customHeight="1" x14ac:dyDescent="0.25">
      <c r="A2" s="38" t="s">
        <v>100</v>
      </c>
      <c r="B2" t="s">
        <v>101</v>
      </c>
    </row>
    <row r="3" spans="1:125" customFormat="1" ht="30.6" customHeight="1" x14ac:dyDescent="0.25">
      <c r="A3" s="38" t="s">
        <v>102</v>
      </c>
      <c r="B3" s="38" t="s">
        <v>103</v>
      </c>
    </row>
    <row r="4" spans="1:125" customFormat="1" ht="24.95" customHeight="1" thickBot="1" x14ac:dyDescent="0.3">
      <c r="A4" s="38" t="s">
        <v>104</v>
      </c>
      <c r="B4" s="38" t="s">
        <v>103</v>
      </c>
    </row>
    <row r="5" spans="1:125" ht="24.95" customHeight="1" thickBot="1" x14ac:dyDescent="0.3">
      <c r="A5" s="40" t="s">
        <v>106</v>
      </c>
      <c r="B5" s="41" t="s">
        <v>107</v>
      </c>
      <c r="C5" s="42" t="s">
        <v>108</v>
      </c>
      <c r="D5" s="43" t="s">
        <v>109</v>
      </c>
      <c r="E5" s="41" t="s">
        <v>110</v>
      </c>
      <c r="F5" s="41" t="s">
        <v>111</v>
      </c>
      <c r="G5" s="43" t="s">
        <v>112</v>
      </c>
      <c r="H5" s="44" t="s">
        <v>113</v>
      </c>
      <c r="I5" s="45" t="s">
        <v>0</v>
      </c>
      <c r="J5" s="41" t="s">
        <v>114</v>
      </c>
      <c r="K5" s="41" t="s">
        <v>115</v>
      </c>
      <c r="L5" s="41" t="s">
        <v>116</v>
      </c>
      <c r="M5" s="41" t="s">
        <v>117</v>
      </c>
      <c r="N5" s="41" t="s">
        <v>118</v>
      </c>
      <c r="O5" s="7" t="s">
        <v>3</v>
      </c>
      <c r="P5" s="41" t="s">
        <v>119</v>
      </c>
      <c r="Q5" s="1"/>
      <c r="R5" s="6" t="s">
        <v>1</v>
      </c>
      <c r="S5" s="41" t="s">
        <v>120</v>
      </c>
      <c r="T5" s="41" t="s">
        <v>121</v>
      </c>
      <c r="U5" s="41" t="s">
        <v>122</v>
      </c>
      <c r="V5" s="41" t="s">
        <v>2</v>
      </c>
      <c r="W5" s="48" t="s">
        <v>96</v>
      </c>
    </row>
    <row r="6" spans="1:125" ht="24.95" customHeight="1" x14ac:dyDescent="0.25">
      <c r="B6" s="19"/>
      <c r="C6" s="19"/>
      <c r="D6" s="19"/>
      <c r="E6" s="19"/>
      <c r="F6" s="19"/>
      <c r="G6" s="19"/>
      <c r="H6" s="19"/>
      <c r="I6" s="19"/>
      <c r="J6" s="20">
        <v>0.01</v>
      </c>
      <c r="K6" s="20">
        <v>0.05</v>
      </c>
      <c r="L6" s="20">
        <v>0.1</v>
      </c>
      <c r="M6" s="20">
        <v>0.1</v>
      </c>
      <c r="N6" s="19"/>
      <c r="O6" s="19"/>
      <c r="P6" s="19"/>
      <c r="Q6" s="21"/>
      <c r="R6" s="19"/>
      <c r="S6" s="19"/>
      <c r="T6" s="20">
        <v>0.01</v>
      </c>
      <c r="U6" s="19"/>
      <c r="V6" s="19"/>
      <c r="W6" s="49"/>
    </row>
    <row r="7" spans="1:125" s="5" customFormat="1" ht="24.95" customHeight="1" x14ac:dyDescent="0.25">
      <c r="B7" s="22"/>
      <c r="C7" s="22"/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4">
        <f>A8</f>
        <v>54117</v>
      </c>
      <c r="R7" s="22"/>
      <c r="S7" s="22"/>
      <c r="T7" s="23"/>
      <c r="U7" s="22"/>
      <c r="V7" s="22"/>
      <c r="W7" s="1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</row>
    <row r="8" spans="1:125" ht="24.95" customHeight="1" x14ac:dyDescent="0.25">
      <c r="A8" s="2">
        <v>54117</v>
      </c>
      <c r="B8" s="13" t="s">
        <v>5</v>
      </c>
      <c r="C8" s="9">
        <v>44912</v>
      </c>
      <c r="D8" s="25">
        <v>15</v>
      </c>
      <c r="E8" s="17">
        <v>556696</v>
      </c>
      <c r="F8" s="17">
        <f>1350*90.07</f>
        <v>121594.49999999999</v>
      </c>
      <c r="G8" s="17">
        <f t="shared" ref="G8:G14" si="0">E8-F8</f>
        <v>435101.5</v>
      </c>
      <c r="H8" s="17">
        <f>ROUND(G8*18%,)</f>
        <v>78318</v>
      </c>
      <c r="I8" s="17">
        <f>ROUND(G8+H8,)</f>
        <v>513420</v>
      </c>
      <c r="J8" s="17">
        <f>ROUND(G8*J6,)</f>
        <v>4351</v>
      </c>
      <c r="K8" s="17">
        <f>ROUND(G8*5%,)</f>
        <v>21755</v>
      </c>
      <c r="L8" s="17">
        <f>ROUND(G8*10%,)</f>
        <v>43510</v>
      </c>
      <c r="M8" s="17">
        <f>ROUND(G8*10%,)</f>
        <v>43510</v>
      </c>
      <c r="N8" s="17">
        <f>H8</f>
        <v>78318</v>
      </c>
      <c r="O8" s="17">
        <v>30369</v>
      </c>
      <c r="P8" s="17">
        <f>I8-SUM(J8:O8)</f>
        <v>291607</v>
      </c>
      <c r="Q8" s="26"/>
      <c r="R8" s="15" t="s">
        <v>10</v>
      </c>
      <c r="S8" s="15">
        <v>291606</v>
      </c>
      <c r="T8" s="15">
        <v>0</v>
      </c>
      <c r="U8" s="15">
        <f>S8-T8</f>
        <v>291606</v>
      </c>
      <c r="V8" s="27" t="s">
        <v>6</v>
      </c>
      <c r="W8" s="10"/>
    </row>
    <row r="9" spans="1:125" ht="24.95" customHeight="1" x14ac:dyDescent="0.25">
      <c r="A9" s="2">
        <v>54117</v>
      </c>
      <c r="B9" s="13" t="s">
        <v>5</v>
      </c>
      <c r="C9" s="9">
        <v>44974</v>
      </c>
      <c r="D9" s="25">
        <v>17</v>
      </c>
      <c r="E9" s="17">
        <v>679460</v>
      </c>
      <c r="F9" s="17">
        <v>99077</v>
      </c>
      <c r="G9" s="17">
        <f t="shared" si="0"/>
        <v>580383</v>
      </c>
      <c r="H9" s="17">
        <f>ROUND(G9*18%,)</f>
        <v>104469</v>
      </c>
      <c r="I9" s="17">
        <f>ROUND(G9+H9,)</f>
        <v>684852</v>
      </c>
      <c r="J9" s="17">
        <f>ROUND(G9*J6,)</f>
        <v>5804</v>
      </c>
      <c r="K9" s="17">
        <f>ROUND(G9*5%,)</f>
        <v>29019</v>
      </c>
      <c r="L9" s="17">
        <f>ROUND(G9*10%,)</f>
        <v>58038</v>
      </c>
      <c r="M9" s="17">
        <f>ROUND(G9*10%,)</f>
        <v>58038</v>
      </c>
      <c r="N9" s="17">
        <f>H9</f>
        <v>104469</v>
      </c>
      <c r="O9" s="17">
        <v>45065</v>
      </c>
      <c r="P9" s="17">
        <f>I9-SUM(J9:O9)</f>
        <v>384419</v>
      </c>
      <c r="Q9" s="26"/>
      <c r="R9" s="15" t="s">
        <v>11</v>
      </c>
      <c r="S9" s="15">
        <v>250000</v>
      </c>
      <c r="T9" s="15">
        <f>S9*T6</f>
        <v>2500</v>
      </c>
      <c r="U9" s="15">
        <f t="shared" ref="U9:U17" si="1">S9-T9</f>
        <v>247500</v>
      </c>
      <c r="V9" s="27" t="s">
        <v>7</v>
      </c>
      <c r="W9" s="10"/>
    </row>
    <row r="10" spans="1:125" ht="24.95" customHeight="1" x14ac:dyDescent="0.25">
      <c r="A10" s="2">
        <v>54117</v>
      </c>
      <c r="B10" s="13" t="s">
        <v>14</v>
      </c>
      <c r="C10" s="28">
        <v>45008</v>
      </c>
      <c r="D10" s="25">
        <v>15</v>
      </c>
      <c r="E10" s="15">
        <v>78318</v>
      </c>
      <c r="F10" s="15">
        <v>0</v>
      </c>
      <c r="G10" s="15">
        <f t="shared" si="0"/>
        <v>78318</v>
      </c>
      <c r="H10" s="15">
        <v>0</v>
      </c>
      <c r="I10" s="15">
        <f>G10+H10</f>
        <v>78318</v>
      </c>
      <c r="J10" s="15"/>
      <c r="K10" s="15"/>
      <c r="L10" s="15"/>
      <c r="M10" s="15"/>
      <c r="N10" s="15"/>
      <c r="O10" s="15"/>
      <c r="P10" s="15">
        <f>I10-SUM(J10:N10)</f>
        <v>78318</v>
      </c>
      <c r="Q10" s="26"/>
      <c r="R10" s="15" t="s">
        <v>12</v>
      </c>
      <c r="S10" s="15">
        <v>100000</v>
      </c>
      <c r="T10" s="15">
        <f>S10*T6</f>
        <v>1000</v>
      </c>
      <c r="U10" s="15">
        <f t="shared" si="1"/>
        <v>99000</v>
      </c>
      <c r="V10" s="27" t="s">
        <v>8</v>
      </c>
      <c r="W10" s="10"/>
    </row>
    <row r="11" spans="1:125" ht="24.95" customHeight="1" x14ac:dyDescent="0.25">
      <c r="A11" s="2">
        <v>54117</v>
      </c>
      <c r="B11" s="13" t="s">
        <v>14</v>
      </c>
      <c r="C11" s="28">
        <v>45008</v>
      </c>
      <c r="D11" s="29">
        <v>17</v>
      </c>
      <c r="E11" s="15">
        <v>104468.96</v>
      </c>
      <c r="F11" s="15">
        <v>0</v>
      </c>
      <c r="G11" s="15">
        <f t="shared" si="0"/>
        <v>104468.96</v>
      </c>
      <c r="H11" s="15">
        <v>0</v>
      </c>
      <c r="I11" s="15">
        <f>G11+H11</f>
        <v>104468.96</v>
      </c>
      <c r="J11" s="15"/>
      <c r="K11" s="15">
        <v>0</v>
      </c>
      <c r="L11" s="15"/>
      <c r="M11" s="15"/>
      <c r="N11" s="15">
        <v>0</v>
      </c>
      <c r="O11" s="15"/>
      <c r="P11" s="15">
        <f>I11-SUM(J11:N11)</f>
        <v>104468.96</v>
      </c>
      <c r="Q11" s="26"/>
      <c r="R11" s="15" t="s">
        <v>13</v>
      </c>
      <c r="S11" s="15">
        <v>80000</v>
      </c>
      <c r="T11" s="15">
        <f>S11*T6</f>
        <v>800</v>
      </c>
      <c r="U11" s="15">
        <f t="shared" si="1"/>
        <v>79200</v>
      </c>
      <c r="V11" s="27" t="s">
        <v>9</v>
      </c>
      <c r="W11" s="10"/>
    </row>
    <row r="12" spans="1:125" ht="24.95" customHeight="1" x14ac:dyDescent="0.25">
      <c r="A12" s="2">
        <v>54117</v>
      </c>
      <c r="B12" s="13" t="s">
        <v>5</v>
      </c>
      <c r="C12" s="14">
        <v>45097</v>
      </c>
      <c r="D12" s="25">
        <v>28</v>
      </c>
      <c r="E12" s="15">
        <v>118085</v>
      </c>
      <c r="F12" s="15">
        <f>58545.5+5768.49</f>
        <v>64313.99</v>
      </c>
      <c r="G12" s="15">
        <f t="shared" si="0"/>
        <v>53771.01</v>
      </c>
      <c r="H12" s="17">
        <f>ROUND(G12*18%,)</f>
        <v>9679</v>
      </c>
      <c r="I12" s="17">
        <f>ROUND(G12+H12,)</f>
        <v>63450</v>
      </c>
      <c r="J12" s="17">
        <f>ROUND(G12*J6,)</f>
        <v>538</v>
      </c>
      <c r="K12" s="17">
        <f>ROUND(G12*5%,)</f>
        <v>2689</v>
      </c>
      <c r="L12" s="17">
        <f>ROUND(G12*10%,)</f>
        <v>5377</v>
      </c>
      <c r="M12" s="17">
        <f>ROUND(G12*10%,)</f>
        <v>5377</v>
      </c>
      <c r="N12" s="17">
        <f>H12</f>
        <v>9679</v>
      </c>
      <c r="O12" s="17">
        <v>0</v>
      </c>
      <c r="P12" s="17">
        <f>I12-SUM(J12:O12)</f>
        <v>39790</v>
      </c>
      <c r="Q12" s="26"/>
      <c r="R12" s="15" t="s">
        <v>16</v>
      </c>
      <c r="S12" s="15">
        <v>78318</v>
      </c>
      <c r="T12" s="15">
        <f t="shared" ref="T12:T13" si="2">S12*T7</f>
        <v>0</v>
      </c>
      <c r="U12" s="15">
        <f t="shared" si="1"/>
        <v>78318</v>
      </c>
      <c r="V12" s="27" t="s">
        <v>15</v>
      </c>
      <c r="W12" s="10"/>
    </row>
    <row r="13" spans="1:125" ht="24.95" customHeight="1" x14ac:dyDescent="0.25">
      <c r="A13" s="2">
        <v>54117</v>
      </c>
      <c r="B13" s="13" t="s">
        <v>5</v>
      </c>
      <c r="C13" s="14">
        <v>45097</v>
      </c>
      <c r="D13" s="25">
        <v>29</v>
      </c>
      <c r="E13" s="15">
        <v>202831.57</v>
      </c>
      <c r="F13" s="15">
        <v>0</v>
      </c>
      <c r="G13" s="15">
        <f t="shared" si="0"/>
        <v>202831.57</v>
      </c>
      <c r="H13" s="17">
        <f>ROUND(G13*18%,)</f>
        <v>36510</v>
      </c>
      <c r="I13" s="17">
        <f>ROUND(G13+H13,)</f>
        <v>239342</v>
      </c>
      <c r="J13" s="17">
        <f>ROUND(G13*J6,)</f>
        <v>2028</v>
      </c>
      <c r="K13" s="17">
        <f>ROUND(G13*5%,)</f>
        <v>10142</v>
      </c>
      <c r="L13" s="17">
        <f>ROUND(G13*0%,)</f>
        <v>0</v>
      </c>
      <c r="M13" s="17">
        <f>ROUND(G13*0%,)</f>
        <v>0</v>
      </c>
      <c r="N13" s="17">
        <f>H13</f>
        <v>36510</v>
      </c>
      <c r="O13" s="17">
        <v>0</v>
      </c>
      <c r="P13" s="17">
        <f>I13-SUM(J13:O13)</f>
        <v>190662</v>
      </c>
      <c r="Q13" s="26"/>
      <c r="R13" s="15" t="s">
        <v>18</v>
      </c>
      <c r="S13" s="15">
        <v>104469</v>
      </c>
      <c r="T13" s="15">
        <f t="shared" si="2"/>
        <v>0</v>
      </c>
      <c r="U13" s="15">
        <f t="shared" si="1"/>
        <v>104469</v>
      </c>
      <c r="V13" s="27" t="s">
        <v>17</v>
      </c>
      <c r="W13" s="10"/>
    </row>
    <row r="14" spans="1:125" ht="24.95" customHeight="1" x14ac:dyDescent="0.25">
      <c r="A14" s="2">
        <v>54117</v>
      </c>
      <c r="B14" s="15" t="s">
        <v>5</v>
      </c>
      <c r="C14" s="14">
        <v>45229</v>
      </c>
      <c r="D14" s="29">
        <v>93</v>
      </c>
      <c r="E14" s="15">
        <v>296090</v>
      </c>
      <c r="F14" s="15">
        <v>138028</v>
      </c>
      <c r="G14" s="15">
        <f t="shared" si="0"/>
        <v>158062</v>
      </c>
      <c r="H14" s="15">
        <f>G14*18%</f>
        <v>28451.16</v>
      </c>
      <c r="I14" s="15">
        <f>G14+H14</f>
        <v>186513.16</v>
      </c>
      <c r="J14" s="15">
        <f>I14*1%</f>
        <v>1865.1316000000002</v>
      </c>
      <c r="K14" s="15">
        <f>I14*5%</f>
        <v>9325.6580000000013</v>
      </c>
      <c r="L14" s="15">
        <f>I14*10%</f>
        <v>18651.316000000003</v>
      </c>
      <c r="M14" s="15">
        <f>I14*10%</f>
        <v>18651.316000000003</v>
      </c>
      <c r="N14" s="15">
        <f>G14*18%</f>
        <v>28451.16</v>
      </c>
      <c r="O14" s="15">
        <f>G14*18%</f>
        <v>28451.16</v>
      </c>
      <c r="P14" s="15">
        <v>116966</v>
      </c>
      <c r="Q14" s="26"/>
      <c r="R14" s="15" t="s">
        <v>20</v>
      </c>
      <c r="S14" s="15">
        <v>189171</v>
      </c>
      <c r="T14" s="15">
        <v>0</v>
      </c>
      <c r="U14" s="15">
        <f t="shared" si="1"/>
        <v>189171</v>
      </c>
      <c r="V14" s="27" t="s">
        <v>19</v>
      </c>
      <c r="W14" s="10"/>
    </row>
    <row r="15" spans="1:125" ht="24.95" customHeight="1" x14ac:dyDescent="0.25">
      <c r="A15" s="2">
        <v>54117</v>
      </c>
      <c r="B15" s="13" t="s">
        <v>14</v>
      </c>
      <c r="C15" s="46"/>
      <c r="D15" s="29">
        <v>93</v>
      </c>
      <c r="E15" s="15">
        <f>N14</f>
        <v>28451.16</v>
      </c>
      <c r="F15" s="15">
        <v>0</v>
      </c>
      <c r="G15" s="15"/>
      <c r="H15" s="15"/>
      <c r="I15" s="15"/>
      <c r="J15" s="15"/>
      <c r="K15" s="15">
        <v>0</v>
      </c>
      <c r="L15" s="15"/>
      <c r="M15" s="15"/>
      <c r="N15" s="15">
        <v>0</v>
      </c>
      <c r="O15" s="15"/>
      <c r="P15" s="15">
        <f>E15</f>
        <v>28451.16</v>
      </c>
      <c r="Q15" s="26"/>
      <c r="R15" s="15" t="s">
        <v>86</v>
      </c>
      <c r="S15" s="15">
        <v>46189</v>
      </c>
      <c r="T15" s="15">
        <v>0</v>
      </c>
      <c r="U15" s="15">
        <f t="shared" si="1"/>
        <v>46189</v>
      </c>
      <c r="V15" s="27" t="s">
        <v>75</v>
      </c>
      <c r="W15" s="10"/>
    </row>
    <row r="16" spans="1:125" ht="24.95" customHeight="1" x14ac:dyDescent="0.25">
      <c r="A16" s="2">
        <v>54117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6"/>
      <c r="R16" s="15" t="s">
        <v>87</v>
      </c>
      <c r="S16" s="15">
        <v>50000</v>
      </c>
      <c r="T16" s="15">
        <f t="shared" ref="T16:T17" si="3">S16*1%</f>
        <v>500</v>
      </c>
      <c r="U16" s="15">
        <f t="shared" si="1"/>
        <v>49500</v>
      </c>
      <c r="V16" s="27" t="s">
        <v>76</v>
      </c>
      <c r="W16" s="10"/>
    </row>
    <row r="17" spans="1:125" ht="24.95" customHeight="1" x14ac:dyDescent="0.25">
      <c r="A17" s="2">
        <v>54117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6"/>
      <c r="R17" s="15" t="s">
        <v>88</v>
      </c>
      <c r="S17" s="15">
        <v>100000</v>
      </c>
      <c r="T17" s="15">
        <f t="shared" si="3"/>
        <v>1000</v>
      </c>
      <c r="U17" s="15">
        <f t="shared" si="1"/>
        <v>99000</v>
      </c>
      <c r="V17" s="27" t="s">
        <v>77</v>
      </c>
      <c r="W17" s="10"/>
    </row>
    <row r="18" spans="1:125" ht="24.95" customHeight="1" x14ac:dyDescent="0.25">
      <c r="A18" s="2">
        <v>54117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6"/>
      <c r="R18" s="15" t="s">
        <v>88</v>
      </c>
      <c r="S18" s="15">
        <v>28452</v>
      </c>
      <c r="T18" s="15">
        <v>0</v>
      </c>
      <c r="U18" s="15">
        <f t="shared" ref="U18" si="4">S18-T18</f>
        <v>28452</v>
      </c>
      <c r="V18" s="27" t="s">
        <v>98</v>
      </c>
      <c r="W18" s="10"/>
    </row>
    <row r="19" spans="1:125" s="5" customFormat="1" ht="24.9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4">
        <f>A20</f>
        <v>53240</v>
      </c>
      <c r="R19" s="22"/>
      <c r="S19" s="22"/>
      <c r="T19" s="22"/>
      <c r="U19" s="22"/>
      <c r="V19" s="11"/>
      <c r="W19" s="12">
        <f>SUM(P8:P18)-SUM(U8:U18)</f>
        <v>-77722.880000000121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</row>
    <row r="20" spans="1:125" ht="24.95" customHeight="1" x14ac:dyDescent="0.25">
      <c r="A20" s="2">
        <v>53240</v>
      </c>
      <c r="B20" s="15" t="s">
        <v>21</v>
      </c>
      <c r="C20" s="14">
        <v>44882</v>
      </c>
      <c r="D20" s="15">
        <v>11</v>
      </c>
      <c r="E20" s="15">
        <v>367660</v>
      </c>
      <c r="F20" s="15">
        <v>90070</v>
      </c>
      <c r="G20" s="15">
        <v>277590</v>
      </c>
      <c r="H20" s="15">
        <v>49966</v>
      </c>
      <c r="I20" s="15">
        <v>327556</v>
      </c>
      <c r="J20" s="15">
        <v>2776</v>
      </c>
      <c r="K20" s="15">
        <v>13880</v>
      </c>
      <c r="L20" s="15">
        <v>27759</v>
      </c>
      <c r="M20" s="15">
        <v>27759</v>
      </c>
      <c r="N20" s="15">
        <v>49966</v>
      </c>
      <c r="O20" s="15">
        <v>25436</v>
      </c>
      <c r="P20" s="15">
        <v>179980</v>
      </c>
      <c r="Q20" s="26"/>
      <c r="R20" s="15" t="s">
        <v>22</v>
      </c>
      <c r="S20" s="15">
        <v>179980</v>
      </c>
      <c r="T20" s="15">
        <v>0</v>
      </c>
      <c r="U20" s="15">
        <f t="shared" ref="U20:U26" si="5">S20-T20</f>
        <v>179980</v>
      </c>
      <c r="V20" s="27" t="s">
        <v>23</v>
      </c>
      <c r="W20" s="10"/>
    </row>
    <row r="21" spans="1:125" ht="24.95" customHeight="1" x14ac:dyDescent="0.25">
      <c r="A21" s="2">
        <v>53240</v>
      </c>
      <c r="B21" s="15" t="s">
        <v>21</v>
      </c>
      <c r="C21" s="14">
        <v>44984</v>
      </c>
      <c r="D21" s="15">
        <v>18</v>
      </c>
      <c r="E21" s="15">
        <v>376239.5</v>
      </c>
      <c r="F21" s="15">
        <v>76559.5</v>
      </c>
      <c r="G21" s="15">
        <v>299680</v>
      </c>
      <c r="H21" s="15">
        <v>53942</v>
      </c>
      <c r="I21" s="15">
        <v>353622</v>
      </c>
      <c r="J21" s="15">
        <v>2997</v>
      </c>
      <c r="K21" s="15">
        <v>14984</v>
      </c>
      <c r="L21" s="15">
        <v>29968</v>
      </c>
      <c r="M21" s="15">
        <v>29968</v>
      </c>
      <c r="N21" s="15">
        <v>53942</v>
      </c>
      <c r="O21" s="15">
        <v>30796</v>
      </c>
      <c r="P21" s="15">
        <v>190967</v>
      </c>
      <c r="Q21" s="26"/>
      <c r="R21" s="15" t="s">
        <v>24</v>
      </c>
      <c r="S21" s="15">
        <v>150000</v>
      </c>
      <c r="T21" s="15">
        <v>1500</v>
      </c>
      <c r="U21" s="15">
        <f t="shared" si="5"/>
        <v>148500</v>
      </c>
      <c r="V21" s="27" t="s">
        <v>25</v>
      </c>
      <c r="W21" s="10"/>
    </row>
    <row r="22" spans="1:125" ht="24.95" customHeight="1" x14ac:dyDescent="0.25">
      <c r="A22" s="2">
        <v>53240</v>
      </c>
      <c r="B22" s="15" t="s">
        <v>14</v>
      </c>
      <c r="C22" s="14">
        <v>45008</v>
      </c>
      <c r="D22" s="15">
        <v>11</v>
      </c>
      <c r="E22" s="15">
        <v>49966.2</v>
      </c>
      <c r="F22" s="15">
        <v>0</v>
      </c>
      <c r="G22" s="15">
        <v>49966.2</v>
      </c>
      <c r="H22" s="15">
        <v>0</v>
      </c>
      <c r="I22" s="15">
        <v>49966.2</v>
      </c>
      <c r="J22" s="15" t="s">
        <v>26</v>
      </c>
      <c r="K22" s="15"/>
      <c r="L22" s="15"/>
      <c r="M22" s="15"/>
      <c r="N22" s="15"/>
      <c r="O22" s="15"/>
      <c r="P22" s="15">
        <v>49966.2</v>
      </c>
      <c r="Q22" s="26"/>
      <c r="R22" s="15" t="s">
        <v>27</v>
      </c>
      <c r="S22" s="15">
        <v>50000</v>
      </c>
      <c r="T22" s="15">
        <v>500</v>
      </c>
      <c r="U22" s="15">
        <f t="shared" si="5"/>
        <v>49500</v>
      </c>
      <c r="V22" s="27" t="s">
        <v>28</v>
      </c>
      <c r="W22" s="10"/>
    </row>
    <row r="23" spans="1:125" ht="24.95" customHeight="1" x14ac:dyDescent="0.25">
      <c r="A23" s="2">
        <v>53240</v>
      </c>
      <c r="B23" s="15" t="s">
        <v>14</v>
      </c>
      <c r="C23" s="15"/>
      <c r="D23" s="15">
        <v>18</v>
      </c>
      <c r="E23" s="15">
        <v>53942</v>
      </c>
      <c r="F23" s="15">
        <v>0</v>
      </c>
      <c r="G23" s="15">
        <v>53942</v>
      </c>
      <c r="H23" s="15">
        <v>0</v>
      </c>
      <c r="I23" s="15">
        <v>53942</v>
      </c>
      <c r="J23" s="15">
        <v>0</v>
      </c>
      <c r="K23" s="15">
        <v>0</v>
      </c>
      <c r="L23" s="15"/>
      <c r="M23" s="15"/>
      <c r="N23" s="15">
        <v>0</v>
      </c>
      <c r="O23" s="15"/>
      <c r="P23" s="15">
        <v>53942</v>
      </c>
      <c r="Q23" s="26"/>
      <c r="R23" s="15" t="s">
        <v>29</v>
      </c>
      <c r="S23" s="15">
        <v>100000</v>
      </c>
      <c r="T23" s="15">
        <v>1000</v>
      </c>
      <c r="U23" s="15">
        <f t="shared" si="5"/>
        <v>99000</v>
      </c>
      <c r="V23" s="27" t="s">
        <v>30</v>
      </c>
      <c r="W23" s="10"/>
    </row>
    <row r="24" spans="1:125" ht="24.95" customHeight="1" x14ac:dyDescent="0.25">
      <c r="A24" s="2">
        <v>53240</v>
      </c>
      <c r="B24" s="13" t="s">
        <v>21</v>
      </c>
      <c r="C24" s="14">
        <v>45173</v>
      </c>
      <c r="D24" s="15">
        <v>90</v>
      </c>
      <c r="E24" s="15">
        <v>174015</v>
      </c>
      <c r="F24" s="15">
        <v>54042</v>
      </c>
      <c r="G24" s="17">
        <f>E24-F24</f>
        <v>119973</v>
      </c>
      <c r="H24" s="17">
        <f>ROUND(G24*18%,)</f>
        <v>21595</v>
      </c>
      <c r="I24" s="17">
        <f>ROUND(G24+H24,)</f>
        <v>141568</v>
      </c>
      <c r="J24" s="17">
        <f>G24*1%</f>
        <v>1199.73</v>
      </c>
      <c r="K24" s="17">
        <f>ROUND(G24*5%,)</f>
        <v>5999</v>
      </c>
      <c r="L24" s="17">
        <f>ROUND(G24*10%,)</f>
        <v>11997</v>
      </c>
      <c r="M24" s="17">
        <f>ROUND(G24*10%,)</f>
        <v>11997</v>
      </c>
      <c r="N24" s="17">
        <f>H24</f>
        <v>21595</v>
      </c>
      <c r="O24" s="17">
        <v>0</v>
      </c>
      <c r="P24" s="17">
        <f>I24-SUM(J24:O24)</f>
        <v>88780.27</v>
      </c>
      <c r="Q24" s="26"/>
      <c r="R24" s="15" t="s">
        <v>31</v>
      </c>
      <c r="S24" s="15">
        <v>49966</v>
      </c>
      <c r="T24" s="15"/>
      <c r="U24" s="15">
        <f t="shared" si="5"/>
        <v>49966</v>
      </c>
      <c r="V24" s="27" t="s">
        <v>32</v>
      </c>
      <c r="W24" s="10"/>
    </row>
    <row r="25" spans="1:125" ht="24.95" customHeight="1" x14ac:dyDescent="0.25">
      <c r="A25" s="2">
        <v>53240</v>
      </c>
      <c r="B25" s="13" t="s">
        <v>21</v>
      </c>
      <c r="C25" s="14">
        <v>45174</v>
      </c>
      <c r="D25" s="15">
        <v>92</v>
      </c>
      <c r="E25" s="16">
        <v>133512</v>
      </c>
      <c r="F25" s="16"/>
      <c r="G25" s="17">
        <f>E25-F25</f>
        <v>133512</v>
      </c>
      <c r="H25" s="17">
        <f>ROUND(G25*18%,)</f>
        <v>24032</v>
      </c>
      <c r="I25" s="17">
        <f>ROUND(G25+H25,)</f>
        <v>157544</v>
      </c>
      <c r="J25" s="17">
        <f>G25*1%</f>
        <v>1335.1200000000001</v>
      </c>
      <c r="K25" s="17">
        <f>ROUND(G25*5%,)</f>
        <v>6676</v>
      </c>
      <c r="L25" s="17">
        <f>ROUND(G25*10%,)</f>
        <v>13351</v>
      </c>
      <c r="M25" s="17">
        <f>ROUND(G25*10%,)</f>
        <v>13351</v>
      </c>
      <c r="N25" s="17">
        <f>H25</f>
        <v>24032</v>
      </c>
      <c r="O25" s="17">
        <v>130052</v>
      </c>
      <c r="P25" s="17">
        <f>I25-SUM(J25:O25)</f>
        <v>-31253.119999999995</v>
      </c>
      <c r="Q25" s="26"/>
      <c r="R25" s="15" t="s">
        <v>33</v>
      </c>
      <c r="S25" s="15">
        <v>53942</v>
      </c>
      <c r="T25" s="15"/>
      <c r="U25" s="15">
        <f t="shared" si="5"/>
        <v>53942</v>
      </c>
      <c r="V25" s="27" t="s">
        <v>34</v>
      </c>
      <c r="W25" s="10"/>
    </row>
    <row r="26" spans="1:125" ht="24.95" customHeight="1" x14ac:dyDescent="0.25">
      <c r="A26" s="2">
        <v>53240</v>
      </c>
      <c r="B26" s="13" t="s">
        <v>14</v>
      </c>
      <c r="C26" s="14"/>
      <c r="D26" s="18" t="s">
        <v>97</v>
      </c>
      <c r="E26" s="16">
        <f>N24+N25</f>
        <v>45627</v>
      </c>
      <c r="F26" s="16"/>
      <c r="G26" s="17"/>
      <c r="H26" s="17">
        <v>0</v>
      </c>
      <c r="I26" s="17">
        <f>ROUND(G26+H26,)</f>
        <v>0</v>
      </c>
      <c r="J26" s="17">
        <v>0</v>
      </c>
      <c r="K26" s="17">
        <v>0</v>
      </c>
      <c r="L26" s="17">
        <v>0</v>
      </c>
      <c r="M26" s="17">
        <v>0</v>
      </c>
      <c r="N26" s="17">
        <f>H26</f>
        <v>0</v>
      </c>
      <c r="O26" s="17">
        <v>0</v>
      </c>
      <c r="P26" s="17">
        <f>E26</f>
        <v>45627</v>
      </c>
      <c r="Q26" s="26"/>
      <c r="R26" s="15" t="s">
        <v>81</v>
      </c>
      <c r="S26" s="15">
        <v>100000</v>
      </c>
      <c r="T26" s="15">
        <f>S26*1%</f>
        <v>1000</v>
      </c>
      <c r="U26" s="15">
        <f t="shared" si="5"/>
        <v>99000</v>
      </c>
      <c r="V26" s="27" t="s">
        <v>80</v>
      </c>
      <c r="W26" s="10"/>
    </row>
    <row r="27" spans="1:125" ht="24.95" customHeight="1" x14ac:dyDescent="0.25">
      <c r="A27" s="2">
        <v>53240</v>
      </c>
      <c r="B27" s="13"/>
      <c r="C27" s="14"/>
      <c r="D27" s="15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R27" s="15"/>
      <c r="S27" s="15"/>
      <c r="T27" s="15"/>
      <c r="U27" s="15">
        <v>45777</v>
      </c>
      <c r="V27" s="27" t="s">
        <v>89</v>
      </c>
      <c r="W27" s="10"/>
    </row>
    <row r="28" spans="1:125" s="5" customFormat="1" ht="24.95" customHeight="1" x14ac:dyDescent="0.25">
      <c r="B28" s="22" t="s">
        <v>35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4">
        <f>A29</f>
        <v>51618</v>
      </c>
      <c r="R28" s="22"/>
      <c r="S28" s="22"/>
      <c r="T28" s="22"/>
      <c r="U28" s="22"/>
      <c r="V28" s="11"/>
      <c r="W28" s="12">
        <f>SUM(P20:P27)-SUM(U20:U27)</f>
        <v>-147655.65000000002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</row>
    <row r="29" spans="1:125" ht="24.95" customHeight="1" x14ac:dyDescent="0.25">
      <c r="A29" s="2">
        <v>51618</v>
      </c>
      <c r="B29" s="31" t="s">
        <v>36</v>
      </c>
      <c r="C29" s="32">
        <v>44846</v>
      </c>
      <c r="D29" s="33">
        <v>3</v>
      </c>
      <c r="E29" s="34">
        <v>812170.5</v>
      </c>
      <c r="F29" s="34">
        <f>1200*90.07</f>
        <v>108083.99999999999</v>
      </c>
      <c r="G29" s="34">
        <f t="shared" ref="G29:G40" si="6">E29-F29</f>
        <v>704086.5</v>
      </c>
      <c r="H29" s="34">
        <f>G29*18%</f>
        <v>126735.56999999999</v>
      </c>
      <c r="I29" s="34">
        <f>ROUND(G29+H29,)</f>
        <v>830822</v>
      </c>
      <c r="J29" s="34">
        <f>ROUND(G29*$J$6,)</f>
        <v>7041</v>
      </c>
      <c r="K29" s="34">
        <f>G29*5%</f>
        <v>35204.325000000004</v>
      </c>
      <c r="L29" s="34">
        <f>G29*5%</f>
        <v>35204.325000000004</v>
      </c>
      <c r="M29" s="34">
        <f>G29*10%</f>
        <v>70408.650000000009</v>
      </c>
      <c r="N29" s="34">
        <f>H29</f>
        <v>126735.56999999999</v>
      </c>
      <c r="O29" s="34">
        <v>206803</v>
      </c>
      <c r="P29" s="34"/>
      <c r="Q29" s="47" t="s">
        <v>65</v>
      </c>
      <c r="R29" s="15" t="s">
        <v>37</v>
      </c>
      <c r="S29" s="15">
        <v>250000</v>
      </c>
      <c r="T29" s="15">
        <f>S29*1%</f>
        <v>2500</v>
      </c>
      <c r="U29" s="15">
        <f>S29-T29</f>
        <v>247500</v>
      </c>
      <c r="V29" s="27" t="s">
        <v>38</v>
      </c>
      <c r="W29" s="10"/>
    </row>
    <row r="30" spans="1:125" ht="24.95" customHeight="1" x14ac:dyDescent="0.25">
      <c r="A30" s="2">
        <v>51618</v>
      </c>
      <c r="B30" s="31" t="s">
        <v>36</v>
      </c>
      <c r="C30" s="32">
        <v>44846</v>
      </c>
      <c r="D30" s="33">
        <v>4</v>
      </c>
      <c r="E30" s="34">
        <v>402480.75</v>
      </c>
      <c r="F30" s="34">
        <v>0</v>
      </c>
      <c r="G30" s="34">
        <f t="shared" si="6"/>
        <v>402480.75</v>
      </c>
      <c r="H30" s="34">
        <f>G30*18%</f>
        <v>72446.535000000003</v>
      </c>
      <c r="I30" s="34">
        <f>ROUND(G30+H30,)</f>
        <v>474927</v>
      </c>
      <c r="J30" s="34">
        <f>G30*$J$6</f>
        <v>4024.8074999999999</v>
      </c>
      <c r="K30" s="34">
        <f>G30*5%</f>
        <v>20124.037500000002</v>
      </c>
      <c r="L30" s="34">
        <f>G30*5%</f>
        <v>20124.037500000002</v>
      </c>
      <c r="M30" s="34">
        <f>G30*10%</f>
        <v>40248.075000000004</v>
      </c>
      <c r="N30" s="34">
        <f>H30</f>
        <v>72446.535000000003</v>
      </c>
      <c r="O30" s="34">
        <v>0</v>
      </c>
      <c r="P30" s="34"/>
      <c r="Q30" s="47"/>
      <c r="R30" s="15" t="s">
        <v>39</v>
      </c>
      <c r="S30" s="15">
        <v>100000</v>
      </c>
      <c r="T30" s="15">
        <f t="shared" ref="T30" si="7">S30*1%</f>
        <v>1000</v>
      </c>
      <c r="U30" s="15">
        <f t="shared" ref="U30:U44" si="8">S30-T30</f>
        <v>99000</v>
      </c>
      <c r="V30" s="27" t="s">
        <v>40</v>
      </c>
      <c r="W30" s="10"/>
    </row>
    <row r="31" spans="1:125" ht="24.95" customHeight="1" x14ac:dyDescent="0.25">
      <c r="A31" s="2">
        <v>51618</v>
      </c>
      <c r="B31" s="31"/>
      <c r="C31" s="28">
        <v>44846</v>
      </c>
      <c r="D31" s="29">
        <v>5</v>
      </c>
      <c r="E31" s="15">
        <v>1214651.25</v>
      </c>
      <c r="F31" s="15">
        <v>108084</v>
      </c>
      <c r="G31" s="15">
        <f t="shared" ref="G31" si="9">E31-F31</f>
        <v>1106567.25</v>
      </c>
      <c r="H31" s="15">
        <f>G31*18%</f>
        <v>199182.10499999998</v>
      </c>
      <c r="I31" s="15">
        <f>ROUND(G31+H31,)</f>
        <v>1305749</v>
      </c>
      <c r="J31" s="15">
        <f>G31*$J$6</f>
        <v>11065.672500000001</v>
      </c>
      <c r="K31" s="15">
        <f>G31*5%</f>
        <v>55328.362500000003</v>
      </c>
      <c r="L31" s="15">
        <f>G31*5%</f>
        <v>55328.362500000003</v>
      </c>
      <c r="M31" s="15">
        <f>G31*10%</f>
        <v>110656.72500000001</v>
      </c>
      <c r="N31" s="15">
        <f>H31</f>
        <v>199182.10499999998</v>
      </c>
      <c r="O31" s="15"/>
      <c r="P31" s="15">
        <f t="shared" ref="P31" si="10">ROUND(I31-SUM(J31:O31),)</f>
        <v>874188</v>
      </c>
      <c r="Q31" s="35"/>
      <c r="R31" s="15" t="s">
        <v>41</v>
      </c>
      <c r="S31" s="15">
        <v>150000</v>
      </c>
      <c r="T31" s="15">
        <f t="shared" ref="T31" si="11">S31*1%</f>
        <v>1500</v>
      </c>
      <c r="U31" s="15">
        <f t="shared" si="8"/>
        <v>148500</v>
      </c>
      <c r="V31" s="27" t="s">
        <v>42</v>
      </c>
      <c r="W31" s="10"/>
    </row>
    <row r="32" spans="1:125" ht="24.95" customHeight="1" x14ac:dyDescent="0.25">
      <c r="A32" s="2">
        <v>51618</v>
      </c>
      <c r="B32" s="13" t="s">
        <v>36</v>
      </c>
      <c r="C32" s="28">
        <v>44880</v>
      </c>
      <c r="D32" s="29">
        <v>12</v>
      </c>
      <c r="E32" s="15">
        <v>196219.5</v>
      </c>
      <c r="F32" s="15">
        <f>100*90.07</f>
        <v>9007</v>
      </c>
      <c r="G32" s="15">
        <f t="shared" si="6"/>
        <v>187212.5</v>
      </c>
      <c r="H32" s="15">
        <f>G32*18%</f>
        <v>33698.25</v>
      </c>
      <c r="I32" s="15">
        <f>ROUND(G32+H32,)</f>
        <v>220911</v>
      </c>
      <c r="J32" s="15">
        <f>G32*$J$6</f>
        <v>1872.125</v>
      </c>
      <c r="K32" s="15">
        <f>G32*5%</f>
        <v>9360.625</v>
      </c>
      <c r="L32" s="15">
        <f>G32*10%</f>
        <v>18721.25</v>
      </c>
      <c r="M32" s="15">
        <f>G32*10%</f>
        <v>18721.25</v>
      </c>
      <c r="N32" s="15">
        <f>H32</f>
        <v>33698.25</v>
      </c>
      <c r="O32" s="15">
        <f>255880-O29-O30</f>
        <v>49077</v>
      </c>
      <c r="P32" s="15">
        <f t="shared" ref="P32:P37" si="12">ROUND(I32-SUM(J32:O32),)</f>
        <v>89461</v>
      </c>
      <c r="Q32" s="26"/>
      <c r="R32" s="15" t="s">
        <v>45</v>
      </c>
      <c r="S32" s="15">
        <v>172385</v>
      </c>
      <c r="T32" s="15">
        <v>0</v>
      </c>
      <c r="U32" s="15">
        <f t="shared" si="8"/>
        <v>172385</v>
      </c>
      <c r="V32" s="27" t="s">
        <v>46</v>
      </c>
      <c r="W32" s="10"/>
    </row>
    <row r="33" spans="1:125" ht="24.95" customHeight="1" x14ac:dyDescent="0.15">
      <c r="A33" s="2">
        <v>51618</v>
      </c>
      <c r="B33" s="13" t="s">
        <v>67</v>
      </c>
      <c r="C33" s="28">
        <v>44904</v>
      </c>
      <c r="D33" s="29">
        <v>12</v>
      </c>
      <c r="E33" s="15">
        <v>49077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E33</f>
        <v>49077</v>
      </c>
      <c r="Q33" s="26"/>
      <c r="R33" s="15" t="s">
        <v>47</v>
      </c>
      <c r="S33" s="15">
        <v>89461</v>
      </c>
      <c r="T33" s="15">
        <v>0</v>
      </c>
      <c r="U33" s="15">
        <f t="shared" si="8"/>
        <v>89461</v>
      </c>
      <c r="V33" s="30" t="s">
        <v>48</v>
      </c>
      <c r="W33" s="10"/>
    </row>
    <row r="34" spans="1:125" ht="24.95" customHeight="1" x14ac:dyDescent="0.25">
      <c r="A34" s="2">
        <v>51618</v>
      </c>
      <c r="B34" s="13" t="s">
        <v>43</v>
      </c>
      <c r="C34" s="28">
        <v>45008</v>
      </c>
      <c r="D34" s="29" t="s">
        <v>44</v>
      </c>
      <c r="E34" s="15">
        <v>199182.24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E34</f>
        <v>199182.24</v>
      </c>
      <c r="Q34" s="26"/>
      <c r="R34" s="15" t="s">
        <v>49</v>
      </c>
      <c r="S34" s="15">
        <v>49077</v>
      </c>
      <c r="T34" s="15">
        <v>0</v>
      </c>
      <c r="U34" s="15">
        <f t="shared" si="8"/>
        <v>49077</v>
      </c>
      <c r="V34" s="27" t="s">
        <v>50</v>
      </c>
      <c r="W34" s="10"/>
    </row>
    <row r="35" spans="1:125" ht="24.95" customHeight="1" x14ac:dyDescent="0.25">
      <c r="A35" s="2">
        <v>51618</v>
      </c>
      <c r="B35" s="13" t="s">
        <v>43</v>
      </c>
      <c r="C35" s="28">
        <v>45008</v>
      </c>
      <c r="D35" s="29">
        <v>12</v>
      </c>
      <c r="E35" s="15">
        <v>33698.25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E35</f>
        <v>33698.25</v>
      </c>
      <c r="Q35" s="26"/>
      <c r="R35" s="15" t="s">
        <v>51</v>
      </c>
      <c r="S35" s="15">
        <v>100000</v>
      </c>
      <c r="T35" s="15">
        <v>0</v>
      </c>
      <c r="U35" s="15">
        <f t="shared" si="8"/>
        <v>100000</v>
      </c>
      <c r="V35" s="27" t="s">
        <v>52</v>
      </c>
      <c r="W35" s="10"/>
    </row>
    <row r="36" spans="1:125" ht="24.95" customHeight="1" x14ac:dyDescent="0.25">
      <c r="A36" s="2">
        <v>51618</v>
      </c>
      <c r="B36" s="13" t="s">
        <v>36</v>
      </c>
      <c r="C36" s="28">
        <v>45083</v>
      </c>
      <c r="D36" s="29">
        <v>25</v>
      </c>
      <c r="E36" s="15">
        <v>52750</v>
      </c>
      <c r="F36" s="15"/>
      <c r="G36" s="15">
        <f>E36-F36</f>
        <v>52750</v>
      </c>
      <c r="H36" s="15">
        <f>G36*18%</f>
        <v>9495</v>
      </c>
      <c r="I36" s="15">
        <f t="shared" ref="I36:I40" si="13">G36+H36</f>
        <v>62245</v>
      </c>
      <c r="J36" s="15">
        <f>ROUND(G36*$J$6,)</f>
        <v>528</v>
      </c>
      <c r="K36" s="15">
        <f>G36*5%</f>
        <v>2637.5</v>
      </c>
      <c r="L36" s="15">
        <v>0</v>
      </c>
      <c r="M36" s="15">
        <v>0</v>
      </c>
      <c r="N36" s="15">
        <f>H36</f>
        <v>9495</v>
      </c>
      <c r="O36" s="15"/>
      <c r="P36" s="15">
        <f t="shared" si="12"/>
        <v>49585</v>
      </c>
      <c r="Q36" s="26"/>
      <c r="R36" s="15" t="s">
        <v>53</v>
      </c>
      <c r="S36" s="15">
        <v>50000</v>
      </c>
      <c r="T36" s="15">
        <f t="shared" ref="T36" si="14">S36*1%</f>
        <v>500</v>
      </c>
      <c r="U36" s="15">
        <f t="shared" si="8"/>
        <v>49500</v>
      </c>
      <c r="V36" s="27" t="s">
        <v>54</v>
      </c>
      <c r="W36" s="10"/>
    </row>
    <row r="37" spans="1:125" ht="24.95" customHeight="1" x14ac:dyDescent="0.25">
      <c r="A37" s="2">
        <v>51618</v>
      </c>
      <c r="B37" s="13" t="s">
        <v>36</v>
      </c>
      <c r="C37" s="28">
        <v>45083</v>
      </c>
      <c r="D37" s="29">
        <v>26</v>
      </c>
      <c r="E37" s="15">
        <v>383187.75</v>
      </c>
      <c r="F37" s="15">
        <f>22517.5+133525-3.75</f>
        <v>156038.75</v>
      </c>
      <c r="G37" s="15">
        <f t="shared" si="6"/>
        <v>227149</v>
      </c>
      <c r="H37" s="15">
        <f>G37*18%</f>
        <v>40886.82</v>
      </c>
      <c r="I37" s="15">
        <f t="shared" si="13"/>
        <v>268035.82</v>
      </c>
      <c r="J37" s="15">
        <f>ROUND(G37*$J$6,)</f>
        <v>2271</v>
      </c>
      <c r="K37" s="15">
        <f>G37*5%</f>
        <v>11357.45</v>
      </c>
      <c r="L37" s="15">
        <v>0</v>
      </c>
      <c r="M37" s="15">
        <v>0</v>
      </c>
      <c r="N37" s="15">
        <f>H37</f>
        <v>40886.82</v>
      </c>
      <c r="O37" s="15">
        <v>0</v>
      </c>
      <c r="P37" s="15">
        <f t="shared" si="12"/>
        <v>213521</v>
      </c>
      <c r="Q37" s="26"/>
      <c r="R37" s="15" t="s">
        <v>55</v>
      </c>
      <c r="S37" s="15">
        <v>199182</v>
      </c>
      <c r="T37" s="15">
        <v>0</v>
      </c>
      <c r="U37" s="15">
        <f t="shared" si="8"/>
        <v>199182</v>
      </c>
      <c r="V37" s="36" t="s">
        <v>56</v>
      </c>
      <c r="W37" s="10"/>
    </row>
    <row r="38" spans="1:125" ht="24.95" customHeight="1" x14ac:dyDescent="0.25">
      <c r="A38" s="2">
        <v>51618</v>
      </c>
      <c r="B38" s="13" t="s">
        <v>36</v>
      </c>
      <c r="C38" s="28">
        <v>45092</v>
      </c>
      <c r="D38" s="29">
        <v>27</v>
      </c>
      <c r="E38" s="10">
        <v>52500</v>
      </c>
      <c r="F38" s="10">
        <v>0</v>
      </c>
      <c r="G38" s="15">
        <f t="shared" si="6"/>
        <v>52500</v>
      </c>
      <c r="H38" s="15">
        <f>G38*18%</f>
        <v>9450</v>
      </c>
      <c r="I38" s="15">
        <f t="shared" si="13"/>
        <v>61950</v>
      </c>
      <c r="J38" s="15">
        <f>ROUND(G38*$J$6,)</f>
        <v>525</v>
      </c>
      <c r="K38" s="15">
        <f>G38*5%</f>
        <v>2625</v>
      </c>
      <c r="L38" s="15">
        <v>0</v>
      </c>
      <c r="M38" s="15">
        <v>0</v>
      </c>
      <c r="N38" s="15">
        <f>H38</f>
        <v>9450</v>
      </c>
      <c r="O38" s="15">
        <v>1200</v>
      </c>
      <c r="P38" s="15">
        <f>ROUND(I38-SUM(J38:O38),)</f>
        <v>48150</v>
      </c>
      <c r="Q38" s="26"/>
      <c r="R38" s="15" t="s">
        <v>57</v>
      </c>
      <c r="S38" s="15">
        <v>33698</v>
      </c>
      <c r="T38" s="15">
        <v>0</v>
      </c>
      <c r="U38" s="15">
        <f t="shared" si="8"/>
        <v>33698</v>
      </c>
      <c r="V38" s="27" t="s">
        <v>58</v>
      </c>
      <c r="W38" s="10"/>
    </row>
    <row r="39" spans="1:125" ht="24.95" customHeight="1" x14ac:dyDescent="0.25">
      <c r="A39" s="2">
        <v>51618</v>
      </c>
      <c r="B39" s="13" t="s">
        <v>66</v>
      </c>
      <c r="C39" s="28">
        <v>45134</v>
      </c>
      <c r="D39" s="29" t="s">
        <v>70</v>
      </c>
      <c r="E39" s="10">
        <v>59831</v>
      </c>
      <c r="F39" s="10"/>
      <c r="G39" s="15"/>
      <c r="H39" s="15"/>
      <c r="I39" s="15"/>
      <c r="J39" s="15"/>
      <c r="K39" s="15"/>
      <c r="L39" s="15"/>
      <c r="M39" s="15"/>
      <c r="N39" s="15"/>
      <c r="O39" s="15"/>
      <c r="P39" s="15">
        <f>E39</f>
        <v>59831</v>
      </c>
      <c r="Q39" s="26"/>
      <c r="R39" s="15" t="s">
        <v>59</v>
      </c>
      <c r="S39" s="15">
        <v>100000</v>
      </c>
      <c r="T39" s="15">
        <f t="shared" ref="T39" si="15">S39*1%</f>
        <v>1000</v>
      </c>
      <c r="U39" s="15">
        <f t="shared" si="8"/>
        <v>99000</v>
      </c>
      <c r="V39" s="27" t="s">
        <v>60</v>
      </c>
      <c r="W39" s="10"/>
    </row>
    <row r="40" spans="1:125" ht="24.95" customHeight="1" x14ac:dyDescent="0.25">
      <c r="A40" s="2">
        <v>51618</v>
      </c>
      <c r="B40" s="13" t="s">
        <v>36</v>
      </c>
      <c r="C40" s="28">
        <v>45117</v>
      </c>
      <c r="D40" s="29">
        <v>71</v>
      </c>
      <c r="E40" s="10">
        <v>606622.5</v>
      </c>
      <c r="F40" s="15">
        <v>203893.08</v>
      </c>
      <c r="G40" s="15">
        <f t="shared" si="6"/>
        <v>402729.42000000004</v>
      </c>
      <c r="H40" s="15">
        <f>G40*18%</f>
        <v>72491.295599999998</v>
      </c>
      <c r="I40" s="15">
        <f t="shared" si="13"/>
        <v>475220.71560000005</v>
      </c>
      <c r="J40" s="15">
        <f>ROUND(G40*$J$6,)</f>
        <v>4027</v>
      </c>
      <c r="K40" s="15">
        <f>G40*5%</f>
        <v>20136.471000000005</v>
      </c>
      <c r="L40" s="15">
        <v>0</v>
      </c>
      <c r="M40" s="15">
        <v>0</v>
      </c>
      <c r="N40" s="15">
        <f>H40</f>
        <v>72491.295599999998</v>
      </c>
      <c r="O40" s="15">
        <v>0</v>
      </c>
      <c r="P40" s="15">
        <f>ROUND(I40-SUM(J40:O40),)</f>
        <v>378566</v>
      </c>
      <c r="Q40" s="26"/>
      <c r="R40" s="15" t="s">
        <v>61</v>
      </c>
      <c r="S40" s="15">
        <v>114605</v>
      </c>
      <c r="T40" s="15">
        <v>0</v>
      </c>
      <c r="U40" s="15">
        <f t="shared" si="8"/>
        <v>114605</v>
      </c>
      <c r="V40" s="27" t="s">
        <v>62</v>
      </c>
      <c r="W40" s="10"/>
    </row>
    <row r="41" spans="1:125" ht="24.95" customHeight="1" x14ac:dyDescent="0.25">
      <c r="A41" s="2">
        <v>51618</v>
      </c>
      <c r="B41" s="13" t="s">
        <v>43</v>
      </c>
      <c r="C41" s="14"/>
      <c r="D41" s="29">
        <v>71</v>
      </c>
      <c r="E41" s="15">
        <v>72491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E41</f>
        <v>72491</v>
      </c>
      <c r="Q41" s="26"/>
      <c r="R41" s="15" t="s">
        <v>63</v>
      </c>
      <c r="S41" s="15">
        <v>48150</v>
      </c>
      <c r="T41" s="15">
        <v>0</v>
      </c>
      <c r="U41" s="15">
        <f t="shared" si="8"/>
        <v>48150</v>
      </c>
      <c r="V41" s="27" t="s">
        <v>64</v>
      </c>
      <c r="W41" s="10"/>
    </row>
    <row r="42" spans="1:125" ht="24.95" customHeight="1" x14ac:dyDescent="0.25">
      <c r="A42" s="2">
        <v>51618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6"/>
      <c r="R42" s="15" t="s">
        <v>72</v>
      </c>
      <c r="S42" s="15">
        <v>59832</v>
      </c>
      <c r="T42" s="15"/>
      <c r="U42" s="15">
        <f t="shared" si="8"/>
        <v>59832</v>
      </c>
      <c r="V42" s="27" t="s">
        <v>71</v>
      </c>
      <c r="W42" s="10"/>
    </row>
    <row r="43" spans="1:125" ht="24.95" customHeight="1" x14ac:dyDescent="0.25">
      <c r="A43" s="2">
        <v>51618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26"/>
      <c r="R43" s="15" t="s">
        <v>69</v>
      </c>
      <c r="S43" s="15">
        <v>378564</v>
      </c>
      <c r="T43" s="15"/>
      <c r="U43" s="15">
        <f t="shared" si="8"/>
        <v>378564</v>
      </c>
      <c r="V43" s="27" t="s">
        <v>68</v>
      </c>
      <c r="W43" s="10"/>
    </row>
    <row r="44" spans="1:125" ht="24.95" customHeight="1" x14ac:dyDescent="0.25">
      <c r="A44" s="2">
        <v>51618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26"/>
      <c r="R44" s="15" t="s">
        <v>73</v>
      </c>
      <c r="S44" s="15">
        <v>72491</v>
      </c>
      <c r="T44" s="15"/>
      <c r="U44" s="15">
        <f t="shared" si="8"/>
        <v>72491</v>
      </c>
      <c r="V44" s="27" t="s">
        <v>74</v>
      </c>
      <c r="W44" s="10"/>
    </row>
    <row r="45" spans="1:125" ht="24.95" customHeight="1" x14ac:dyDescent="0.25">
      <c r="A45" s="2">
        <v>51618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26"/>
      <c r="R45" s="15"/>
      <c r="S45" s="15"/>
      <c r="T45" s="15"/>
      <c r="U45" s="15"/>
      <c r="V45" s="27"/>
      <c r="W45" s="10"/>
    </row>
    <row r="46" spans="1:125" ht="24.95" customHeight="1" x14ac:dyDescent="0.25">
      <c r="A46" s="2">
        <v>51618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26"/>
      <c r="R46" s="15"/>
      <c r="S46" s="15"/>
      <c r="T46" s="15"/>
      <c r="U46" s="15"/>
      <c r="V46" s="27"/>
      <c r="W46" s="10"/>
    </row>
    <row r="47" spans="1:125" s="5" customFormat="1" ht="24.95" customHeight="1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4">
        <f>A48</f>
        <v>59182</v>
      </c>
      <c r="R47" s="22"/>
      <c r="S47" s="22"/>
      <c r="T47" s="22"/>
      <c r="U47" s="22"/>
      <c r="V47" s="11"/>
      <c r="W47" s="12">
        <f>SUM(P29:P46)-SUM(U29:U46)</f>
        <v>106805.48999999999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</row>
    <row r="48" spans="1:125" ht="26.25" customHeight="1" x14ac:dyDescent="0.25">
      <c r="A48" s="2">
        <v>59182</v>
      </c>
      <c r="B48" s="13" t="s">
        <v>5</v>
      </c>
      <c r="C48" s="14">
        <v>45173</v>
      </c>
      <c r="D48" s="15">
        <v>91</v>
      </c>
      <c r="E48" s="17">
        <v>481569</v>
      </c>
      <c r="F48" s="17">
        <v>126098</v>
      </c>
      <c r="G48" s="17">
        <f t="shared" ref="G48" si="16">E48-F48</f>
        <v>355471</v>
      </c>
      <c r="H48" s="17">
        <f>ROUND(G48*18%,)</f>
        <v>63985</v>
      </c>
      <c r="I48" s="17">
        <f>ROUND(G48+H48,)</f>
        <v>419456</v>
      </c>
      <c r="J48" s="15">
        <f>ROUND(G48*$J$6,)</f>
        <v>3555</v>
      </c>
      <c r="K48" s="17">
        <f>ROUND(G48*5%,)</f>
        <v>17774</v>
      </c>
      <c r="L48" s="17">
        <f>ROUND(G48*10%,)</f>
        <v>35547</v>
      </c>
      <c r="M48" s="17">
        <f>ROUND(G48*10%,)</f>
        <v>35547</v>
      </c>
      <c r="N48" s="17">
        <f>H48</f>
        <v>63985</v>
      </c>
      <c r="O48" s="17">
        <v>91642</v>
      </c>
      <c r="P48" s="17">
        <f>I48-SUM(J48:O48)</f>
        <v>171406</v>
      </c>
      <c r="Q48" s="26"/>
      <c r="R48" s="15" t="s">
        <v>83</v>
      </c>
      <c r="S48" s="15">
        <v>100000</v>
      </c>
      <c r="T48" s="15">
        <f>S48*1%</f>
        <v>1000</v>
      </c>
      <c r="U48" s="15">
        <f>S48-T48</f>
        <v>99000</v>
      </c>
      <c r="V48" s="27" t="s">
        <v>78</v>
      </c>
      <c r="W48" s="10"/>
    </row>
    <row r="49" spans="1:23" ht="24.95" customHeight="1" x14ac:dyDescent="0.25">
      <c r="A49" s="2">
        <v>59182</v>
      </c>
      <c r="B49" s="13" t="s">
        <v>105</v>
      </c>
      <c r="C49" s="9">
        <v>45173</v>
      </c>
      <c r="D49" s="25">
        <v>91</v>
      </c>
      <c r="E49" s="17">
        <v>481569</v>
      </c>
      <c r="F49" s="17">
        <v>126098</v>
      </c>
      <c r="G49" s="17">
        <f>E49-F49</f>
        <v>355471</v>
      </c>
      <c r="H49" s="17">
        <f>G49*18%</f>
        <v>63984.78</v>
      </c>
      <c r="I49" s="17">
        <f>G49+H49</f>
        <v>419455.78</v>
      </c>
      <c r="J49" s="17">
        <f>I49*1%</f>
        <v>4194.5578000000005</v>
      </c>
      <c r="K49" s="17">
        <f>I49*5%</f>
        <v>20972.789000000004</v>
      </c>
      <c r="L49" s="17">
        <f>I49*10%</f>
        <v>41945.578000000009</v>
      </c>
      <c r="M49" s="17">
        <f>I49*10%</f>
        <v>41945.578000000009</v>
      </c>
      <c r="N49" s="17">
        <f>G49*18%</f>
        <v>63984.78</v>
      </c>
      <c r="O49" s="17">
        <v>91642</v>
      </c>
      <c r="P49" s="17">
        <v>171406</v>
      </c>
      <c r="Q49" s="26"/>
      <c r="R49" s="15" t="s">
        <v>82</v>
      </c>
      <c r="S49" s="15">
        <v>72405</v>
      </c>
      <c r="T49" s="15">
        <v>0</v>
      </c>
      <c r="U49" s="15">
        <f>S49-T49</f>
        <v>72405</v>
      </c>
      <c r="V49" s="27" t="s">
        <v>79</v>
      </c>
      <c r="W49" s="10"/>
    </row>
    <row r="50" spans="1:23" ht="24.95" customHeight="1" x14ac:dyDescent="0.25">
      <c r="A50" s="2">
        <v>59182</v>
      </c>
      <c r="B50" s="13" t="s">
        <v>5</v>
      </c>
      <c r="C50" s="14">
        <v>45233</v>
      </c>
      <c r="D50" s="15">
        <v>94</v>
      </c>
      <c r="E50" s="15">
        <v>229950</v>
      </c>
      <c r="F50" s="15" t="s">
        <v>94</v>
      </c>
      <c r="G50" s="15">
        <v>229950</v>
      </c>
      <c r="H50" s="15">
        <f>G50*18%</f>
        <v>41391</v>
      </c>
      <c r="I50" s="15">
        <f>G50+H50</f>
        <v>271341</v>
      </c>
      <c r="J50" s="15">
        <f>I50*1%</f>
        <v>2713.41</v>
      </c>
      <c r="K50" s="15">
        <f>I50*5%</f>
        <v>13567.050000000001</v>
      </c>
      <c r="L50" s="15">
        <f>I50*10%</f>
        <v>27134.100000000002</v>
      </c>
      <c r="M50" s="15">
        <f>I50*10%</f>
        <v>27134.100000000002</v>
      </c>
      <c r="N50" s="15">
        <f>G50*18%</f>
        <v>41391</v>
      </c>
      <c r="O50" s="15">
        <v>41391</v>
      </c>
      <c r="P50" s="15">
        <v>72243</v>
      </c>
      <c r="Q50" s="26"/>
      <c r="R50" s="15" t="s">
        <v>85</v>
      </c>
      <c r="S50" s="15">
        <v>100000</v>
      </c>
      <c r="T50" s="15">
        <f t="shared" ref="T50" si="17">S50*1%</f>
        <v>1000</v>
      </c>
      <c r="U50" s="15">
        <f>S50-T50</f>
        <v>99000</v>
      </c>
      <c r="V50" s="27" t="s">
        <v>84</v>
      </c>
      <c r="W50" s="10"/>
    </row>
    <row r="51" spans="1:23" ht="24.95" customHeight="1" x14ac:dyDescent="0.25">
      <c r="A51" s="2">
        <v>59182</v>
      </c>
      <c r="B51" s="13" t="s">
        <v>5</v>
      </c>
      <c r="C51" s="14">
        <v>45325</v>
      </c>
      <c r="D51" s="15">
        <v>121</v>
      </c>
      <c r="E51" s="15">
        <v>447853</v>
      </c>
      <c r="F51" s="15">
        <v>128220</v>
      </c>
      <c r="G51" s="15">
        <f>E51-F51</f>
        <v>319633</v>
      </c>
      <c r="H51" s="15">
        <f>G51*18%</f>
        <v>57533.939999999995</v>
      </c>
      <c r="I51" s="15">
        <f>G51+H51</f>
        <v>377166.94</v>
      </c>
      <c r="J51" s="15">
        <f>G51*1%</f>
        <v>3196.33</v>
      </c>
      <c r="K51" s="15">
        <f>G51*5%</f>
        <v>15981.650000000001</v>
      </c>
      <c r="L51" s="15">
        <f>G51*10%</f>
        <v>31963.300000000003</v>
      </c>
      <c r="M51" s="15">
        <f>G51*10%</f>
        <v>31963.300000000003</v>
      </c>
      <c r="N51" s="15">
        <f>G51*18%</f>
        <v>57533.939999999995</v>
      </c>
      <c r="O51" s="15">
        <v>17525</v>
      </c>
      <c r="P51" s="17">
        <f>I51-SUM(J51:O51)</f>
        <v>219003.41999999998</v>
      </c>
      <c r="Q51" s="26"/>
      <c r="R51" s="15" t="s">
        <v>92</v>
      </c>
      <c r="S51" s="15">
        <v>63984</v>
      </c>
      <c r="T51" s="15"/>
      <c r="U51" s="15">
        <v>63984</v>
      </c>
      <c r="V51" s="27" t="s">
        <v>90</v>
      </c>
      <c r="W51" s="10"/>
    </row>
    <row r="52" spans="1:23" ht="24.95" customHeight="1" x14ac:dyDescent="0.25">
      <c r="A52" s="2">
        <v>59182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6"/>
      <c r="R52" s="15" t="s">
        <v>93</v>
      </c>
      <c r="S52" s="15">
        <v>99000</v>
      </c>
      <c r="T52" s="15"/>
      <c r="U52" s="15">
        <v>99000</v>
      </c>
      <c r="V52" s="27" t="s">
        <v>91</v>
      </c>
      <c r="W52" s="10"/>
    </row>
    <row r="53" spans="1:23" ht="24.95" customHeight="1" x14ac:dyDescent="0.25">
      <c r="A53" s="2">
        <v>59182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6"/>
      <c r="R53" s="15" t="s">
        <v>93</v>
      </c>
      <c r="S53" s="15">
        <v>99000</v>
      </c>
      <c r="T53" s="15"/>
      <c r="U53" s="15">
        <v>99000</v>
      </c>
      <c r="V53" s="27" t="s">
        <v>95</v>
      </c>
      <c r="W53" s="10"/>
    </row>
    <row r="54" spans="1:23" ht="24.95" customHeight="1" thickBot="1" x14ac:dyDescent="0.3">
      <c r="A54" s="2">
        <v>59182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0"/>
    </row>
    <row r="55" spans="1:23" ht="24.95" customHeight="1" thickBot="1" x14ac:dyDescent="0.3">
      <c r="A55" s="3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8">
        <f t="shared" ref="O55" si="18">SUM(O7:O52)</f>
        <v>789449.16</v>
      </c>
      <c r="P55" s="37"/>
      <c r="Q55" s="37"/>
      <c r="R55" s="37"/>
      <c r="S55" s="37"/>
      <c r="T55" s="37"/>
      <c r="U55" s="37"/>
      <c r="V55" s="37"/>
      <c r="W55" s="12">
        <f>SUM(P48:P55)-SUM(U48:U55)</f>
        <v>101669.41999999993</v>
      </c>
    </row>
    <row r="56" spans="1:23" ht="24.95" customHeight="1" x14ac:dyDescent="0.25">
      <c r="H56" s="2"/>
      <c r="I56" s="2"/>
    </row>
    <row r="57" spans="1:23" ht="24.95" customHeight="1" x14ac:dyDescent="0.25">
      <c r="H57" s="2"/>
      <c r="I57" s="2"/>
    </row>
    <row r="58" spans="1:23" ht="24.95" customHeight="1" x14ac:dyDescent="0.25">
      <c r="H58" s="2"/>
      <c r="I58" s="2"/>
    </row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</sheetData>
  <autoFilter ref="F1:F75" xr:uid="{00000000-0009-0000-0000-000000000000}"/>
  <mergeCells count="2">
    <mergeCell ref="Q29:Q30"/>
    <mergeCell ref="W5:W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2025-06-03T06:41:11Z</dcterms:modified>
</cp:coreProperties>
</file>