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864576F9-B9A6-4D66-B3F7-967B0288BBC1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definedNames>
    <definedName name="_xlnm._FilterDatabase" localSheetId="0" hidden="1">Sheet1!$F$1:$F$56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6" i="1" l="1"/>
  <c r="G40" i="1"/>
  <c r="M40" i="1" s="1"/>
  <c r="Q39" i="1"/>
  <c r="J40" i="1" l="1"/>
  <c r="K40" i="1"/>
  <c r="H40" i="1"/>
  <c r="N40" i="1" s="1"/>
  <c r="E41" i="1" s="1"/>
  <c r="P41" i="1" s="1"/>
  <c r="L40" i="1"/>
  <c r="G37" i="1"/>
  <c r="M37" i="1" s="1"/>
  <c r="G26" i="1"/>
  <c r="M26" i="1" s="1"/>
  <c r="I40" i="1" l="1"/>
  <c r="P40" i="1" s="1"/>
  <c r="T40" i="1" s="1"/>
  <c r="J26" i="1"/>
  <c r="L37" i="1"/>
  <c r="H37" i="1"/>
  <c r="N37" i="1" s="1"/>
  <c r="E38" i="1" s="1"/>
  <c r="P38" i="1" s="1"/>
  <c r="J37" i="1"/>
  <c r="K37" i="1"/>
  <c r="H26" i="1"/>
  <c r="N26" i="1" s="1"/>
  <c r="E27" i="1" s="1"/>
  <c r="P27" i="1" s="1"/>
  <c r="K26" i="1"/>
  <c r="L26" i="1"/>
  <c r="G35" i="1"/>
  <c r="K35" i="1" s="1"/>
  <c r="R46" i="1"/>
  <c r="G34" i="1"/>
  <c r="K34" i="1" s="1"/>
  <c r="Q33" i="1"/>
  <c r="G30" i="1"/>
  <c r="K30" i="1" s="1"/>
  <c r="Q29" i="1"/>
  <c r="G24" i="1"/>
  <c r="K24" i="1" s="1"/>
  <c r="G21" i="1"/>
  <c r="K21" i="1" s="1"/>
  <c r="G20" i="1"/>
  <c r="L20" i="1" s="1"/>
  <c r="G19" i="1"/>
  <c r="J19" i="1" s="1"/>
  <c r="G18" i="1"/>
  <c r="K18" i="1" s="1"/>
  <c r="G12" i="1"/>
  <c r="K12" i="1" s="1"/>
  <c r="G11" i="1"/>
  <c r="K11" i="1" s="1"/>
  <c r="G10" i="1"/>
  <c r="K10" i="1" s="1"/>
  <c r="G9" i="1"/>
  <c r="K9" i="1" s="1"/>
  <c r="I37" i="1" l="1"/>
  <c r="P37" i="1" s="1"/>
  <c r="I26" i="1"/>
  <c r="P26" i="1" s="1"/>
  <c r="H35" i="1"/>
  <c r="N35" i="1" s="1"/>
  <c r="L35" i="1"/>
  <c r="M35" i="1"/>
  <c r="J35" i="1"/>
  <c r="H34" i="1"/>
  <c r="N34" i="1" s="1"/>
  <c r="E36" i="1" s="1"/>
  <c r="P36" i="1" s="1"/>
  <c r="L34" i="1"/>
  <c r="M34" i="1"/>
  <c r="J34" i="1"/>
  <c r="H30" i="1"/>
  <c r="N30" i="1" s="1"/>
  <c r="E31" i="1" s="1"/>
  <c r="P31" i="1" s="1"/>
  <c r="J30" i="1"/>
  <c r="L30" i="1"/>
  <c r="M30" i="1"/>
  <c r="J20" i="1"/>
  <c r="H18" i="1"/>
  <c r="N18" i="1" s="1"/>
  <c r="L18" i="1"/>
  <c r="M20" i="1"/>
  <c r="J21" i="1"/>
  <c r="H24" i="1"/>
  <c r="N24" i="1" s="1"/>
  <c r="E25" i="1" s="1"/>
  <c r="P25" i="1" s="1"/>
  <c r="L21" i="1"/>
  <c r="L24" i="1"/>
  <c r="H21" i="1"/>
  <c r="M21" i="1"/>
  <c r="M24" i="1"/>
  <c r="M18" i="1"/>
  <c r="H19" i="1"/>
  <c r="N19" i="1" s="1"/>
  <c r="L19" i="1"/>
  <c r="K20" i="1"/>
  <c r="J18" i="1"/>
  <c r="M19" i="1"/>
  <c r="H20" i="1"/>
  <c r="J24" i="1"/>
  <c r="K19" i="1"/>
  <c r="H12" i="1"/>
  <c r="N12" i="1" s="1"/>
  <c r="E15" i="1" s="1"/>
  <c r="P15" i="1" s="1"/>
  <c r="J12" i="1"/>
  <c r="L12" i="1"/>
  <c r="M12" i="1"/>
  <c r="L11" i="1"/>
  <c r="M11" i="1"/>
  <c r="H11" i="1"/>
  <c r="N11" i="1" s="1"/>
  <c r="J11" i="1"/>
  <c r="L10" i="1"/>
  <c r="M10" i="1"/>
  <c r="H10" i="1"/>
  <c r="N10" i="1" s="1"/>
  <c r="J10" i="1"/>
  <c r="L9" i="1"/>
  <c r="M9" i="1"/>
  <c r="H9" i="1"/>
  <c r="N9" i="1" s="1"/>
  <c r="E14" i="1" s="1"/>
  <c r="P14" i="1" s="1"/>
  <c r="J9" i="1"/>
  <c r="I34" i="1" l="1"/>
  <c r="I30" i="1"/>
  <c r="P30" i="1" s="1"/>
  <c r="T32" i="1" s="1"/>
  <c r="I35" i="1"/>
  <c r="P35" i="1" s="1"/>
  <c r="P34" i="1"/>
  <c r="T34" i="1" s="1"/>
  <c r="E22" i="1"/>
  <c r="P22" i="1" s="1"/>
  <c r="I18" i="1"/>
  <c r="P18" i="1" s="1"/>
  <c r="I12" i="1"/>
  <c r="P12" i="1" s="1"/>
  <c r="I24" i="1"/>
  <c r="P24" i="1" s="1"/>
  <c r="N21" i="1"/>
  <c r="I21" i="1"/>
  <c r="I20" i="1"/>
  <c r="N20" i="1"/>
  <c r="I19" i="1"/>
  <c r="P19" i="1" s="1"/>
  <c r="I11" i="1"/>
  <c r="P11" i="1" s="1"/>
  <c r="I10" i="1"/>
  <c r="P10" i="1" s="1"/>
  <c r="I9" i="1"/>
  <c r="P9" i="1" s="1"/>
  <c r="Q17" i="1"/>
  <c r="Q7" i="1"/>
  <c r="E23" i="1" l="1"/>
  <c r="P23" i="1" s="1"/>
  <c r="P21" i="1"/>
  <c r="P20" i="1"/>
  <c r="G8" i="1" l="1"/>
  <c r="L8" i="1" s="1"/>
  <c r="L46" i="1" s="1"/>
  <c r="T28" i="1" l="1"/>
  <c r="H8" i="1"/>
  <c r="J8" i="1"/>
  <c r="M8" i="1"/>
  <c r="M46" i="1" s="1"/>
  <c r="K8" i="1"/>
  <c r="K46" i="1" s="1"/>
  <c r="I8" i="1" l="1"/>
  <c r="N8" i="1"/>
  <c r="N46" i="1" s="1"/>
  <c r="E13" i="1" l="1"/>
  <c r="P13" i="1" s="1"/>
  <c r="L56" i="1" s="1"/>
  <c r="L52" i="1"/>
  <c r="P8" i="1"/>
  <c r="P46" i="1" l="1"/>
  <c r="R47" i="1" s="1"/>
  <c r="L54" i="1" s="1"/>
  <c r="T16" i="1"/>
  <c r="T46" i="1" s="1"/>
</calcChain>
</file>

<file path=xl/sharedStrings.xml><?xml version="1.0" encoding="utf-8"?>
<sst xmlns="http://schemas.openxmlformats.org/spreadsheetml/2006/main" count="88" uniqueCount="67">
  <si>
    <t>Amount</t>
  </si>
  <si>
    <t>UTR</t>
  </si>
  <si>
    <t xml:space="preserve">Debit </t>
  </si>
  <si>
    <t>Total Payable Amount Rs. -</t>
  </si>
  <si>
    <t>Hold Amount For Quantity excess against DPR</t>
  </si>
  <si>
    <t>14-08-2023 NEFT/AXISP00415473391/RIUP23/1493/MA PUNDIR ENTER 128605.00</t>
  </si>
  <si>
    <t>18-09-2023 NEFT/AXISP00425658725/RIUP23/2079/MA PUNDIR ENTERPRI/PUNB0166010 125052.00</t>
  </si>
  <si>
    <t>05-10-2023 NEFT/AXISP00430957658/RIUP23/2495/MA PUNDIR ENTERPRI/PUNB0166010 158079.00</t>
  </si>
  <si>
    <t>23-10-2023 NEFT/AXISP00436449467/RIUP23/2778/MA PUNDIR ENTERPRI/PUNB0166010 152719.00</t>
  </si>
  <si>
    <t>29-11-2023 NEFT/AXISP00430563569/RIUP23/3355/MA PUNDIR ENTERPRI/PUNB0166010 6608.00</t>
  </si>
  <si>
    <t>29-11-2023 NEFT/AXISP00430563572/RIUP23/3434/MA PUNDIR ENTERPRI/PUNB0166010 124015.00</t>
  </si>
  <si>
    <t>29-11-2023 NEFT/AXISP00447355239/RIUP23/3492/MA PUNDIR ENTERPRI/PUNB0166010 99000.00</t>
  </si>
  <si>
    <t>30-12-2023 NEFT/AXISP00457527703/RIUP23/4039/MA PUNDIR ENTERPRI/PUNB0166010 79200.00</t>
  </si>
  <si>
    <t>01-12-2023 NEFT/AXISP00448952432/RIUP23/3515/MA PUNDIR ENTERPRI/PUNB0166010 ₹ 1,37,370.00</t>
  </si>
  <si>
    <t xml:space="preserve">Hold Amount </t>
  </si>
  <si>
    <t>Advance / Surplus</t>
  </si>
  <si>
    <t>09-01-2024 NEFT/AXISP00461001719/RIUP23/4205/MA PUNDIR ENTERPRI/PUNB0166010 69300.00</t>
  </si>
  <si>
    <t>16-02-2024 NEFT/AXISP00471832025/RIUP23/4698/MA PUNDIR ENTERPRI/PUNB0166010 ₹ 98,980.00</t>
  </si>
  <si>
    <t>5 &amp; 7</t>
  </si>
  <si>
    <t>18-01-2024 NEFT/AXISP00463439409/RIUP23/4319/MA PUNDIR ENTERPRI/PUNB0166010 32302.00</t>
  </si>
  <si>
    <t>22-03-2024 NEFT/AXISP00483290488/RIUP23/5183/MA PUNDIR ENTERPRI/PUNB0166010 34525.00</t>
  </si>
  <si>
    <t>26-02-2024 NEFT/AXISP00474061292/RIUP23/4697/MA PUNDIR ENTERPRI/PUNB0166010 72505.00</t>
  </si>
  <si>
    <t>22-03-2024 NEFT/AXISP00483290489/RIUP23/5184/MA PUNDIR ENTERPRI/PUNB0166010 49701.00</t>
  </si>
  <si>
    <t>9 &amp; 13</t>
  </si>
  <si>
    <t>M A PUNDIR Enterprises</t>
  </si>
  <si>
    <t>3, 4 &amp; 6</t>
  </si>
  <si>
    <t>GST Remaining</t>
  </si>
  <si>
    <t>Pipe Line Laying Work At Ambetha Yakubpur Village</t>
  </si>
  <si>
    <t>12-06-2024 NEFT/AXISP00508731093/RIUP24/0732/MA PUNDIR ENTERPRI/PUNB0166010 172060.00</t>
  </si>
  <si>
    <t>16-07-2024 NEFT O/W-YESIG41980136421-PUNB0166010-MA PUNDIR ENTERPRISES-RIUP24/0878 20,302.00</t>
  </si>
  <si>
    <t>16-07-2024 NEFT O/W-YESIG41980136420-PUNB0166010-MA PUNDIR ENTERPRISES-RIUP24/0877 9,056.00</t>
  </si>
  <si>
    <t>DPR Excess Hold</t>
  </si>
  <si>
    <t>10-09-2024 NEFT/AXISP00538525513/RIUP24/1520/MA PUNDIR ENTERPRI/PUNB0166010 100000.00</t>
  </si>
  <si>
    <t>MA Pundir Enterprises</t>
  </si>
  <si>
    <t>26-09-2024 NEFT/AXISP00544686581/RIUP24/1914/MA PUNDIR ENTERPRI/PUNB0166010 85570.00</t>
  </si>
  <si>
    <t>26-09-2024 NEFT/AXISP00544686583/RIUP24/1915/MA PUNDIR ENTERPRI/PUNB0166010 47174.00</t>
  </si>
  <si>
    <t>26-09-2024 NEFT/AXISP00544686585/RIUP24/1916/MA PUNDIR ENTERPRI/PUNB0166010 45138.00</t>
  </si>
  <si>
    <t>21-10-2024 NEFT/AXISP00556328334/RIUP24/2214/MA PUNDIR ENTERPRI/PUNB0166010 ₹ 83,052.00</t>
  </si>
  <si>
    <t>30-10-2024 NEFT/AXISP00561389899/RIUP24/2215/MA PUNDIR ENTERPRI/PUNB0166010 111112.00</t>
  </si>
  <si>
    <t>12-03-2025 NEFT/AXISP00632194498/RIUP24/2592/MA PUNDIR ENTERPRI/PUNB0166010 100000.00</t>
  </si>
  <si>
    <t xml:space="preserve">DABHERI VILLAGE  BALANCE PIPE LINE WORK  </t>
  </si>
  <si>
    <t xml:space="preserve">Ambetha Yakubpur Village Pipe Line Laying Work At </t>
  </si>
  <si>
    <t xml:space="preserve">Kadarpur Village  Road Restoration Work  </t>
  </si>
  <si>
    <t xml:space="preserve">Nagal Ismailpur Village Pipe Line Laying Work At </t>
  </si>
  <si>
    <t xml:space="preserve">TANA VILLAGE HAMLI-Pipe Line Work AT </t>
  </si>
  <si>
    <t>GST release note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</si>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</sst>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164" fontId="2" fillId="3" borderId="4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vertical="center"/>
    </xf>
    <xf numFmtId="9" fontId="2" fillId="2" borderId="7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9" fontId="2" fillId="3" borderId="4" xfId="1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14" fontId="3" fillId="2" borderId="4" xfId="0" applyNumberFormat="1" applyFont="1" applyFill="1" applyBorder="1" applyAlignment="1">
      <alignment horizontal="center" vertical="center" wrapText="1"/>
    </xf>
    <xf numFmtId="164" fontId="2" fillId="2" borderId="8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164" fontId="3" fillId="2" borderId="21" xfId="1" applyNumberFormat="1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 wrapText="1"/>
    </xf>
    <xf numFmtId="14" fontId="3" fillId="2" borderId="2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164" fontId="6" fillId="5" borderId="4" xfId="1" applyNumberFormat="1" applyFont="1" applyFill="1" applyBorder="1" applyAlignment="1">
      <alignment vertical="center"/>
    </xf>
    <xf numFmtId="164" fontId="6" fillId="5" borderId="20" xfId="1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21" xfId="0" applyNumberFormat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vertical="center"/>
    </xf>
    <xf numFmtId="165" fontId="2" fillId="3" borderId="4" xfId="1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vertical="center"/>
    </xf>
    <xf numFmtId="165" fontId="2" fillId="2" borderId="20" xfId="0" applyNumberFormat="1" applyFont="1" applyFill="1" applyBorder="1" applyAlignment="1">
      <alignment horizontal="center" vertical="center"/>
    </xf>
    <xf numFmtId="165" fontId="2" fillId="2" borderId="20" xfId="1" applyNumberFormat="1" applyFont="1" applyFill="1" applyBorder="1" applyAlignment="1">
      <alignment vertical="center"/>
    </xf>
    <xf numFmtId="165" fontId="2" fillId="2" borderId="8" xfId="1" applyNumberFormat="1" applyFont="1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Font="1"/>
    <xf numFmtId="0" fontId="7" fillId="2" borderId="7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 wrapText="1"/>
    </xf>
    <xf numFmtId="14" fontId="7" fillId="2" borderId="7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4" fontId="8" fillId="2" borderId="7" xfId="1" applyNumberFormat="1" applyFont="1" applyFill="1" applyBorder="1" applyAlignment="1">
      <alignment horizontal="center" vertical="center"/>
    </xf>
    <xf numFmtId="164" fontId="7" fillId="2" borderId="7" xfId="1" applyNumberFormat="1" applyFont="1" applyFill="1" applyBorder="1" applyAlignment="1">
      <alignment horizontal="center" vertical="center"/>
    </xf>
    <xf numFmtId="164" fontId="5" fillId="2" borderId="9" xfId="1" applyNumberFormat="1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/>
    </xf>
    <xf numFmtId="164" fontId="5" fillId="2" borderId="11" xfId="1" applyNumberFormat="1" applyFont="1" applyFill="1" applyBorder="1" applyAlignment="1">
      <alignment horizontal="center" vertical="center"/>
    </xf>
    <xf numFmtId="164" fontId="5" fillId="2" borderId="12" xfId="1" applyNumberFormat="1" applyFont="1" applyFill="1" applyBorder="1" applyAlignment="1">
      <alignment horizontal="center" vertical="center"/>
    </xf>
    <xf numFmtId="164" fontId="5" fillId="2" borderId="13" xfId="1" applyNumberFormat="1" applyFont="1" applyFill="1" applyBorder="1" applyAlignment="1">
      <alignment horizontal="center" vertical="center"/>
    </xf>
    <xf numFmtId="164" fontId="5" fillId="2" borderId="14" xfId="1" applyNumberFormat="1" applyFont="1" applyFill="1" applyBorder="1" applyAlignment="1">
      <alignment horizontal="center" vertical="center"/>
    </xf>
    <xf numFmtId="164" fontId="5" fillId="2" borderId="17" xfId="1" applyNumberFormat="1" applyFont="1" applyFill="1" applyBorder="1" applyAlignment="1">
      <alignment horizontal="center" vertical="center"/>
    </xf>
    <xf numFmtId="164" fontId="5" fillId="2" borderId="18" xfId="1" applyNumberFormat="1" applyFont="1" applyFill="1" applyBorder="1" applyAlignment="1">
      <alignment horizontal="center" vertical="center"/>
    </xf>
    <xf numFmtId="164" fontId="5" fillId="2" borderId="19" xfId="1" applyNumberFormat="1" applyFont="1" applyFill="1" applyBorder="1" applyAlignment="1">
      <alignment horizontal="center" vertical="center"/>
    </xf>
    <xf numFmtId="14" fontId="5" fillId="2" borderId="9" xfId="1" applyNumberFormat="1" applyFont="1" applyFill="1" applyBorder="1" applyAlignment="1">
      <alignment horizontal="center" vertical="center"/>
    </xf>
    <xf numFmtId="164" fontId="5" fillId="2" borderId="15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1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56"/>
  <sheetViews>
    <sheetView tabSelected="1" zoomScale="115" zoomScaleNormal="115" workbookViewId="0">
      <pane ySplit="5" topLeftCell="A6" activePane="bottomLeft" state="frozen"/>
      <selection pane="bottomLeft" activeCell="B4" sqref="B4"/>
    </sheetView>
  </sheetViews>
  <sheetFormatPr defaultColWidth="9" defaultRowHeight="14.4" x14ac:dyDescent="0.3"/>
  <cols>
    <col min="1" max="1" width="11.5546875" style="2" bestFit="1" customWidth="1"/>
    <col min="2" max="2" width="30" style="2" customWidth="1"/>
    <col min="3" max="3" width="15.5546875" style="45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5" customWidth="1"/>
    <col min="9" max="9" width="12.88671875" style="5" bestFit="1" customWidth="1"/>
    <col min="10" max="10" width="10.6640625" style="2" bestFit="1" customWidth="1"/>
    <col min="11" max="13" width="13.88671875" style="2" customWidth="1"/>
    <col min="14" max="16" width="14.88671875" style="2" customWidth="1"/>
    <col min="17" max="17" width="11.44140625" style="2" customWidth="1"/>
    <col min="18" max="18" width="18.88671875" style="2" bestFit="1" customWidth="1"/>
    <col min="19" max="19" width="98.5546875" style="2" bestFit="1" customWidth="1"/>
    <col min="20" max="20" width="18.88671875" style="2" bestFit="1" customWidth="1"/>
    <col min="21" max="16384" width="9" style="2"/>
  </cols>
  <sheetData>
    <row r="1" spans="1:51" s="48" customFormat="1" ht="24.9" customHeight="1" x14ac:dyDescent="0.3">
      <c r="A1" s="46" t="s">
        <v>46</v>
      </c>
      <c r="B1" s="47" t="s">
        <v>33</v>
      </c>
    </row>
    <row r="2" spans="1:51" s="48" customFormat="1" ht="24.9" customHeight="1" x14ac:dyDescent="0.3">
      <c r="A2" s="46" t="s">
        <v>47</v>
      </c>
      <c r="B2" s="48" t="s">
        <v>48</v>
      </c>
    </row>
    <row r="3" spans="1:51" s="48" customFormat="1" ht="30.6" customHeight="1" x14ac:dyDescent="0.3">
      <c r="A3" s="46" t="s">
        <v>49</v>
      </c>
      <c r="B3" s="46" t="s">
        <v>50</v>
      </c>
    </row>
    <row r="4" spans="1:51" s="48" customFormat="1" ht="24.9" customHeight="1" thickBot="1" x14ac:dyDescent="0.35">
      <c r="A4" s="46" t="s">
        <v>51</v>
      </c>
      <c r="B4" s="46" t="s">
        <v>50</v>
      </c>
    </row>
    <row r="5" spans="1:51" ht="43.8" thickBot="1" x14ac:dyDescent="0.35">
      <c r="A5" s="49" t="s">
        <v>52</v>
      </c>
      <c r="B5" s="50" t="s">
        <v>53</v>
      </c>
      <c r="C5" s="51" t="s">
        <v>54</v>
      </c>
      <c r="D5" s="52" t="s">
        <v>55</v>
      </c>
      <c r="E5" s="50" t="s">
        <v>56</v>
      </c>
      <c r="F5" s="50" t="s">
        <v>57</v>
      </c>
      <c r="G5" s="52" t="s">
        <v>58</v>
      </c>
      <c r="H5" s="53" t="s">
        <v>59</v>
      </c>
      <c r="I5" s="54" t="s">
        <v>0</v>
      </c>
      <c r="J5" s="50" t="s">
        <v>60</v>
      </c>
      <c r="K5" s="50" t="s">
        <v>61</v>
      </c>
      <c r="L5" s="50" t="s">
        <v>62</v>
      </c>
      <c r="M5" s="50" t="s">
        <v>63</v>
      </c>
      <c r="N5" s="50" t="s">
        <v>64</v>
      </c>
      <c r="O5" s="11" t="s">
        <v>4</v>
      </c>
      <c r="P5" s="50" t="s">
        <v>65</v>
      </c>
      <c r="Q5" s="1"/>
      <c r="R5" s="50" t="s">
        <v>66</v>
      </c>
      <c r="S5" s="11" t="s">
        <v>1</v>
      </c>
      <c r="T5" s="10"/>
    </row>
    <row r="6" spans="1:51" x14ac:dyDescent="0.3">
      <c r="A6" s="12"/>
      <c r="B6" s="12"/>
      <c r="C6" s="38"/>
      <c r="D6" s="12"/>
      <c r="E6" s="12"/>
      <c r="F6" s="12"/>
      <c r="G6" s="12"/>
      <c r="H6" s="12"/>
      <c r="I6" s="12"/>
      <c r="J6" s="13">
        <v>0.01</v>
      </c>
      <c r="K6" s="13">
        <v>0.05</v>
      </c>
      <c r="L6" s="13">
        <v>0.1</v>
      </c>
      <c r="M6" s="13">
        <v>0.1</v>
      </c>
      <c r="N6" s="12"/>
      <c r="O6" s="12"/>
      <c r="P6" s="12"/>
      <c r="Q6" s="14"/>
      <c r="R6" s="12"/>
      <c r="S6" s="12"/>
      <c r="T6" s="12"/>
    </row>
    <row r="7" spans="1:51" s="7" customFormat="1" x14ac:dyDescent="0.3">
      <c r="A7" s="8"/>
      <c r="B7" s="8"/>
      <c r="C7" s="39"/>
      <c r="D7" s="8"/>
      <c r="E7" s="8"/>
      <c r="F7" s="8"/>
      <c r="G7" s="8"/>
      <c r="H7" s="8"/>
      <c r="I7" s="8"/>
      <c r="J7" s="15"/>
      <c r="K7" s="15"/>
      <c r="L7" s="15"/>
      <c r="M7" s="15"/>
      <c r="N7" s="8"/>
      <c r="O7" s="8"/>
      <c r="P7" s="8"/>
      <c r="Q7" s="16">
        <f>A8</f>
        <v>58019</v>
      </c>
      <c r="R7" s="8"/>
      <c r="S7" s="8"/>
      <c r="T7" s="8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1" ht="26.4" x14ac:dyDescent="0.3">
      <c r="A8" s="18">
        <v>58019</v>
      </c>
      <c r="B8" s="17" t="s">
        <v>44</v>
      </c>
      <c r="C8" s="40">
        <v>45141</v>
      </c>
      <c r="D8" s="18">
        <v>2</v>
      </c>
      <c r="E8" s="3">
        <v>197466</v>
      </c>
      <c r="F8" s="3">
        <v>18014</v>
      </c>
      <c r="G8" s="3">
        <f>E8-F8</f>
        <v>179452</v>
      </c>
      <c r="H8" s="3">
        <f>ROUND(G8*18%,)</f>
        <v>32301</v>
      </c>
      <c r="I8" s="3">
        <f>ROUND(G8+H8,)</f>
        <v>211753</v>
      </c>
      <c r="J8" s="3">
        <f>G8*$J$6</f>
        <v>1794.52</v>
      </c>
      <c r="K8" s="3">
        <f>G8*5%</f>
        <v>8972.6</v>
      </c>
      <c r="L8" s="3">
        <f>G8*10%</f>
        <v>17945.2</v>
      </c>
      <c r="M8" s="3">
        <f>G8*10%</f>
        <v>17945.2</v>
      </c>
      <c r="N8" s="34">
        <f>H8</f>
        <v>32301</v>
      </c>
      <c r="O8" s="3">
        <v>4190</v>
      </c>
      <c r="P8" s="3">
        <f>ROUNDUP(I8-SUM(J8:O8), 0)</f>
        <v>128605</v>
      </c>
      <c r="Q8" s="19"/>
      <c r="R8" s="3">
        <v>128605</v>
      </c>
      <c r="S8" s="20" t="s">
        <v>5</v>
      </c>
      <c r="T8" s="3"/>
    </row>
    <row r="9" spans="1:51" s="6" customFormat="1" ht="26.4" x14ac:dyDescent="0.3">
      <c r="A9" s="18">
        <v>58019</v>
      </c>
      <c r="B9" s="17" t="s">
        <v>44</v>
      </c>
      <c r="C9" s="40">
        <v>45173</v>
      </c>
      <c r="D9" s="18">
        <v>3</v>
      </c>
      <c r="E9" s="3">
        <v>168990</v>
      </c>
      <c r="F9" s="3">
        <v>0</v>
      </c>
      <c r="G9" s="3">
        <f>E9-F9</f>
        <v>168990</v>
      </c>
      <c r="H9" s="3">
        <f>ROUND(G9*18%,)</f>
        <v>30418</v>
      </c>
      <c r="I9" s="3">
        <f>ROUND(G9+H9,)</f>
        <v>199408</v>
      </c>
      <c r="J9" s="3">
        <f>G9*$J$6</f>
        <v>1689.9</v>
      </c>
      <c r="K9" s="3">
        <f>G9*5%</f>
        <v>8449.5</v>
      </c>
      <c r="L9" s="3">
        <f>G9*10%</f>
        <v>16899</v>
      </c>
      <c r="M9" s="3">
        <f>G9*10%</f>
        <v>16899</v>
      </c>
      <c r="N9" s="34">
        <f>H9</f>
        <v>30418</v>
      </c>
      <c r="O9" s="3">
        <v>0</v>
      </c>
      <c r="P9" s="3">
        <f>ROUNDUP(I9-SUM(J9:O9), 0)</f>
        <v>125053</v>
      </c>
      <c r="Q9" s="19"/>
      <c r="R9" s="3">
        <v>125052</v>
      </c>
      <c r="S9" s="20" t="s">
        <v>6</v>
      </c>
      <c r="T9" s="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9"/>
    </row>
    <row r="10" spans="1:51" s="6" customFormat="1" ht="26.4" x14ac:dyDescent="0.3">
      <c r="A10" s="18">
        <v>58019</v>
      </c>
      <c r="B10" s="17" t="s">
        <v>44</v>
      </c>
      <c r="C10" s="40">
        <v>45198</v>
      </c>
      <c r="D10" s="18">
        <v>4</v>
      </c>
      <c r="E10" s="3">
        <v>319465</v>
      </c>
      <c r="F10" s="3">
        <v>94573</v>
      </c>
      <c r="G10" s="3">
        <f>E10-F10</f>
        <v>224892</v>
      </c>
      <c r="H10" s="3">
        <f>ROUND(G10*18%,)</f>
        <v>40481</v>
      </c>
      <c r="I10" s="3">
        <f>ROUND(G10+H10,)</f>
        <v>265373</v>
      </c>
      <c r="J10" s="3">
        <f>G10*$J$6</f>
        <v>2248.92</v>
      </c>
      <c r="K10" s="3">
        <f>G10*5%</f>
        <v>11244.6</v>
      </c>
      <c r="L10" s="3">
        <f>G10*10%</f>
        <v>22489.200000000001</v>
      </c>
      <c r="M10" s="3">
        <f>G10*10%</f>
        <v>22489.200000000001</v>
      </c>
      <c r="N10" s="34">
        <f>H10</f>
        <v>40481</v>
      </c>
      <c r="O10" s="3">
        <v>8340</v>
      </c>
      <c r="P10" s="3">
        <f>ROUNDUP(I10-SUM(J10:O10), 0)</f>
        <v>158081</v>
      </c>
      <c r="Q10" s="3"/>
      <c r="R10" s="3">
        <v>158079</v>
      </c>
      <c r="S10" s="20" t="s">
        <v>7</v>
      </c>
      <c r="T10" s="3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9"/>
    </row>
    <row r="11" spans="1:51" ht="26.4" x14ac:dyDescent="0.3">
      <c r="A11" s="18">
        <v>58019</v>
      </c>
      <c r="B11" s="17" t="s">
        <v>44</v>
      </c>
      <c r="C11" s="40">
        <v>45238</v>
      </c>
      <c r="D11" s="18">
        <v>6</v>
      </c>
      <c r="E11" s="3">
        <v>44958</v>
      </c>
      <c r="F11" s="3">
        <v>36028</v>
      </c>
      <c r="G11" s="3">
        <f>E11-F11</f>
        <v>8930</v>
      </c>
      <c r="H11" s="3">
        <f>ROUND(G11*18%,)</f>
        <v>1607</v>
      </c>
      <c r="I11" s="3">
        <f>ROUND(G11+H11,)</f>
        <v>10537</v>
      </c>
      <c r="J11" s="3">
        <f>G11*$J$6</f>
        <v>89.3</v>
      </c>
      <c r="K11" s="3">
        <f>G11*5%</f>
        <v>446.5</v>
      </c>
      <c r="L11" s="3">
        <f>G11*10%</f>
        <v>893</v>
      </c>
      <c r="M11" s="3">
        <f>G11*10%</f>
        <v>893</v>
      </c>
      <c r="N11" s="34">
        <f>H11</f>
        <v>1607</v>
      </c>
      <c r="O11" s="3">
        <v>0</v>
      </c>
      <c r="P11" s="3">
        <f>ROUNDUP(I11-SUM(J11:O11), 0)</f>
        <v>6609</v>
      </c>
      <c r="Q11" s="3"/>
      <c r="R11" s="3">
        <v>6608</v>
      </c>
      <c r="S11" s="20" t="s">
        <v>9</v>
      </c>
      <c r="T11" s="3"/>
    </row>
    <row r="12" spans="1:51" ht="26.4" x14ac:dyDescent="0.3">
      <c r="A12" s="18">
        <v>58019</v>
      </c>
      <c r="B12" s="17" t="s">
        <v>44</v>
      </c>
      <c r="C12" s="40">
        <v>45251</v>
      </c>
      <c r="D12" s="18">
        <v>8</v>
      </c>
      <c r="E12" s="3">
        <v>191804</v>
      </c>
      <c r="F12" s="3">
        <v>0</v>
      </c>
      <c r="G12" s="3">
        <f>E12-F12</f>
        <v>191804</v>
      </c>
      <c r="H12" s="3">
        <f>ROUND(G12*18%,)</f>
        <v>34525</v>
      </c>
      <c r="I12" s="3">
        <f>ROUND(G12+H12,)</f>
        <v>226329</v>
      </c>
      <c r="J12" s="3">
        <f>G12*$J$6</f>
        <v>1918.04</v>
      </c>
      <c r="K12" s="3">
        <f>G12*5%</f>
        <v>9590.2000000000007</v>
      </c>
      <c r="L12" s="3">
        <f>G12*10%</f>
        <v>19180.400000000001</v>
      </c>
      <c r="M12" s="3">
        <f>G12*10%</f>
        <v>19180.400000000001</v>
      </c>
      <c r="N12" s="34">
        <f>H12</f>
        <v>34525</v>
      </c>
      <c r="O12" s="3">
        <v>4566</v>
      </c>
      <c r="P12" s="3">
        <f>ROUNDUP(I12-SUM(J12:O12), 0)</f>
        <v>137369</v>
      </c>
      <c r="Q12" s="3"/>
      <c r="R12" s="3">
        <v>137370</v>
      </c>
      <c r="S12" s="20" t="s">
        <v>13</v>
      </c>
      <c r="T12" s="3"/>
    </row>
    <row r="13" spans="1:51" x14ac:dyDescent="0.3">
      <c r="A13" s="18">
        <v>58019</v>
      </c>
      <c r="B13" s="18" t="s">
        <v>45</v>
      </c>
      <c r="C13" s="40"/>
      <c r="D13" s="18">
        <v>2</v>
      </c>
      <c r="E13" s="3">
        <f>N8</f>
        <v>32301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4">
        <f>E13</f>
        <v>32301</v>
      </c>
      <c r="Q13" s="3"/>
      <c r="R13" s="3">
        <v>32302</v>
      </c>
      <c r="S13" s="20" t="s">
        <v>19</v>
      </c>
      <c r="T13" s="3"/>
    </row>
    <row r="14" spans="1:51" x14ac:dyDescent="0.3">
      <c r="A14" s="18">
        <v>58019</v>
      </c>
      <c r="B14" s="18" t="s">
        <v>45</v>
      </c>
      <c r="C14" s="40"/>
      <c r="D14" s="18" t="s">
        <v>25</v>
      </c>
      <c r="E14" s="3">
        <f>N9+N10+N11</f>
        <v>72506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4">
        <f>E14</f>
        <v>72506</v>
      </c>
      <c r="Q14" s="3"/>
      <c r="R14" s="3">
        <v>72505</v>
      </c>
      <c r="S14" s="20" t="s">
        <v>21</v>
      </c>
      <c r="T14" s="3"/>
    </row>
    <row r="15" spans="1:51" x14ac:dyDescent="0.3">
      <c r="A15" s="18">
        <v>58019</v>
      </c>
      <c r="B15" s="18" t="s">
        <v>45</v>
      </c>
      <c r="C15" s="40"/>
      <c r="D15" s="18">
        <v>2</v>
      </c>
      <c r="E15" s="3">
        <f>N12</f>
        <v>34525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4">
        <f>E15</f>
        <v>34525</v>
      </c>
      <c r="Q15" s="3"/>
      <c r="R15" s="3">
        <v>34525</v>
      </c>
      <c r="S15" s="20" t="s">
        <v>20</v>
      </c>
      <c r="T15" s="3"/>
    </row>
    <row r="16" spans="1:51" x14ac:dyDescent="0.3">
      <c r="A16" s="18"/>
      <c r="B16" s="3"/>
      <c r="C16" s="41"/>
      <c r="D16" s="1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0"/>
      <c r="T16" s="3">
        <f>SUM(P8:P16,0)-SUM(R8:R16,0)</f>
        <v>3</v>
      </c>
    </row>
    <row r="17" spans="1:50" s="7" customFormat="1" x14ac:dyDescent="0.3">
      <c r="A17" s="21"/>
      <c r="B17" s="8"/>
      <c r="C17" s="39"/>
      <c r="D17" s="2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6">
        <f>A18</f>
        <v>59781</v>
      </c>
      <c r="R17" s="8"/>
      <c r="S17" s="22"/>
      <c r="T17" s="8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26.4" x14ac:dyDescent="0.3">
      <c r="A18" s="18">
        <v>59781</v>
      </c>
      <c r="B18" s="17" t="s">
        <v>43</v>
      </c>
      <c r="C18" s="40">
        <v>44867</v>
      </c>
      <c r="D18" s="18">
        <v>5</v>
      </c>
      <c r="E18" s="3">
        <v>251087</v>
      </c>
      <c r="F18" s="3">
        <v>36028</v>
      </c>
      <c r="G18" s="3">
        <f>E18-F18</f>
        <v>215059</v>
      </c>
      <c r="H18" s="3">
        <f>ROUND(G18*18%,)</f>
        <v>38711</v>
      </c>
      <c r="I18" s="3">
        <f>ROUND(G18+H18,)</f>
        <v>253770</v>
      </c>
      <c r="J18" s="3">
        <f>G18*$J$6</f>
        <v>2150.59</v>
      </c>
      <c r="K18" s="3">
        <f>G18*5%</f>
        <v>10752.95</v>
      </c>
      <c r="L18" s="3">
        <f>G18*10%</f>
        <v>21505.9</v>
      </c>
      <c r="M18" s="3">
        <f>G18*10%</f>
        <v>21505.9</v>
      </c>
      <c r="N18" s="34">
        <f>H18</f>
        <v>38711</v>
      </c>
      <c r="O18" s="3">
        <v>6425</v>
      </c>
      <c r="P18" s="3">
        <f>ROUNDUP(I18-SUM(J18:O18), 0)</f>
        <v>152719</v>
      </c>
      <c r="Q18" s="3"/>
      <c r="R18" s="3">
        <v>152719</v>
      </c>
      <c r="S18" s="20" t="s">
        <v>8</v>
      </c>
      <c r="T18" s="3"/>
    </row>
    <row r="19" spans="1:50" ht="26.4" x14ac:dyDescent="0.3">
      <c r="A19" s="18">
        <v>59781</v>
      </c>
      <c r="B19" s="17" t="s">
        <v>43</v>
      </c>
      <c r="C19" s="40">
        <v>45604</v>
      </c>
      <c r="D19" s="18">
        <v>7</v>
      </c>
      <c r="E19" s="3">
        <v>352839</v>
      </c>
      <c r="F19" s="3">
        <v>18014</v>
      </c>
      <c r="G19" s="3">
        <f>E19-F19</f>
        <v>334825</v>
      </c>
      <c r="H19" s="3">
        <f>ROUND(G19*18%,)</f>
        <v>60269</v>
      </c>
      <c r="I19" s="3">
        <f>ROUND(G19+H19,)</f>
        <v>395094</v>
      </c>
      <c r="J19" s="3">
        <f>G19*$J$6</f>
        <v>3348.25</v>
      </c>
      <c r="K19" s="3">
        <f>G19*5%</f>
        <v>16741.25</v>
      </c>
      <c r="L19" s="3">
        <f>G19*10%</f>
        <v>33482.5</v>
      </c>
      <c r="M19" s="3">
        <f>G19*10%</f>
        <v>33482.5</v>
      </c>
      <c r="N19" s="34">
        <f>H19</f>
        <v>60269</v>
      </c>
      <c r="O19" s="3">
        <v>123755</v>
      </c>
      <c r="P19" s="3">
        <f>ROUNDUP(I19-SUM(J19:O19), 0)</f>
        <v>124016</v>
      </c>
      <c r="Q19" s="3"/>
      <c r="R19" s="3">
        <v>124015</v>
      </c>
      <c r="S19" s="20" t="s">
        <v>10</v>
      </c>
      <c r="T19" s="3"/>
    </row>
    <row r="20" spans="1:50" ht="26.4" x14ac:dyDescent="0.3">
      <c r="A20" s="18">
        <v>59781</v>
      </c>
      <c r="B20" s="17" t="s">
        <v>43</v>
      </c>
      <c r="C20" s="40"/>
      <c r="D20" s="18">
        <v>9</v>
      </c>
      <c r="E20" s="3">
        <v>128150</v>
      </c>
      <c r="F20" s="3">
        <v>0</v>
      </c>
      <c r="G20" s="3">
        <f>E20-F20</f>
        <v>128150</v>
      </c>
      <c r="H20" s="3">
        <f>ROUND(G20*18%,)</f>
        <v>23067</v>
      </c>
      <c r="I20" s="3">
        <f>ROUND(G20+H20,)</f>
        <v>151217</v>
      </c>
      <c r="J20" s="3">
        <f>G20*$J$6</f>
        <v>1281.5</v>
      </c>
      <c r="K20" s="3">
        <f>G20*5%</f>
        <v>6407.5</v>
      </c>
      <c r="L20" s="3">
        <f>G20*10%</f>
        <v>12815</v>
      </c>
      <c r="M20" s="3">
        <f>G20*10%</f>
        <v>12815</v>
      </c>
      <c r="N20" s="34">
        <f>H20</f>
        <v>23067</v>
      </c>
      <c r="O20" s="3">
        <v>0</v>
      </c>
      <c r="P20" s="3">
        <f>ROUNDUP(I20-SUM(J20:O20), 0)</f>
        <v>94831</v>
      </c>
      <c r="Q20" s="3"/>
      <c r="R20" s="3">
        <v>99000</v>
      </c>
      <c r="S20" s="20" t="s">
        <v>11</v>
      </c>
      <c r="T20" s="3"/>
    </row>
    <row r="21" spans="1:50" ht="26.4" x14ac:dyDescent="0.3">
      <c r="A21" s="18">
        <v>59781</v>
      </c>
      <c r="B21" s="17" t="s">
        <v>43</v>
      </c>
      <c r="C21" s="40"/>
      <c r="D21" s="18">
        <v>13</v>
      </c>
      <c r="E21" s="3">
        <v>165980</v>
      </c>
      <c r="F21" s="3">
        <v>18014</v>
      </c>
      <c r="G21" s="3">
        <f>E21-F21</f>
        <v>147966</v>
      </c>
      <c r="H21" s="3">
        <f>ROUND(G21*18%,)</f>
        <v>26634</v>
      </c>
      <c r="I21" s="3">
        <f>ROUND(G21+H21,)</f>
        <v>174600</v>
      </c>
      <c r="J21" s="3">
        <f>G21*$J$6</f>
        <v>1479.66</v>
      </c>
      <c r="K21" s="3">
        <f>G21*5%</f>
        <v>7398.3</v>
      </c>
      <c r="L21" s="3">
        <f>G21*10%</f>
        <v>14796.6</v>
      </c>
      <c r="M21" s="3">
        <f>G21*10%</f>
        <v>14796.6</v>
      </c>
      <c r="N21" s="34">
        <f>H21</f>
        <v>26634</v>
      </c>
      <c r="O21" s="3">
        <v>30860</v>
      </c>
      <c r="P21" s="3">
        <f>ROUNDUP(I21-SUM(J21:O21), 0)</f>
        <v>78635</v>
      </c>
      <c r="Q21" s="3"/>
      <c r="R21" s="3">
        <v>79200</v>
      </c>
      <c r="S21" s="20" t="s">
        <v>12</v>
      </c>
      <c r="T21" s="3"/>
    </row>
    <row r="22" spans="1:50" x14ac:dyDescent="0.3">
      <c r="A22" s="18">
        <v>59781</v>
      </c>
      <c r="B22" s="18" t="s">
        <v>45</v>
      </c>
      <c r="C22" s="40"/>
      <c r="D22" s="18" t="s">
        <v>18</v>
      </c>
      <c r="E22" s="3">
        <f>N18+N19</f>
        <v>98980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4">
        <f>E22</f>
        <v>98980</v>
      </c>
      <c r="Q22" s="3"/>
      <c r="R22" s="3">
        <v>69300</v>
      </c>
      <c r="S22" s="20" t="s">
        <v>16</v>
      </c>
      <c r="T22" s="3"/>
    </row>
    <row r="23" spans="1:50" x14ac:dyDescent="0.3">
      <c r="A23" s="18">
        <v>59781</v>
      </c>
      <c r="B23" s="18" t="s">
        <v>45</v>
      </c>
      <c r="C23" s="40"/>
      <c r="D23" s="18" t="s">
        <v>23</v>
      </c>
      <c r="E23" s="3">
        <f>N21+N20</f>
        <v>49701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4">
        <f>E23</f>
        <v>49701</v>
      </c>
      <c r="Q23" s="3"/>
      <c r="R23" s="3">
        <v>98980</v>
      </c>
      <c r="S23" s="20" t="s">
        <v>17</v>
      </c>
      <c r="T23" s="3"/>
    </row>
    <row r="24" spans="1:50" ht="26.4" x14ac:dyDescent="0.3">
      <c r="A24" s="18">
        <v>59781</v>
      </c>
      <c r="B24" s="17" t="s">
        <v>43</v>
      </c>
      <c r="C24" s="41">
        <v>45400</v>
      </c>
      <c r="D24" s="18">
        <v>1</v>
      </c>
      <c r="E24" s="3">
        <v>245256</v>
      </c>
      <c r="F24" s="3">
        <v>132464</v>
      </c>
      <c r="G24" s="3">
        <f>E24-F24</f>
        <v>112792</v>
      </c>
      <c r="H24" s="3">
        <f>ROUND(G24*18%,)</f>
        <v>20303</v>
      </c>
      <c r="I24" s="3">
        <f>ROUND(G24+H24,)</f>
        <v>133095</v>
      </c>
      <c r="J24" s="3">
        <f>G24*$J$6</f>
        <v>1127.92</v>
      </c>
      <c r="K24" s="3">
        <f>G24*5%</f>
        <v>5639.6</v>
      </c>
      <c r="L24" s="3">
        <f>G24*10%</f>
        <v>11279.2</v>
      </c>
      <c r="M24" s="3">
        <f>G24*10%</f>
        <v>11279.2</v>
      </c>
      <c r="N24" s="34">
        <f>H24</f>
        <v>20303</v>
      </c>
      <c r="O24" s="3">
        <v>0</v>
      </c>
      <c r="P24" s="3">
        <f>ROUNDUP(I24-SUM(J24:O24), 0)</f>
        <v>83467</v>
      </c>
      <c r="Q24" s="3"/>
      <c r="R24" s="3">
        <v>49701</v>
      </c>
      <c r="S24" s="20" t="s">
        <v>22</v>
      </c>
      <c r="T24" s="3"/>
    </row>
    <row r="25" spans="1:50" x14ac:dyDescent="0.3">
      <c r="A25" s="18">
        <v>59781</v>
      </c>
      <c r="B25" s="18" t="s">
        <v>45</v>
      </c>
      <c r="C25" s="40"/>
      <c r="D25" s="18">
        <v>1</v>
      </c>
      <c r="E25" s="3">
        <f>N24</f>
        <v>20303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4">
        <f>E25</f>
        <v>20303</v>
      </c>
      <c r="Q25" s="3"/>
      <c r="R25" s="3">
        <v>20302</v>
      </c>
      <c r="S25" s="20" t="s">
        <v>29</v>
      </c>
      <c r="T25" s="3"/>
    </row>
    <row r="26" spans="1:50" ht="26.4" x14ac:dyDescent="0.3">
      <c r="A26" s="18">
        <v>59781</v>
      </c>
      <c r="B26" s="17" t="s">
        <v>43</v>
      </c>
      <c r="C26" s="41">
        <v>45575</v>
      </c>
      <c r="D26" s="18">
        <v>8</v>
      </c>
      <c r="E26" s="3">
        <v>188025.75</v>
      </c>
      <c r="F26" s="3">
        <v>76300</v>
      </c>
      <c r="G26" s="3">
        <f>E26-F26</f>
        <v>111725.75</v>
      </c>
      <c r="H26" s="3">
        <f>ROUND(G26*18%,)</f>
        <v>20111</v>
      </c>
      <c r="I26" s="3">
        <f>ROUND(G26+H26,)</f>
        <v>131837</v>
      </c>
      <c r="J26" s="3">
        <f>G26*$J$6</f>
        <v>1117.2574999999999</v>
      </c>
      <c r="K26" s="3">
        <f>G26*5%</f>
        <v>5586.2875000000004</v>
      </c>
      <c r="L26" s="3">
        <f>G26*10%</f>
        <v>11172.575000000001</v>
      </c>
      <c r="M26" s="3">
        <f>G26*10%</f>
        <v>11172.575000000001</v>
      </c>
      <c r="N26" s="34">
        <f>H26</f>
        <v>20111</v>
      </c>
      <c r="O26" s="3">
        <v>0</v>
      </c>
      <c r="P26" s="3">
        <f>ROUNDUP(I26-SUM(J26:O26), 0)</f>
        <v>82678</v>
      </c>
      <c r="Q26" s="3"/>
      <c r="R26" s="3">
        <v>9056</v>
      </c>
      <c r="S26" s="20" t="s">
        <v>30</v>
      </c>
      <c r="T26" s="3"/>
    </row>
    <row r="27" spans="1:50" x14ac:dyDescent="0.3">
      <c r="A27" s="18">
        <v>59781</v>
      </c>
      <c r="B27" s="18" t="s">
        <v>45</v>
      </c>
      <c r="C27" s="40"/>
      <c r="D27" s="18">
        <v>8</v>
      </c>
      <c r="E27" s="3">
        <f>N26</f>
        <v>20111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4">
        <f>E27</f>
        <v>20111</v>
      </c>
      <c r="Q27" s="3"/>
      <c r="R27" s="3">
        <v>83052</v>
      </c>
      <c r="S27" s="20" t="s">
        <v>37</v>
      </c>
      <c r="T27" s="3"/>
    </row>
    <row r="28" spans="1:50" x14ac:dyDescent="0.3">
      <c r="A28" s="18">
        <v>59781</v>
      </c>
      <c r="B28" s="3"/>
      <c r="C28" s="4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f>SUM(P18:P28,0)-SUM(R18:R28,0)</f>
        <v>20116</v>
      </c>
    </row>
    <row r="29" spans="1:50" s="7" customFormat="1" x14ac:dyDescent="0.3">
      <c r="A29" s="8"/>
      <c r="B29" s="8"/>
      <c r="C29" s="3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6">
        <f>A30</f>
        <v>64000</v>
      </c>
      <c r="R29" s="8"/>
      <c r="S29" s="22"/>
      <c r="T29" s="8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26.4" x14ac:dyDescent="0.3">
      <c r="A30" s="18">
        <v>64000</v>
      </c>
      <c r="B30" s="17" t="s">
        <v>42</v>
      </c>
      <c r="C30" s="40">
        <v>45441</v>
      </c>
      <c r="D30" s="18">
        <v>2</v>
      </c>
      <c r="E30" s="3">
        <v>270663</v>
      </c>
      <c r="F30" s="3">
        <v>38150</v>
      </c>
      <c r="G30" s="3">
        <f>E30-F30</f>
        <v>232513</v>
      </c>
      <c r="H30" s="3">
        <f>ROUND(G30*18%,)</f>
        <v>41852</v>
      </c>
      <c r="I30" s="3">
        <f>ROUND(G30+H30,)</f>
        <v>274365</v>
      </c>
      <c r="J30" s="3">
        <f>G30*$J$6</f>
        <v>2325.13</v>
      </c>
      <c r="K30" s="3">
        <f>G30*5%</f>
        <v>11625.650000000001</v>
      </c>
      <c r="L30" s="3">
        <f>G30*10%</f>
        <v>23251.300000000003</v>
      </c>
      <c r="M30" s="3">
        <f>G30*10%</f>
        <v>23251.300000000003</v>
      </c>
      <c r="N30" s="34">
        <f>H30</f>
        <v>41852</v>
      </c>
      <c r="O30" s="3">
        <v>0</v>
      </c>
      <c r="P30" s="3">
        <f>ROUNDUP(I30-SUM(J30:O30), 0)</f>
        <v>172060</v>
      </c>
      <c r="Q30" s="23"/>
      <c r="R30" s="3">
        <v>172060</v>
      </c>
      <c r="S30" s="20" t="s">
        <v>28</v>
      </c>
      <c r="T30" s="3"/>
    </row>
    <row r="31" spans="1:50" x14ac:dyDescent="0.3">
      <c r="A31" s="18">
        <v>64000</v>
      </c>
      <c r="B31" s="18" t="s">
        <v>45</v>
      </c>
      <c r="C31" s="40"/>
      <c r="D31" s="18">
        <v>2</v>
      </c>
      <c r="E31" s="3">
        <f>N30</f>
        <v>41852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4">
        <f>E31</f>
        <v>41852</v>
      </c>
      <c r="Q31" s="23"/>
      <c r="R31" s="3"/>
      <c r="S31" s="20"/>
      <c r="T31" s="3"/>
    </row>
    <row r="32" spans="1:50" x14ac:dyDescent="0.3">
      <c r="A32" s="18">
        <v>64000</v>
      </c>
      <c r="B32" s="31"/>
      <c r="C32" s="42"/>
      <c r="D32" s="2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32"/>
      <c r="R32" s="28"/>
      <c r="S32" s="33"/>
      <c r="T32" s="28">
        <f>SUM(P30:P32,0)-SUM(R30:R32,0)</f>
        <v>41852</v>
      </c>
    </row>
    <row r="33" spans="1:20" x14ac:dyDescent="0.3">
      <c r="A33" s="8"/>
      <c r="B33" s="8"/>
      <c r="C33" s="3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6">
        <f>A34</f>
        <v>65336</v>
      </c>
      <c r="R33" s="8"/>
      <c r="S33" s="22"/>
      <c r="T33" s="8"/>
    </row>
    <row r="34" spans="1:20" ht="26.4" x14ac:dyDescent="0.3">
      <c r="A34" s="18">
        <v>65336</v>
      </c>
      <c r="B34" s="17" t="s">
        <v>27</v>
      </c>
      <c r="C34" s="40">
        <v>45504</v>
      </c>
      <c r="D34" s="18">
        <v>5</v>
      </c>
      <c r="E34" s="3">
        <v>257815</v>
      </c>
      <c r="F34" s="3">
        <v>7046</v>
      </c>
      <c r="G34" s="3">
        <f>E34-F34</f>
        <v>250769</v>
      </c>
      <c r="H34" s="3">
        <f>ROUND(G34*18%,)</f>
        <v>45138</v>
      </c>
      <c r="I34" s="3">
        <f>ROUND(G34+H34,)</f>
        <v>295907</v>
      </c>
      <c r="J34" s="3">
        <f>G34*$J$6</f>
        <v>2507.69</v>
      </c>
      <c r="K34" s="3">
        <f>G34*5%</f>
        <v>12538.45</v>
      </c>
      <c r="L34" s="3">
        <f>G34*10%</f>
        <v>25076.9</v>
      </c>
      <c r="M34" s="3">
        <f>G34*10%</f>
        <v>25076.9</v>
      </c>
      <c r="N34" s="34">
        <f>H34</f>
        <v>45138</v>
      </c>
      <c r="O34" s="3">
        <v>0</v>
      </c>
      <c r="P34" s="3">
        <f>ROUNDUP(I34-SUM(J34:O34), 0)</f>
        <v>185570</v>
      </c>
      <c r="Q34" s="36"/>
      <c r="R34" s="3">
        <v>100000</v>
      </c>
      <c r="S34" s="20" t="s">
        <v>32</v>
      </c>
      <c r="T34" s="28">
        <f>SUM(P34:P38,0)-SUM(R34:R38,0)</f>
        <v>27031</v>
      </c>
    </row>
    <row r="35" spans="1:20" ht="26.4" x14ac:dyDescent="0.3">
      <c r="A35" s="18">
        <v>65336</v>
      </c>
      <c r="B35" s="17" t="s">
        <v>41</v>
      </c>
      <c r="C35" s="40">
        <v>45535</v>
      </c>
      <c r="D35" s="18">
        <v>6</v>
      </c>
      <c r="E35" s="3">
        <v>63750</v>
      </c>
      <c r="F35" s="3">
        <v>0</v>
      </c>
      <c r="G35" s="3">
        <f>E35-F35</f>
        <v>63750</v>
      </c>
      <c r="H35" s="3">
        <f>ROUND(G35*18%,)</f>
        <v>11475</v>
      </c>
      <c r="I35" s="3">
        <f>ROUND(G35+H35,)</f>
        <v>75225</v>
      </c>
      <c r="J35" s="3">
        <f>G35*$J$6</f>
        <v>637.5</v>
      </c>
      <c r="K35" s="3">
        <f>G35*5%</f>
        <v>3187.5</v>
      </c>
      <c r="L35" s="3">
        <f>G35*10%</f>
        <v>6375</v>
      </c>
      <c r="M35" s="3">
        <f>G35*10%</f>
        <v>6375</v>
      </c>
      <c r="N35" s="3">
        <f>H35</f>
        <v>11475</v>
      </c>
      <c r="O35" s="3">
        <v>0</v>
      </c>
      <c r="P35" s="3">
        <f>ROUNDUP(I35-SUM(J35:O35), 0)</f>
        <v>47175</v>
      </c>
      <c r="Q35" s="36"/>
      <c r="R35" s="3">
        <v>85570</v>
      </c>
      <c r="S35" s="20" t="s">
        <v>34</v>
      </c>
      <c r="T35" s="3"/>
    </row>
    <row r="36" spans="1:20" x14ac:dyDescent="0.3">
      <c r="A36" s="18">
        <v>65336</v>
      </c>
      <c r="B36" s="18" t="s">
        <v>45</v>
      </c>
      <c r="C36" s="42"/>
      <c r="D36" s="29">
        <v>5</v>
      </c>
      <c r="E36" s="28">
        <f>N34</f>
        <v>45138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35">
        <f>E36</f>
        <v>45138</v>
      </c>
      <c r="Q36" s="37"/>
      <c r="R36" s="3">
        <v>47174</v>
      </c>
      <c r="S36" s="20" t="s">
        <v>35</v>
      </c>
      <c r="T36" s="3"/>
    </row>
    <row r="37" spans="1:20" ht="26.4" x14ac:dyDescent="0.3">
      <c r="A37" s="18">
        <v>65336</v>
      </c>
      <c r="B37" s="17" t="s">
        <v>41</v>
      </c>
      <c r="C37" s="42">
        <v>45575</v>
      </c>
      <c r="D37" s="29">
        <v>7</v>
      </c>
      <c r="E37" s="28">
        <v>167767</v>
      </c>
      <c r="F37" s="28">
        <v>17614</v>
      </c>
      <c r="G37" s="3">
        <f>E37-F37</f>
        <v>150153</v>
      </c>
      <c r="H37" s="3">
        <f>ROUND(G37*18%,)</f>
        <v>27028</v>
      </c>
      <c r="I37" s="3">
        <f>ROUND(G37+H37,)</f>
        <v>177181</v>
      </c>
      <c r="J37" s="3">
        <f>G37*$J$6</f>
        <v>1501.53</v>
      </c>
      <c r="K37" s="3">
        <f>G37*5%</f>
        <v>7507.6500000000005</v>
      </c>
      <c r="L37" s="3">
        <f>G37*10%</f>
        <v>15015.300000000001</v>
      </c>
      <c r="M37" s="3">
        <f>G37*10%</f>
        <v>15015.300000000001</v>
      </c>
      <c r="N37" s="35">
        <f>H37</f>
        <v>27028</v>
      </c>
      <c r="O37" s="3">
        <v>0</v>
      </c>
      <c r="P37" s="3">
        <f>ROUNDUP(I37-SUM(J37:O37), 0)</f>
        <v>111114</v>
      </c>
      <c r="Q37" s="32"/>
      <c r="R37" s="3">
        <v>45138</v>
      </c>
      <c r="S37" s="20" t="s">
        <v>36</v>
      </c>
      <c r="T37" s="3"/>
    </row>
    <row r="38" spans="1:20" x14ac:dyDescent="0.3">
      <c r="A38" s="29"/>
      <c r="B38" s="18" t="s">
        <v>45</v>
      </c>
      <c r="C38" s="42"/>
      <c r="D38" s="29">
        <v>7</v>
      </c>
      <c r="E38" s="28">
        <f>N37</f>
        <v>27028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35">
        <f>E38</f>
        <v>27028</v>
      </c>
      <c r="Q38" s="32"/>
      <c r="R38" s="28">
        <v>111112</v>
      </c>
      <c r="S38" s="33" t="s">
        <v>38</v>
      </c>
      <c r="T38" s="28"/>
    </row>
    <row r="39" spans="1:20" x14ac:dyDescent="0.3">
      <c r="A39" s="8"/>
      <c r="B39" s="8"/>
      <c r="C39" s="3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>
        <f>A40</f>
        <v>66898</v>
      </c>
      <c r="R39" s="8"/>
      <c r="S39" s="22"/>
      <c r="T39" s="8"/>
    </row>
    <row r="40" spans="1:20" ht="26.4" x14ac:dyDescent="0.3">
      <c r="A40" s="18">
        <v>66898</v>
      </c>
      <c r="B40" s="17" t="s">
        <v>40</v>
      </c>
      <c r="C40" s="40">
        <v>45623</v>
      </c>
      <c r="D40" s="18">
        <v>11</v>
      </c>
      <c r="E40" s="3">
        <v>255783</v>
      </c>
      <c r="F40" s="3">
        <v>8807</v>
      </c>
      <c r="G40" s="3">
        <f>E40-F40</f>
        <v>246976</v>
      </c>
      <c r="H40" s="3">
        <f>ROUND(G40*18%,)</f>
        <v>44456</v>
      </c>
      <c r="I40" s="3">
        <f>ROUND(G40+H40,)</f>
        <v>291432</v>
      </c>
      <c r="J40" s="3">
        <f>G40*$J$6</f>
        <v>2469.7600000000002</v>
      </c>
      <c r="K40" s="3">
        <f>G40*5%</f>
        <v>12348.800000000001</v>
      </c>
      <c r="L40" s="3">
        <f>G40*10%</f>
        <v>24697.600000000002</v>
      </c>
      <c r="M40" s="3">
        <f>G40*10%</f>
        <v>24697.600000000002</v>
      </c>
      <c r="N40" s="34">
        <f>H40</f>
        <v>44456</v>
      </c>
      <c r="O40" s="3">
        <v>59986</v>
      </c>
      <c r="P40" s="3">
        <f>ROUNDUP(I40-SUM(J40:O40), 0)</f>
        <v>122777</v>
      </c>
      <c r="Q40" s="36"/>
      <c r="R40" s="3">
        <v>100000</v>
      </c>
      <c r="S40" s="20" t="s">
        <v>39</v>
      </c>
      <c r="T40" s="28">
        <f>SUM(P40:P41,0)-SUM(R40:R41,0)</f>
        <v>67233</v>
      </c>
    </row>
    <row r="41" spans="1:20" x14ac:dyDescent="0.3">
      <c r="A41" s="18">
        <v>66898</v>
      </c>
      <c r="B41" s="18" t="s">
        <v>45</v>
      </c>
      <c r="C41" s="42"/>
      <c r="D41" s="29">
        <v>11</v>
      </c>
      <c r="E41" s="28">
        <f>N40</f>
        <v>44456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35">
        <f>E41</f>
        <v>44456</v>
      </c>
      <c r="Q41" s="36"/>
      <c r="R41" s="3"/>
      <c r="S41" s="20"/>
      <c r="T41" s="28"/>
    </row>
    <row r="42" spans="1:20" x14ac:dyDescent="0.3">
      <c r="A42" s="8"/>
      <c r="B42" s="8"/>
      <c r="C42" s="3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6"/>
      <c r="R42" s="8"/>
      <c r="S42" s="22"/>
      <c r="T42" s="8"/>
    </row>
    <row r="43" spans="1:20" x14ac:dyDescent="0.3">
      <c r="A43" s="29"/>
      <c r="B43" s="31"/>
      <c r="C43" s="42"/>
      <c r="D43" s="29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32"/>
      <c r="R43" s="28"/>
      <c r="S43" s="33"/>
      <c r="T43" s="28"/>
    </row>
    <row r="44" spans="1:20" x14ac:dyDescent="0.3">
      <c r="A44" s="29"/>
      <c r="B44" s="31"/>
      <c r="C44" s="42"/>
      <c r="D44" s="29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32"/>
      <c r="R44" s="28"/>
      <c r="S44" s="33"/>
      <c r="T44" s="28"/>
    </row>
    <row r="45" spans="1:20" ht="15" thickBot="1" x14ac:dyDescent="0.35">
      <c r="A45" s="29"/>
      <c r="B45" s="28"/>
      <c r="C45" s="43"/>
      <c r="D45" s="29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30"/>
      <c r="R45" s="28"/>
      <c r="S45" s="28"/>
      <c r="T45" s="28"/>
    </row>
    <row r="46" spans="1:20" x14ac:dyDescent="0.3">
      <c r="A46" s="26"/>
      <c r="B46" s="12"/>
      <c r="C46" s="38"/>
      <c r="D46" s="26"/>
      <c r="E46" s="12"/>
      <c r="F46" s="12"/>
      <c r="G46" s="12"/>
      <c r="H46" s="12"/>
      <c r="I46" s="12"/>
      <c r="J46" s="12"/>
      <c r="K46" s="27">
        <f t="shared" ref="K46:P46" si="0">SUM(K8:K45)</f>
        <v>138437.33749999999</v>
      </c>
      <c r="L46" s="27">
        <f t="shared" si="0"/>
        <v>276874.67499999999</v>
      </c>
      <c r="M46" s="27">
        <f t="shared" si="0"/>
        <v>276874.67499999999</v>
      </c>
      <c r="N46" s="27">
        <f t="shared" si="0"/>
        <v>498376</v>
      </c>
      <c r="O46" s="27">
        <f t="shared" si="0"/>
        <v>238122</v>
      </c>
      <c r="P46" s="27">
        <f t="shared" si="0"/>
        <v>2297660</v>
      </c>
      <c r="Q46" s="12"/>
      <c r="R46" s="27">
        <f>SUM(R8:R45)</f>
        <v>2141425</v>
      </c>
      <c r="S46" s="12"/>
      <c r="T46" s="27">
        <f>SUM(T8:T45)</f>
        <v>156235</v>
      </c>
    </row>
    <row r="47" spans="1:20" ht="15" thickBot="1" x14ac:dyDescent="0.35">
      <c r="A47" s="24"/>
      <c r="B47" s="24"/>
      <c r="C47" s="44"/>
      <c r="D47" s="24"/>
      <c r="E47" s="24"/>
      <c r="F47" s="24"/>
      <c r="G47" s="24"/>
      <c r="H47" s="24"/>
      <c r="I47" s="24"/>
      <c r="J47" s="24"/>
      <c r="K47" s="24"/>
      <c r="L47" s="24"/>
      <c r="M47" s="25" t="s">
        <v>3</v>
      </c>
      <c r="N47" s="24"/>
      <c r="O47" s="24"/>
      <c r="P47" s="24"/>
      <c r="Q47" s="24"/>
      <c r="R47" s="25">
        <f>P46-R46</f>
        <v>156235</v>
      </c>
      <c r="S47" s="24"/>
      <c r="T47" s="25"/>
    </row>
    <row r="48" spans="1:20" x14ac:dyDescent="0.3">
      <c r="Q48" s="4"/>
    </row>
    <row r="49" spans="10:13" ht="15" thickBot="1" x14ac:dyDescent="0.35"/>
    <row r="50" spans="10:13" ht="18.600000000000001" thickBot="1" x14ac:dyDescent="0.35">
      <c r="J50" s="55" t="s">
        <v>24</v>
      </c>
      <c r="K50" s="56"/>
      <c r="L50" s="56"/>
      <c r="M50" s="57"/>
    </row>
    <row r="51" spans="10:13" ht="18.600000000000001" thickBot="1" x14ac:dyDescent="0.35">
      <c r="J51" s="64">
        <v>45661</v>
      </c>
      <c r="K51" s="56"/>
      <c r="L51" s="56"/>
      <c r="M51" s="57"/>
    </row>
    <row r="52" spans="10:13" ht="18" x14ac:dyDescent="0.3">
      <c r="J52" s="58" t="s">
        <v>14</v>
      </c>
      <c r="K52" s="59"/>
      <c r="L52" s="58">
        <f>K46+L46+M46</f>
        <v>692186.6875</v>
      </c>
      <c r="M52" s="60"/>
    </row>
    <row r="53" spans="10:13" ht="18" x14ac:dyDescent="0.3">
      <c r="J53" s="58" t="s">
        <v>31</v>
      </c>
      <c r="K53" s="59"/>
      <c r="L53" s="58">
        <v>238122</v>
      </c>
      <c r="M53" s="60"/>
    </row>
    <row r="54" spans="10:13" ht="18" x14ac:dyDescent="0.3">
      <c r="J54" s="65" t="s">
        <v>15</v>
      </c>
      <c r="K54" s="66"/>
      <c r="L54" s="65">
        <f>R47</f>
        <v>156235</v>
      </c>
      <c r="M54" s="67"/>
    </row>
    <row r="55" spans="10:13" ht="18.600000000000001" thickBot="1" x14ac:dyDescent="0.35">
      <c r="J55" s="61" t="s">
        <v>2</v>
      </c>
      <c r="K55" s="62"/>
      <c r="L55" s="61"/>
      <c r="M55" s="63"/>
    </row>
    <row r="56" spans="10:13" ht="18.600000000000001" thickBot="1" x14ac:dyDescent="0.35">
      <c r="J56" s="61" t="s">
        <v>26</v>
      </c>
      <c r="K56" s="62"/>
      <c r="L56" s="61">
        <f>N46-P36-P31-P25-P23-P22-P15-P14-P13-P41-P38-P27</f>
        <v>11475</v>
      </c>
      <c r="M56" s="63"/>
    </row>
  </sheetData>
  <autoFilter ref="F1:F56" xr:uid="{00000000-0009-0000-0000-000000000000}">
    <filterColumn colId="0">
      <filters>
        <filter val="1,32,464.00"/>
        <filter val="17,614.00"/>
        <filter val="18,014.00"/>
        <filter val="36,028.00"/>
        <filter val="38,150.00"/>
        <filter val="7,046.00"/>
        <filter val="76,300.00"/>
        <filter val="8,807.00"/>
        <filter val="94,573.00"/>
        <filter val="Debit"/>
      </filters>
    </filterColumn>
  </autoFilter>
  <mergeCells count="12">
    <mergeCell ref="J50:M50"/>
    <mergeCell ref="J52:K52"/>
    <mergeCell ref="L52:M52"/>
    <mergeCell ref="J56:K56"/>
    <mergeCell ref="L56:M56"/>
    <mergeCell ref="J51:M51"/>
    <mergeCell ref="J54:K54"/>
    <mergeCell ref="L54:M54"/>
    <mergeCell ref="J55:K55"/>
    <mergeCell ref="L55:M55"/>
    <mergeCell ref="J53:K53"/>
    <mergeCell ref="L53:M53"/>
  </mergeCells>
  <phoneticPr fontId="4" type="noConversion"/>
  <pageMargins left="0.7" right="0.7" top="0.75" bottom="0.75" header="0.3" footer="0.3"/>
  <pageSetup orientation="portrait" r:id="rId1"/>
  <ignoredErrors>
    <ignoredError sqref="P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2025-05-29T12:25:33Z</dcterms:modified>
</cp:coreProperties>
</file>