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8_{50AC1633-88F8-432B-B615-9F9205714823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9" i="1" l="1"/>
  <c r="K99" i="1" s="1"/>
  <c r="G54" i="1"/>
  <c r="J54" i="1" s="1"/>
  <c r="H99" i="1" l="1"/>
  <c r="I99" i="1" s="1"/>
  <c r="J99" i="1"/>
  <c r="M99" i="1"/>
  <c r="L99" i="1"/>
  <c r="L54" i="1"/>
  <c r="M54" i="1"/>
  <c r="K54" i="1"/>
  <c r="H54" i="1"/>
  <c r="N54" i="1" s="1"/>
  <c r="N99" i="1" l="1"/>
  <c r="I54" i="1"/>
  <c r="P54" i="1" s="1"/>
  <c r="P99" i="1" l="1"/>
  <c r="E100" i="1"/>
  <c r="P100" i="1" s="1"/>
  <c r="G108" i="1"/>
  <c r="M108" i="1" s="1"/>
  <c r="G107" i="1"/>
  <c r="M107" i="1" s="1"/>
  <c r="Q106" i="1"/>
  <c r="G89" i="1"/>
  <c r="K89" i="1" s="1"/>
  <c r="N19" i="1"/>
  <c r="G88" i="1"/>
  <c r="K88" i="1" s="1"/>
  <c r="J108" i="1" l="1"/>
  <c r="K108" i="1"/>
  <c r="H108" i="1"/>
  <c r="L108" i="1"/>
  <c r="J107" i="1"/>
  <c r="K107" i="1"/>
  <c r="H107" i="1"/>
  <c r="N107" i="1" s="1"/>
  <c r="L107" i="1"/>
  <c r="H89" i="1"/>
  <c r="N89" i="1" s="1"/>
  <c r="J89" i="1"/>
  <c r="L89" i="1"/>
  <c r="M89" i="1"/>
  <c r="H88" i="1"/>
  <c r="N88" i="1" s="1"/>
  <c r="L88" i="1"/>
  <c r="M88" i="1"/>
  <c r="J88" i="1"/>
  <c r="G103" i="1"/>
  <c r="K103" i="1" s="1"/>
  <c r="G102" i="1"/>
  <c r="K102" i="1" s="1"/>
  <c r="G18" i="1"/>
  <c r="K18" i="1" s="1"/>
  <c r="G77" i="1"/>
  <c r="Q101" i="1"/>
  <c r="G97" i="1"/>
  <c r="K97" i="1" s="1"/>
  <c r="G86" i="1"/>
  <c r="L86" i="1" s="1"/>
  <c r="G95" i="1"/>
  <c r="M95" i="1" s="1"/>
  <c r="R110" i="1"/>
  <c r="N108" i="1" l="1"/>
  <c r="I108" i="1"/>
  <c r="P108" i="1" s="1"/>
  <c r="E90" i="1"/>
  <c r="P90" i="1" s="1"/>
  <c r="I107" i="1"/>
  <c r="P107" i="1" s="1"/>
  <c r="I89" i="1"/>
  <c r="P89" i="1" s="1"/>
  <c r="I88" i="1"/>
  <c r="P88" i="1" s="1"/>
  <c r="L18" i="1"/>
  <c r="M18" i="1"/>
  <c r="H103" i="1"/>
  <c r="N103" i="1" s="1"/>
  <c r="J103" i="1"/>
  <c r="L103" i="1"/>
  <c r="M103" i="1"/>
  <c r="J102" i="1"/>
  <c r="L102" i="1"/>
  <c r="M102" i="1"/>
  <c r="H102" i="1"/>
  <c r="N102" i="1" s="1"/>
  <c r="H18" i="1"/>
  <c r="N18" i="1" s="1"/>
  <c r="E19" i="1" s="1"/>
  <c r="G19" i="1" s="1"/>
  <c r="I19" i="1" s="1"/>
  <c r="P19" i="1" s="1"/>
  <c r="J18" i="1"/>
  <c r="K77" i="1"/>
  <c r="H77" i="1"/>
  <c r="N77" i="1" s="1"/>
  <c r="J77" i="1"/>
  <c r="M77" i="1"/>
  <c r="L77" i="1"/>
  <c r="H97" i="1"/>
  <c r="N97" i="1" s="1"/>
  <c r="E98" i="1" s="1"/>
  <c r="P98" i="1" s="1"/>
  <c r="L97" i="1"/>
  <c r="M97" i="1"/>
  <c r="J97" i="1"/>
  <c r="J86" i="1"/>
  <c r="M86" i="1"/>
  <c r="K86" i="1"/>
  <c r="H86" i="1"/>
  <c r="J95" i="1"/>
  <c r="L95" i="1"/>
  <c r="K95" i="1"/>
  <c r="H95" i="1"/>
  <c r="N95" i="1" s="1"/>
  <c r="E96" i="1" s="1"/>
  <c r="P96" i="1" s="1"/>
  <c r="F75" i="1"/>
  <c r="G75" i="1" s="1"/>
  <c r="M75" i="1" s="1"/>
  <c r="O84" i="1"/>
  <c r="G84" i="1"/>
  <c r="H84" i="1" s="1"/>
  <c r="T107" i="1" l="1"/>
  <c r="E104" i="1"/>
  <c r="P104" i="1" s="1"/>
  <c r="I103" i="1"/>
  <c r="P103" i="1" s="1"/>
  <c r="I18" i="1"/>
  <c r="P18" i="1" s="1"/>
  <c r="I102" i="1"/>
  <c r="P102" i="1" s="1"/>
  <c r="I77" i="1"/>
  <c r="P77" i="1" s="1"/>
  <c r="I97" i="1"/>
  <c r="P97" i="1" s="1"/>
  <c r="I86" i="1"/>
  <c r="N86" i="1"/>
  <c r="E87" i="1" s="1"/>
  <c r="P87" i="1" s="1"/>
  <c r="I95" i="1"/>
  <c r="P95" i="1" s="1"/>
  <c r="L84" i="1"/>
  <c r="J84" i="1"/>
  <c r="K84" i="1"/>
  <c r="H75" i="1"/>
  <c r="N75" i="1" s="1"/>
  <c r="E76" i="1" s="1"/>
  <c r="P76" i="1" s="1"/>
  <c r="J75" i="1"/>
  <c r="K75" i="1"/>
  <c r="L75" i="1"/>
  <c r="N84" i="1"/>
  <c r="E85" i="1" s="1"/>
  <c r="P85" i="1" s="1"/>
  <c r="I84" i="1"/>
  <c r="M84" i="1"/>
  <c r="T102" i="1" l="1"/>
  <c r="P86" i="1"/>
  <c r="I75" i="1"/>
  <c r="P75" i="1" s="1"/>
  <c r="P84" i="1"/>
  <c r="Q92" i="1" l="1"/>
  <c r="G93" i="1" l="1"/>
  <c r="H93" i="1" s="1"/>
  <c r="G31" i="1"/>
  <c r="K31" i="1" s="1"/>
  <c r="J93" i="1" l="1"/>
  <c r="K93" i="1"/>
  <c r="L93" i="1"/>
  <c r="L31" i="1"/>
  <c r="M31" i="1"/>
  <c r="O31" i="1"/>
  <c r="M93" i="1"/>
  <c r="N93" i="1"/>
  <c r="E94" i="1" s="1"/>
  <c r="P94" i="1" s="1"/>
  <c r="I93" i="1"/>
  <c r="H31" i="1"/>
  <c r="N31" i="1" s="1"/>
  <c r="E32" i="1" s="1"/>
  <c r="P32" i="1" s="1"/>
  <c r="J31" i="1"/>
  <c r="O82" i="1"/>
  <c r="O110" i="1" l="1"/>
  <c r="P93" i="1"/>
  <c r="T93" i="1" s="1"/>
  <c r="I31" i="1"/>
  <c r="P31" i="1" s="1"/>
  <c r="G82" i="1" l="1"/>
  <c r="M82" i="1" s="1"/>
  <c r="J82" i="1" l="1"/>
  <c r="L82" i="1"/>
  <c r="H82" i="1"/>
  <c r="N82" i="1" s="1"/>
  <c r="E83" i="1" s="1"/>
  <c r="P83" i="1" s="1"/>
  <c r="K82" i="1"/>
  <c r="G80" i="1"/>
  <c r="M80" i="1" s="1"/>
  <c r="Q79" i="1"/>
  <c r="L117" i="1"/>
  <c r="G73" i="1"/>
  <c r="J73" i="1" s="1"/>
  <c r="I82" i="1" l="1"/>
  <c r="P82" i="1" s="1"/>
  <c r="J80" i="1"/>
  <c r="K80" i="1"/>
  <c r="H80" i="1"/>
  <c r="N80" i="1" s="1"/>
  <c r="E81" i="1" s="1"/>
  <c r="P81" i="1" s="1"/>
  <c r="L80" i="1"/>
  <c r="K73" i="1"/>
  <c r="H73" i="1"/>
  <c r="N73" i="1" s="1"/>
  <c r="E74" i="1" s="1"/>
  <c r="P74" i="1" s="1"/>
  <c r="L73" i="1"/>
  <c r="M73" i="1"/>
  <c r="G43" i="1"/>
  <c r="K43" i="1" s="1"/>
  <c r="I80" i="1" l="1"/>
  <c r="P80" i="1" s="1"/>
  <c r="T80" i="1" s="1"/>
  <c r="I73" i="1"/>
  <c r="P73" i="1" s="1"/>
  <c r="L43" i="1"/>
  <c r="M43" i="1"/>
  <c r="H43" i="1"/>
  <c r="N43" i="1" s="1"/>
  <c r="E44" i="1" s="1"/>
  <c r="G44" i="1" s="1"/>
  <c r="I44" i="1" s="1"/>
  <c r="P44" i="1" s="1"/>
  <c r="J43" i="1"/>
  <c r="I43" i="1" l="1"/>
  <c r="P43" i="1" s="1"/>
  <c r="G41" i="1"/>
  <c r="K41" i="1" s="1"/>
  <c r="N17" i="1"/>
  <c r="G71" i="1"/>
  <c r="K71" i="1" s="1"/>
  <c r="G52" i="1"/>
  <c r="K52" i="1" s="1"/>
  <c r="G64" i="1"/>
  <c r="K64" i="1" s="1"/>
  <c r="N70" i="1"/>
  <c r="N63" i="1"/>
  <c r="N68" i="1"/>
  <c r="G69" i="1"/>
  <c r="K69" i="1" s="1"/>
  <c r="L41" i="1" l="1"/>
  <c r="M41" i="1"/>
  <c r="H41" i="1"/>
  <c r="N41" i="1" s="1"/>
  <c r="E42" i="1" s="1"/>
  <c r="G42" i="1" s="1"/>
  <c r="I42" i="1" s="1"/>
  <c r="P42" i="1" s="1"/>
  <c r="J41" i="1"/>
  <c r="H71" i="1"/>
  <c r="N71" i="1" s="1"/>
  <c r="E72" i="1" s="1"/>
  <c r="P72" i="1" s="1"/>
  <c r="L71" i="1"/>
  <c r="M71" i="1"/>
  <c r="J71" i="1"/>
  <c r="L52" i="1"/>
  <c r="M52" i="1"/>
  <c r="H52" i="1"/>
  <c r="N52" i="1" s="1"/>
  <c r="E53" i="1" s="1"/>
  <c r="P53" i="1" s="1"/>
  <c r="J52" i="1"/>
  <c r="L64" i="1"/>
  <c r="M64" i="1"/>
  <c r="H64" i="1"/>
  <c r="N64" i="1" s="1"/>
  <c r="E65" i="1" s="1"/>
  <c r="P65" i="1" s="1"/>
  <c r="J64" i="1"/>
  <c r="M69" i="1"/>
  <c r="H69" i="1"/>
  <c r="I69" i="1" s="1"/>
  <c r="L69" i="1"/>
  <c r="J69" i="1"/>
  <c r="G67" i="1"/>
  <c r="K67" i="1" s="1"/>
  <c r="Q66" i="1"/>
  <c r="N62" i="1"/>
  <c r="G61" i="1"/>
  <c r="K61" i="1" s="1"/>
  <c r="Q20" i="1"/>
  <c r="Q7" i="1"/>
  <c r="G16" i="1"/>
  <c r="J16" i="1" s="1"/>
  <c r="I41" i="1" l="1"/>
  <c r="P41" i="1" s="1"/>
  <c r="I71" i="1"/>
  <c r="P71" i="1" s="1"/>
  <c r="I52" i="1"/>
  <c r="P52" i="1" s="1"/>
  <c r="I64" i="1"/>
  <c r="P64" i="1" s="1"/>
  <c r="N69" i="1"/>
  <c r="H67" i="1"/>
  <c r="I67" i="1" s="1"/>
  <c r="L67" i="1"/>
  <c r="M67" i="1"/>
  <c r="J67" i="1"/>
  <c r="L61" i="1"/>
  <c r="M61" i="1"/>
  <c r="H61" i="1"/>
  <c r="N61" i="1" s="1"/>
  <c r="E63" i="1" s="1"/>
  <c r="G63" i="1" s="1"/>
  <c r="I63" i="1" s="1"/>
  <c r="P63" i="1" s="1"/>
  <c r="J61" i="1"/>
  <c r="M16" i="1"/>
  <c r="L16" i="1"/>
  <c r="K16" i="1"/>
  <c r="H16" i="1"/>
  <c r="N16" i="1" s="1"/>
  <c r="E17" i="1" s="1"/>
  <c r="G17" i="1" s="1"/>
  <c r="I17" i="1" s="1"/>
  <c r="P17" i="1" s="1"/>
  <c r="G50" i="1"/>
  <c r="M50" i="1" s="1"/>
  <c r="P69" i="1" l="1"/>
  <c r="E70" i="1"/>
  <c r="G70" i="1" s="1"/>
  <c r="I70" i="1" s="1"/>
  <c r="P70" i="1" s="1"/>
  <c r="N67" i="1"/>
  <c r="I61" i="1"/>
  <c r="P61" i="1" s="1"/>
  <c r="I16" i="1"/>
  <c r="P16" i="1" s="1"/>
  <c r="J50" i="1"/>
  <c r="H50" i="1"/>
  <c r="N50" i="1" s="1"/>
  <c r="E51" i="1" s="1"/>
  <c r="G51" i="1" s="1"/>
  <c r="I51" i="1" s="1"/>
  <c r="P51" i="1" s="1"/>
  <c r="K50" i="1"/>
  <c r="L50" i="1"/>
  <c r="G49" i="1"/>
  <c r="I49" i="1" s="1"/>
  <c r="P49" i="1" s="1"/>
  <c r="P67" i="1" l="1"/>
  <c r="E68" i="1"/>
  <c r="G68" i="1" s="1"/>
  <c r="I68" i="1" s="1"/>
  <c r="P68" i="1" s="1"/>
  <c r="I50" i="1"/>
  <c r="P50" i="1" s="1"/>
  <c r="G40" i="1"/>
  <c r="I40" i="1" s="1"/>
  <c r="P40" i="1" s="1"/>
  <c r="G60" i="1"/>
  <c r="M60" i="1" s="1"/>
  <c r="Q59" i="1"/>
  <c r="T67" i="1" l="1"/>
  <c r="H60" i="1"/>
  <c r="N60" i="1" s="1"/>
  <c r="E62" i="1" s="1"/>
  <c r="G62" i="1" s="1"/>
  <c r="I62" i="1" s="1"/>
  <c r="P62" i="1" s="1"/>
  <c r="J60" i="1"/>
  <c r="K60" i="1"/>
  <c r="L60" i="1"/>
  <c r="G48" i="1"/>
  <c r="I48" i="1" s="1"/>
  <c r="P48" i="1" s="1"/>
  <c r="G47" i="1"/>
  <c r="J47" i="1" s="1"/>
  <c r="I60" i="1" l="1"/>
  <c r="P60" i="1" s="1"/>
  <c r="T60" i="1" s="1"/>
  <c r="M47" i="1"/>
  <c r="K47" i="1"/>
  <c r="H47" i="1"/>
  <c r="N47" i="1" s="1"/>
  <c r="L47" i="1"/>
  <c r="I47" i="1" l="1"/>
  <c r="P47" i="1" s="1"/>
  <c r="N39" i="1"/>
  <c r="G39" i="1"/>
  <c r="I39" i="1" s="1"/>
  <c r="G38" i="1"/>
  <c r="J38" i="1" s="1"/>
  <c r="G37" i="1"/>
  <c r="I37" i="1" s="1"/>
  <c r="P37" i="1" s="1"/>
  <c r="G36" i="1"/>
  <c r="L36" i="1" s="1"/>
  <c r="G35" i="1"/>
  <c r="J35" i="1" s="1"/>
  <c r="P39" i="1" l="1"/>
  <c r="J36" i="1"/>
  <c r="M36" i="1"/>
  <c r="K35" i="1"/>
  <c r="K38" i="1"/>
  <c r="H35" i="1"/>
  <c r="N35" i="1" s="1"/>
  <c r="L35" i="1"/>
  <c r="H38" i="1"/>
  <c r="N38" i="1" s="1"/>
  <c r="L38" i="1"/>
  <c r="M35" i="1"/>
  <c r="K36" i="1"/>
  <c r="M38" i="1"/>
  <c r="H36" i="1"/>
  <c r="I38" i="1" l="1"/>
  <c r="P38" i="1" s="1"/>
  <c r="I35" i="1"/>
  <c r="P35" i="1" s="1"/>
  <c r="I36" i="1"/>
  <c r="N36" i="1"/>
  <c r="P36" i="1" l="1"/>
  <c r="T35" i="1" s="1"/>
  <c r="G30" i="1" l="1"/>
  <c r="I30" i="1" s="1"/>
  <c r="N30" i="1"/>
  <c r="N29" i="1"/>
  <c r="G29" i="1"/>
  <c r="I29" i="1" s="1"/>
  <c r="P29" i="1" l="1"/>
  <c r="P30" i="1"/>
  <c r="N15" i="1"/>
  <c r="G46" i="1" l="1"/>
  <c r="L46" i="1" s="1"/>
  <c r="M46" i="1" l="1"/>
  <c r="J46" i="1"/>
  <c r="H46" i="1"/>
  <c r="N46" i="1" s="1"/>
  <c r="K46" i="1"/>
  <c r="I46" i="1" l="1"/>
  <c r="P46" i="1" s="1"/>
  <c r="T46" i="1" l="1"/>
  <c r="G28" i="1"/>
  <c r="K28" i="1" s="1"/>
  <c r="G27" i="1"/>
  <c r="L27" i="1" s="1"/>
  <c r="P26" i="1"/>
  <c r="G25" i="1"/>
  <c r="M25" i="1" s="1"/>
  <c r="P24" i="1"/>
  <c r="G23" i="1"/>
  <c r="H23" i="1" s="1"/>
  <c r="N23" i="1" s="1"/>
  <c r="P22" i="1"/>
  <c r="G21" i="1"/>
  <c r="J21" i="1" s="1"/>
  <c r="K27" i="1" l="1"/>
  <c r="J27" i="1"/>
  <c r="M27" i="1"/>
  <c r="M21" i="1"/>
  <c r="J28" i="1"/>
  <c r="H21" i="1"/>
  <c r="I21" i="1" s="1"/>
  <c r="L25" i="1"/>
  <c r="K21" i="1"/>
  <c r="L21" i="1"/>
  <c r="I23" i="1"/>
  <c r="J23" i="1"/>
  <c r="K23" i="1"/>
  <c r="L23" i="1"/>
  <c r="J25" i="1"/>
  <c r="H27" i="1"/>
  <c r="N27" i="1" s="1"/>
  <c r="H25" i="1"/>
  <c r="N25" i="1" s="1"/>
  <c r="M23" i="1"/>
  <c r="K25" i="1"/>
  <c r="H28" i="1"/>
  <c r="G14" i="1"/>
  <c r="K14" i="1" s="1"/>
  <c r="P23" i="1" l="1"/>
  <c r="N21" i="1"/>
  <c r="P21" i="1" s="1"/>
  <c r="I28" i="1"/>
  <c r="N28" i="1"/>
  <c r="I27" i="1"/>
  <c r="P27" i="1" s="1"/>
  <c r="I25" i="1"/>
  <c r="P25" i="1" s="1"/>
  <c r="H14" i="1"/>
  <c r="N14" i="1" s="1"/>
  <c r="E15" i="1" s="1"/>
  <c r="G15" i="1" s="1"/>
  <c r="I15" i="1" s="1"/>
  <c r="P15" i="1" s="1"/>
  <c r="J14" i="1"/>
  <c r="P28" i="1" l="1"/>
  <c r="T21" i="1" s="1"/>
  <c r="I14" i="1"/>
  <c r="P14" i="1" s="1"/>
  <c r="P13" i="1"/>
  <c r="P12" i="1"/>
  <c r="G11" i="1"/>
  <c r="M11" i="1" s="1"/>
  <c r="G10" i="1"/>
  <c r="M10" i="1" s="1"/>
  <c r="P9" i="1"/>
  <c r="G8" i="1"/>
  <c r="L8" i="1" s="1"/>
  <c r="L10" i="1" l="1"/>
  <c r="J11" i="1"/>
  <c r="H11" i="1"/>
  <c r="N11" i="1" s="1"/>
  <c r="H10" i="1"/>
  <c r="N10" i="1" s="1"/>
  <c r="L11" i="1"/>
  <c r="J10" i="1"/>
  <c r="K11" i="1"/>
  <c r="K10" i="1"/>
  <c r="H8" i="1"/>
  <c r="J8" i="1"/>
  <c r="M8" i="1"/>
  <c r="M110" i="1" s="1"/>
  <c r="K8" i="1"/>
  <c r="L110" i="1" l="1"/>
  <c r="K110" i="1"/>
  <c r="I11" i="1"/>
  <c r="P11" i="1" s="1"/>
  <c r="I10" i="1"/>
  <c r="P10" i="1" s="1"/>
  <c r="I8" i="1"/>
  <c r="N8" i="1"/>
  <c r="N110" i="1" s="1"/>
  <c r="L119" i="1" s="1"/>
  <c r="L116" i="1" l="1"/>
  <c r="P8" i="1"/>
  <c r="P110" i="1" l="1"/>
  <c r="T8" i="1"/>
  <c r="R111" i="1" l="1"/>
  <c r="T110" i="1"/>
  <c r="L118" i="1"/>
</calcChain>
</file>

<file path=xl/sharedStrings.xml><?xml version="1.0" encoding="utf-8"?>
<sst xmlns="http://schemas.openxmlformats.org/spreadsheetml/2006/main" count="196" uniqueCount="124">
  <si>
    <t>Amount</t>
  </si>
  <si>
    <t>UTR</t>
  </si>
  <si>
    <t>Total Payable Amount Rs. -</t>
  </si>
  <si>
    <t>Hold Amount For Quantity excess against DPR</t>
  </si>
  <si>
    <t>05-11-2022 NEFT/AXISP00334807145/RIUP22/1186/PUNDIR CONTRACT 376263.00</t>
  </si>
  <si>
    <t>Release GST Note</t>
  </si>
  <si>
    <t>23-11-2022 NEFT/AXISP00339736216/RIUP22/1337/PUNDIR CONTRACT 93957.00</t>
  </si>
  <si>
    <t>09-12-2022 NEFT/AXISP00345325357/RIUP22/1468/PUNDIR CONTRACT 188460.00</t>
  </si>
  <si>
    <t>06-01-2023 NEFT/AXISP00352522092/RIUP22/1798/PUNDIR CONTRACT 104855.00</t>
  </si>
  <si>
    <t>18-01-2023 NEFT/AXISP00355697025/RIUP22/1868/PUNDIR CONTRACT ₹ 72,057.00</t>
  </si>
  <si>
    <t>23-01-2023 NEFT/AXISP00356620200/RIUP22/1939/PUNDIR CONTRACT ₹ 99,000.00</t>
  </si>
  <si>
    <t>16-02-2023 NEFT/AXISP00363867491/RIUP22/2197/PUNDIR CONTRACT ₹ 49,500.00</t>
  </si>
  <si>
    <t>GST release note</t>
  </si>
  <si>
    <t>09-01-2023 NEFT/AXISP00353549285/RIUP22/1820/PUNDIR CONTRACTOR 377230.00</t>
  </si>
  <si>
    <t>04-03-2023 NEFT/AXISP00368679029/RIUP22/2455/PUNDIR CONTRACT 297000.00</t>
  </si>
  <si>
    <t>14-03-2023 NEFT/AXISP00371304697/RIUP22/2567/PUNDIR CONTRACT 148500.00</t>
  </si>
  <si>
    <t>11-04-2023 NEFT/AXISP00380905283/SPUP23/0072/PUNDIR CONTRACT 49500.00</t>
  </si>
  <si>
    <t>20-04-2023 20-04-2023 NEFT/AXISP00383281367/SPUP23/0213/PUNDIR CONTRACT 297000.00</t>
  </si>
  <si>
    <t>02-05-2023 NEFT/AXISP00386671976/RIUP23/055/PUNDIR ₹ 2,28,819.00</t>
  </si>
  <si>
    <t>02-05-2023 NEFT/AXISP00386671977/RIUP23/054/PUNDIR ₹ 39,736.00</t>
  </si>
  <si>
    <t>18-05-2023 NEFT/AXISP00391091649/RIUP23/282/PUNDIR CONTRACTO 97226.00</t>
  </si>
  <si>
    <t>24-07-2023 NEFT/AXISP00408776188/RIUP23/1186/PUNDIR CONTRACT 99000.00</t>
  </si>
  <si>
    <t>29-05-2023 NEFT/AXISP00393085066/RIUP23/423/PUNDIR CONTRACTO 278936.00</t>
  </si>
  <si>
    <t>19-06-2023 NEFT/AXISP00399545670/RIUP23/712/PUNDIR CONTRACTO 80138.00</t>
  </si>
  <si>
    <t>15-07-2023 NEFT/AXISP00407218704/RIUP23/1079/PUNDIR CONTRACT 68866.00</t>
  </si>
  <si>
    <t>26-06-2023 NEFT/AXISP00400451245/RIUP23/887/PUNDIR CONTRACTOR 148500.00</t>
  </si>
  <si>
    <t>19-07-2023 NEFT/AXISP00407912722/RIUP23/1141/PUNDIR CONTRACT ₹ 99,000.00</t>
  </si>
  <si>
    <t>07-09-2023 NEFT/AXISP00422654401/RIUP23/1881/JANARDAN ORGANICF 297000.00</t>
  </si>
  <si>
    <t>14-08-2023 NEFT/AXISP00415473410/RIUP23/1491/PUNDIR CONTRACT 17519.00</t>
  </si>
  <si>
    <t>14-08-2023 NEFT/AXISP00415763061/RIUP23/1524/PUNDIR CONTRACT ₹ 79,200.00</t>
  </si>
  <si>
    <t>16-09-2023 NEFT/AXISP00425496277/RIUP23/2041/PUNDIR CONTRACTOR/PUNB0166010 ₹ 9,070.00</t>
  </si>
  <si>
    <t>10-08-2023 NEFT/AXISP00414696959/RIUP23/1431/PUNDIR CONTRACT 57662.00</t>
  </si>
  <si>
    <t>18-09-2023 NEFT/AXISP00425751836/RIUP23/2040/PUNDIR CONTRACTOR/PUNB0166010 21359.00</t>
  </si>
  <si>
    <t>13-09-2023 NEFT/AXISP00424687444/RIUP23/1999/PUNDIR CONTRACTOR/PUNB0166010 6477.00</t>
  </si>
  <si>
    <t>16-09-2023 NEFT/AXISP00425496276/RIUP23/2042/PUNDIR CONTRACTOR/PUNB0166010 ₹ 65,751.00</t>
  </si>
  <si>
    <t>GST Release note</t>
  </si>
  <si>
    <t>11-09-2023 NEFT/AXISP00423685739/RIUP23/1958/PUNDIR CONTRACTOR/PUNB0166010 99000.00</t>
  </si>
  <si>
    <t>GST RELEASE NOTE</t>
  </si>
  <si>
    <t>17-10-2023 NEFT/AXISP00435127450/RIUP23/2688/PUNDIR CONTRACTOR/PUNB0166010 16033.00</t>
  </si>
  <si>
    <t>25-08-2023 NEFT/AXISP00418295270/RIUP23/1701/PUNDIR CONTRACTOR  148500.00</t>
  </si>
  <si>
    <t>25-10-2023 NEFT/AXISP00436731131/RIUP23/2859/PUNDIR CONTRACTOR/PUNB0166010 99000.00</t>
  </si>
  <si>
    <t>18-11-2023 NEFT/AXISP00445057526/RIUP23/3300/PUNDIR CONTRACTOR/PUNB0166010 48968.00</t>
  </si>
  <si>
    <t>18-12-2023 NEFT/AXISP00453898724/RIUP23/3809/PUNDIR CONTRACTOR/PUNB0166010 81129.00</t>
  </si>
  <si>
    <t>17-10-2023 NEFT/AXISP00435127449/RIUP23/2687/PUNDIR CONTRACTOR/PUNB0166010 32881.00</t>
  </si>
  <si>
    <t>09-11-2023 NEFT/AXISP00442541954/RIUP23/3182/PUNDIR CONTRACTOR/PUNB0166010 198000.00</t>
  </si>
  <si>
    <t>29-11-2023 NEFT/AXISP00447355235/RIUP23/3481/PUNDIR CONTRACTOR/PUNB0166010 135530.00</t>
  </si>
  <si>
    <t>18-12-2023 NEFT/AXISP00453885480/RIUP23/3838/PUNDIR CONTRACTOR/PUNB0166010 148500.00</t>
  </si>
  <si>
    <t>10-01-2024 NEFT/AXISP00461151268/RIUP23/4142/PUNDIR CONTRACTOR/PUNB0166010 39001.00</t>
  </si>
  <si>
    <t xml:space="preserve">Hold Amount </t>
  </si>
  <si>
    <t>Advance / Surplus</t>
  </si>
  <si>
    <t>15-01-2024 NEFT/AXISP00462583112/RIUP23/4269/PUNDIR CONTRACTOR/PUNB0166010 49500.00</t>
  </si>
  <si>
    <t>01-02-2024 NEFT/AXISP00467277206/RIUP23/4375/PUNDIR CONTRACTOR/PUNB0166010 104379.00</t>
  </si>
  <si>
    <t>18-01-2024 NEFT/AXISP00463439411/RIUP23/4327/PUNDIR CONTRACTOR/PUNB0166010 17002.00</t>
  </si>
  <si>
    <t>26-02-2024 NEFT/AXISP00473983981/RIUP23/4693/PUNDIR CONTRACTOR/PUNB0166010 27320.00</t>
  </si>
  <si>
    <t>26-02-2024 NEFT/AXISP00473983982/RIUP23/4694/PUNDIR CONTRACTOR/PUNB0166010 57788.00</t>
  </si>
  <si>
    <t>24-04-2024 NEFT/AXISP00493457028/RIUP24/0255/PUNDIR CONTRACTOR/PUNB0166010 38651.00</t>
  </si>
  <si>
    <t>28-05-2024 NEFT/AXISP00503313836/RIUP24/0633/PUNDIR CONTRACTOR/PUNB0166010 247500.00</t>
  </si>
  <si>
    <t>18-07-2024 NEFT/AXISP00519773559/RIUP24/1174/PUNDIR CONTRACTOR/PUNB0166010 297000.00</t>
  </si>
  <si>
    <t>Pundir Contractor</t>
  </si>
  <si>
    <t>GST Remaining</t>
  </si>
  <si>
    <t>03-08-2024 NEFT/AXISP00524511284/RIUP24/1354/PUNDIR CONTRACTOR/PUNB0166010 198000.00</t>
  </si>
  <si>
    <t>20-08-2024 NEFT/AXISP00530112324/RIUP24/1509/PUNDIR CONTRACTOR/PUNB0166010 79200.00</t>
  </si>
  <si>
    <t>21-08-2024 NEFT/AXISP00530350670/RIUP24/1510/PUNDIR CONTRACTOR/PUNB0166010 168300.00</t>
  </si>
  <si>
    <t>DPR Excess Hold</t>
  </si>
  <si>
    <t>10-09-2024 NEFT/AXISP00538525504/RIUP24/1734/PUNDIR CONTRACTOR/PUNB0166010 99000.00</t>
  </si>
  <si>
    <t>29-08-2024 NEFT/AXISP00533195027/RIUP24/1579/PUNDIR CONTRACTOR/PUNB0166010 99000.00</t>
  </si>
  <si>
    <t>18-09-2024 NEFT/AXISP00541733391/RIUP24/1835/PUNDIR CONTRACTOR/PUNB0166010 49500.00</t>
  </si>
  <si>
    <t>20-08-2024 NEFT/AXISP00530112325/RIUP24/1511/PUNDIR CONTRACTOR/PUNB0166010 49500.00</t>
  </si>
  <si>
    <t>26-09-2024 NEFT/AXISP00544686595/RIUP24/1935/PUNDIR CONTRACTOR/PUNB0166010 99000.00</t>
  </si>
  <si>
    <t>05-10-2024 NEFT/AXISP00549438830/RIUP24/2128/PUNDIR CONTRACTOR/PUNB0166010 148500.00</t>
  </si>
  <si>
    <t>21-10-2024 NEFT/AXISP00556268915/RIUP24/2254/PUNDIR CONTRACTOR/PUNB0166010 118800.00</t>
  </si>
  <si>
    <t>30-10-2024 NEFT/AXISP00561389908/RIUP24/2367/PUNDIR CONTRACTOR/PUNB0166010 148500.00</t>
  </si>
  <si>
    <t>14-11-2024 NEFT/AXISP00569818239/RIUP24/2483/PUNDIR CONTRACTOR/PUNB0166010 148500.00</t>
  </si>
  <si>
    <t>28-11-2024 NEFT/AXISP00575911964/RIUP24/2571/PUNDIR CONTRACTOR/PUNB0166010 99000.00</t>
  </si>
  <si>
    <t>04-12-2024 NEFT/AXISP00579764038/RIUP24/2626/PUNDIR CONTRACTOR/PUNB0166010 99000.00</t>
  </si>
  <si>
    <t>13-12-2024 NEFT/AXISP00583928107/RIUP24/2692/PUNDIR CONTRACTOR/PUNB0166010 99000.00</t>
  </si>
  <si>
    <t>07-01-2025 NEFT/AXISP00595145647/RIUP24/2861/PUNDIR CONTRACTOR/PUNB0166010 148500.00</t>
  </si>
  <si>
    <t>20-01-2025 NEFT/AXISP00600730125/RIUP24/2974/PUNDIR CONTRACTOR/PUNB0166010 200000.00</t>
  </si>
  <si>
    <t>30-01-2025 NEFT/AXISP00606020254/RIUP24/3060/PUNDIR CONTRACTOR/PUNB0166010 99000.00</t>
  </si>
  <si>
    <t>14-02-2025 NEFT/AXISP00616404529/RIUP24/3172/PUNDIR CONTRACTOR/PUNB0166010 99000.00</t>
  </si>
  <si>
    <t>14-02-2025 NEFT/AXISP00616404528/RIUP24/3171/PUNDIR CONTRACTOR/PUNB0166010 99000.00</t>
  </si>
  <si>
    <t>06-03-2025 NEFT/AXISP00629048191/RIUP24/3356/PUNDIR CONTRACTOR/PUNB0166010 99000.00</t>
  </si>
  <si>
    <t>06-03-2025 NEFT/AXISP00629048192/RIUP24/3357/PUNDIR CONTRACTOR/PUNB0166010 198000.00</t>
  </si>
  <si>
    <t>13-03-2025 NEFT/AXISP00633031177/RIUP24/3420/PUNDIR CONTRACTOR/PUNB0166010 99000.00</t>
  </si>
  <si>
    <t>13-03-2025 NEFT/AXISP00633031176/RIUP24/3421/PUNDIR CONTRACTOR/PUNB0166010 49500.00</t>
  </si>
  <si>
    <t>14 &amp; 15</t>
  </si>
  <si>
    <t>28-03-2025 NEFT/AXISP00641450828/RIUP24/3509/PUNDIR CONTRACTOR/PUNB0166010 99000.00</t>
  </si>
  <si>
    <t>09-04-2025 NEFT/AXISP00648889485/RIUP25/0065/PUNDIR CONTRACTOR/PUNB0166010 99000.00</t>
  </si>
  <si>
    <t>09-04-2025 NEFT/AXISP00648889484/RIUP25/0064/PUNDIR CONTRACTOR/PUNB0166010 74250.00</t>
  </si>
  <si>
    <t>16 &amp; 18</t>
  </si>
  <si>
    <t>02-05-2025 NEFT/AXISP00660145762/RIUP25/0190/PUNDIR CONTRACTOR/PUNB0166010 148500.00</t>
  </si>
  <si>
    <t>08-05-2025 NEFT/AXISP00663252909/RIUP25/0224/PUNDIR CONTRACTOR/PUNB0166010 173250.00</t>
  </si>
  <si>
    <t>15-05-2025 NEFT/AXISP00666023349/RIUP25/0253/PUNDIR CONTRACTOR/PUNB0166010 198000.00</t>
  </si>
  <si>
    <t>Subcontractor:</t>
  </si>
  <si>
    <t>State:</t>
  </si>
  <si>
    <t>Uttar Pradesh</t>
  </si>
  <si>
    <t>District:</t>
  </si>
  <si>
    <t>Shamli</t>
  </si>
  <si>
    <t>Block:</t>
  </si>
  <si>
    <t>kaiarana</t>
  </si>
  <si>
    <t>Dabheri Khurd village Pipeline work</t>
  </si>
  <si>
    <t>Alipur village Pipeline work</t>
  </si>
  <si>
    <t>JIJAULA  ALIPURA village Pipeline work</t>
  </si>
  <si>
    <t xml:space="preserve">BARALA KUKARHERI VILLAGE PIPE LINE WORK  </t>
  </si>
  <si>
    <t>Bamnoli Kairana  VILLAGE Pipe Line Work </t>
  </si>
  <si>
    <t>Asadpur Bamnauli VILLAGE Pipe Line Work </t>
  </si>
  <si>
    <t>Khivari VILLAGE Pipe Line Work </t>
  </si>
  <si>
    <t>Mohammadpur Rai VILLAGE Pipe Line Work </t>
  </si>
  <si>
    <t>Badhpura VILLAGE Pipe Line Work 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</si>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</sst>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6" formatCode="mm/dd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sz val="9"/>
      <color rgb="FF333333"/>
      <name val="Verdana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omic Sans MS"/>
      <family val="4"/>
    </font>
    <font>
      <b/>
      <sz val="9"/>
      <color rgb="FFFF0000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0" fillId="2" borderId="0" xfId="0" applyFill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0" xfId="0" applyFill="1" applyAlignment="1">
      <alignment vertical="center"/>
    </xf>
    <xf numFmtId="164" fontId="2" fillId="3" borderId="4" xfId="1" applyNumberFormat="1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4" fontId="2" fillId="2" borderId="7" xfId="1" applyNumberFormat="1" applyFont="1" applyFill="1" applyBorder="1" applyAlignment="1">
      <alignment vertical="center"/>
    </xf>
    <xf numFmtId="9" fontId="2" fillId="2" borderId="7" xfId="1" applyNumberFormat="1" applyFont="1" applyFill="1" applyBorder="1" applyAlignment="1">
      <alignment vertical="center"/>
    </xf>
    <xf numFmtId="9" fontId="2" fillId="3" borderId="4" xfId="1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4" fillId="0" borderId="4" xfId="0" applyFont="1" applyBorder="1"/>
    <xf numFmtId="0" fontId="0" fillId="2" borderId="4" xfId="0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164" fontId="2" fillId="2" borderId="8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164" fontId="3" fillId="2" borderId="7" xfId="1" applyNumberFormat="1" applyFont="1" applyFill="1" applyBorder="1" applyAlignment="1">
      <alignment vertical="center"/>
    </xf>
    <xf numFmtId="164" fontId="2" fillId="2" borderId="21" xfId="1" applyNumberFormat="1" applyFont="1" applyFill="1" applyBorder="1" applyAlignment="1">
      <alignment vertical="center"/>
    </xf>
    <xf numFmtId="0" fontId="2" fillId="2" borderId="21" xfId="0" applyFont="1" applyFill="1" applyBorder="1" applyAlignment="1">
      <alignment horizontal="center" vertical="center"/>
    </xf>
    <xf numFmtId="164" fontId="7" fillId="5" borderId="4" xfId="1" applyNumberFormat="1" applyFont="1" applyFill="1" applyBorder="1" applyAlignment="1">
      <alignment vertical="center"/>
    </xf>
    <xf numFmtId="164" fontId="7" fillId="5" borderId="21" xfId="1" applyNumberFormat="1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4" xfId="1" applyNumberFormat="1" applyFont="1" applyFill="1" applyBorder="1" applyAlignment="1">
      <alignment vertical="center"/>
    </xf>
    <xf numFmtId="0" fontId="2" fillId="3" borderId="4" xfId="1" applyNumberFormat="1" applyFont="1" applyFill="1" applyBorder="1" applyAlignment="1">
      <alignment vertical="center"/>
    </xf>
    <xf numFmtId="0" fontId="3" fillId="2" borderId="9" xfId="1" applyNumberFormat="1" applyFont="1" applyFill="1" applyBorder="1" applyAlignment="1">
      <alignment vertical="center" wrapText="1"/>
    </xf>
    <xf numFmtId="0" fontId="3" fillId="4" borderId="4" xfId="1" applyNumberFormat="1" applyFont="1" applyFill="1" applyBorder="1" applyAlignment="1">
      <alignment horizontal="center" vertical="center"/>
    </xf>
    <xf numFmtId="0" fontId="3" fillId="2" borderId="22" xfId="1" applyNumberFormat="1" applyFont="1" applyFill="1" applyBorder="1" applyAlignment="1">
      <alignment vertical="center" wrapText="1"/>
    </xf>
    <xf numFmtId="0" fontId="2" fillId="2" borderId="7" xfId="1" applyNumberFormat="1" applyFont="1" applyFill="1" applyBorder="1" applyAlignment="1">
      <alignment vertical="center"/>
    </xf>
    <xf numFmtId="0" fontId="2" fillId="2" borderId="8" xfId="1" applyNumberFormat="1" applyFont="1" applyFill="1" applyBorder="1" applyAlignment="1">
      <alignment vertical="center"/>
    </xf>
    <xf numFmtId="0" fontId="2" fillId="2" borderId="1" xfId="1" applyNumberFormat="1" applyFont="1" applyFill="1" applyBorder="1" applyAlignment="1">
      <alignment vertical="center"/>
    </xf>
    <xf numFmtId="0" fontId="8" fillId="2" borderId="22" xfId="1" applyNumberFormat="1" applyFont="1" applyFill="1" applyBorder="1" applyAlignment="1">
      <alignment horizontal="center" vertical="center" wrapText="1"/>
    </xf>
    <xf numFmtId="164" fontId="0" fillId="2" borderId="0" xfId="0" applyNumberFormat="1" applyFill="1" applyAlignment="1">
      <alignment vertical="center"/>
    </xf>
    <xf numFmtId="0" fontId="8" fillId="2" borderId="22" xfId="1" applyNumberFormat="1" applyFont="1" applyFill="1" applyBorder="1" applyAlignment="1">
      <alignment vertical="center" wrapText="1"/>
    </xf>
    <xf numFmtId="164" fontId="2" fillId="0" borderId="4" xfId="1" applyNumberFormat="1" applyFont="1" applyFill="1" applyBorder="1" applyAlignment="1">
      <alignment vertical="center"/>
    </xf>
    <xf numFmtId="164" fontId="6" fillId="2" borderId="16" xfId="1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 vertical="center"/>
    </xf>
    <xf numFmtId="164" fontId="6" fillId="2" borderId="17" xfId="1" applyNumberFormat="1" applyFont="1" applyFill="1" applyBorder="1" applyAlignment="1">
      <alignment horizontal="center" vertical="center"/>
    </xf>
    <xf numFmtId="164" fontId="6" fillId="2" borderId="18" xfId="1" applyNumberFormat="1" applyFont="1" applyFill="1" applyBorder="1" applyAlignment="1">
      <alignment horizontal="center" vertical="center"/>
    </xf>
    <xf numFmtId="164" fontId="6" fillId="2" borderId="19" xfId="1" applyNumberFormat="1" applyFont="1" applyFill="1" applyBorder="1" applyAlignment="1">
      <alignment horizontal="center" vertical="center"/>
    </xf>
    <xf numFmtId="164" fontId="6" fillId="2" borderId="20" xfId="1" applyNumberFormat="1" applyFont="1" applyFill="1" applyBorder="1" applyAlignment="1">
      <alignment horizontal="center" vertical="center"/>
    </xf>
    <xf numFmtId="164" fontId="6" fillId="2" borderId="10" xfId="1" applyNumberFormat="1" applyFont="1" applyFill="1" applyBorder="1" applyAlignment="1">
      <alignment horizontal="center" vertical="center"/>
    </xf>
    <xf numFmtId="164" fontId="6" fillId="2" borderId="11" xfId="1" applyNumberFormat="1" applyFont="1" applyFill="1" applyBorder="1" applyAlignment="1">
      <alignment horizontal="center" vertical="center"/>
    </xf>
    <xf numFmtId="164" fontId="6" fillId="2" borderId="12" xfId="1" applyNumberFormat="1" applyFont="1" applyFill="1" applyBorder="1" applyAlignment="1">
      <alignment horizontal="center" vertical="center"/>
    </xf>
    <xf numFmtId="164" fontId="6" fillId="2" borderId="13" xfId="1" applyNumberFormat="1" applyFont="1" applyFill="1" applyBorder="1" applyAlignment="1">
      <alignment horizontal="center" vertical="center"/>
    </xf>
    <xf numFmtId="164" fontId="6" fillId="2" borderId="14" xfId="1" applyNumberFormat="1" applyFont="1" applyFill="1" applyBorder="1" applyAlignment="1">
      <alignment horizontal="center" vertical="center"/>
    </xf>
    <xf numFmtId="164" fontId="6" fillId="2" borderId="15" xfId="1" applyNumberFormat="1" applyFont="1" applyFill="1" applyBorder="1" applyAlignment="1">
      <alignment horizontal="center" vertical="center"/>
    </xf>
    <xf numFmtId="14" fontId="6" fillId="2" borderId="10" xfId="1" applyNumberFormat="1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wrapText="1"/>
    </xf>
    <xf numFmtId="0" fontId="0" fillId="0" borderId="0" xfId="0" applyFont="1"/>
    <xf numFmtId="166" fontId="0" fillId="0" borderId="0" xfId="0" applyNumberFormat="1" applyFont="1"/>
    <xf numFmtId="166" fontId="2" fillId="2" borderId="7" xfId="1" applyNumberFormat="1" applyFont="1" applyFill="1" applyBorder="1" applyAlignment="1">
      <alignment vertical="center"/>
    </xf>
    <xf numFmtId="166" fontId="2" fillId="3" borderId="4" xfId="1" applyNumberFormat="1" applyFont="1" applyFill="1" applyBorder="1" applyAlignment="1">
      <alignment vertical="center"/>
    </xf>
    <xf numFmtId="166" fontId="2" fillId="2" borderId="4" xfId="0" applyNumberFormat="1" applyFont="1" applyFill="1" applyBorder="1" applyAlignment="1">
      <alignment horizontal="center" vertical="center"/>
    </xf>
    <xf numFmtId="166" fontId="2" fillId="2" borderId="4" xfId="1" applyNumberFormat="1" applyFont="1" applyFill="1" applyBorder="1" applyAlignment="1">
      <alignment vertical="center"/>
    </xf>
    <xf numFmtId="166" fontId="2" fillId="2" borderId="4" xfId="1" applyNumberFormat="1" applyFont="1" applyFill="1" applyBorder="1" applyAlignment="1">
      <alignment horizontal="center" vertical="center"/>
    </xf>
    <xf numFmtId="166" fontId="2" fillId="3" borderId="4" xfId="0" applyNumberFormat="1" applyFont="1" applyFill="1" applyBorder="1" applyAlignment="1">
      <alignment horizontal="center" vertical="center"/>
    </xf>
    <xf numFmtId="166" fontId="2" fillId="2" borderId="21" xfId="1" applyNumberFormat="1" applyFont="1" applyFill="1" applyBorder="1" applyAlignment="1">
      <alignment vertical="center"/>
    </xf>
    <xf numFmtId="166" fontId="2" fillId="2" borderId="8" xfId="1" applyNumberFormat="1" applyFont="1" applyFill="1" applyBorder="1" applyAlignment="1">
      <alignment vertical="center"/>
    </xf>
    <xf numFmtId="166" fontId="0" fillId="2" borderId="0" xfId="0" applyNumberFormat="1" applyFill="1" applyAlignment="1">
      <alignment vertical="center"/>
    </xf>
    <xf numFmtId="0" fontId="9" fillId="2" borderId="7" xfId="0" applyFont="1" applyFill="1" applyBorder="1" applyAlignment="1">
      <alignment vertical="center"/>
    </xf>
    <xf numFmtId="0" fontId="9" fillId="2" borderId="7" xfId="0" applyFont="1" applyFill="1" applyBorder="1" applyAlignment="1">
      <alignment horizontal="center" vertical="center" wrapText="1"/>
    </xf>
    <xf numFmtId="14" fontId="9" fillId="2" borderId="7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64" fontId="10" fillId="2" borderId="7" xfId="1" applyNumberFormat="1" applyFont="1" applyFill="1" applyBorder="1" applyAlignment="1">
      <alignment horizontal="center" vertical="center"/>
    </xf>
    <xf numFmtId="164" fontId="9" fillId="2" borderId="7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19"/>
  <sheetViews>
    <sheetView tabSelected="1" zoomScale="115" zoomScaleNormal="115" workbookViewId="0">
      <pane ySplit="5" topLeftCell="A6" activePane="bottomLeft" state="frozen"/>
      <selection pane="bottomLeft" activeCell="R5" sqref="R5:S5"/>
    </sheetView>
  </sheetViews>
  <sheetFormatPr defaultColWidth="9" defaultRowHeight="14.4" x14ac:dyDescent="0.3"/>
  <cols>
    <col min="1" max="1" width="14.33203125" style="1" customWidth="1"/>
    <col min="2" max="2" width="32.6640625" style="1" customWidth="1"/>
    <col min="3" max="3" width="11.6640625" style="70" bestFit="1" customWidth="1"/>
    <col min="4" max="4" width="9.88671875" style="1" bestFit="1" customWidth="1"/>
    <col min="5" max="5" width="12.33203125" style="1" bestFit="1" customWidth="1"/>
    <col min="6" max="6" width="10.6640625" style="1" bestFit="1" customWidth="1"/>
    <col min="7" max="7" width="15.44140625" style="1" bestFit="1" customWidth="1"/>
    <col min="8" max="8" width="12.88671875" style="3" customWidth="1"/>
    <col min="9" max="9" width="12.33203125" style="3" bestFit="1" customWidth="1"/>
    <col min="10" max="10" width="9.5546875" style="1" bestFit="1" customWidth="1"/>
    <col min="11" max="11" width="13.6640625" style="1" bestFit="1" customWidth="1"/>
    <col min="12" max="12" width="15" style="1" bestFit="1" customWidth="1"/>
    <col min="13" max="13" width="18.33203125" style="1" customWidth="1"/>
    <col min="14" max="14" width="14.88671875" style="1" bestFit="1" customWidth="1"/>
    <col min="15" max="15" width="16" style="1" customWidth="1"/>
    <col min="16" max="16" width="14.88671875" style="1" bestFit="1" customWidth="1"/>
    <col min="17" max="17" width="8" style="1" customWidth="1"/>
    <col min="18" max="18" width="16.109375" style="1" bestFit="1" customWidth="1"/>
    <col min="19" max="19" width="94" style="1" bestFit="1" customWidth="1"/>
    <col min="20" max="20" width="16" style="1" bestFit="1" customWidth="1"/>
    <col min="21" max="21" width="9" style="1"/>
    <col min="22" max="23" width="12.33203125" style="1" bestFit="1" customWidth="1"/>
    <col min="24" max="16384" width="9" style="1"/>
  </cols>
  <sheetData>
    <row r="1" spans="1:51" s="60" customFormat="1" ht="24.9" customHeight="1" x14ac:dyDescent="0.3">
      <c r="A1" s="58" t="s">
        <v>93</v>
      </c>
      <c r="B1" s="59" t="s">
        <v>58</v>
      </c>
      <c r="C1" s="61"/>
    </row>
    <row r="2" spans="1:51" s="60" customFormat="1" ht="24.9" customHeight="1" x14ac:dyDescent="0.3">
      <c r="A2" s="58" t="s">
        <v>94</v>
      </c>
      <c r="B2" s="60" t="s">
        <v>95</v>
      </c>
      <c r="C2" s="61"/>
    </row>
    <row r="3" spans="1:51" s="60" customFormat="1" ht="30.6" customHeight="1" x14ac:dyDescent="0.3">
      <c r="A3" s="58" t="s">
        <v>96</v>
      </c>
      <c r="B3" s="58" t="s">
        <v>97</v>
      </c>
      <c r="C3" s="61"/>
    </row>
    <row r="4" spans="1:51" s="60" customFormat="1" ht="24.9" customHeight="1" thickBot="1" x14ac:dyDescent="0.35">
      <c r="A4" s="58" t="s">
        <v>98</v>
      </c>
      <c r="B4" s="58" t="s">
        <v>99</v>
      </c>
      <c r="C4" s="61"/>
    </row>
    <row r="5" spans="1:51" ht="43.8" thickBot="1" x14ac:dyDescent="0.35">
      <c r="A5" s="71" t="s">
        <v>109</v>
      </c>
      <c r="B5" s="72" t="s">
        <v>110</v>
      </c>
      <c r="C5" s="73" t="s">
        <v>111</v>
      </c>
      <c r="D5" s="74" t="s">
        <v>112</v>
      </c>
      <c r="E5" s="72" t="s">
        <v>113</v>
      </c>
      <c r="F5" s="72" t="s">
        <v>114</v>
      </c>
      <c r="G5" s="74" t="s">
        <v>115</v>
      </c>
      <c r="H5" s="75" t="s">
        <v>116</v>
      </c>
      <c r="I5" s="76" t="s">
        <v>0</v>
      </c>
      <c r="J5" s="72" t="s">
        <v>117</v>
      </c>
      <c r="K5" s="72" t="s">
        <v>118</v>
      </c>
      <c r="L5" s="72" t="s">
        <v>119</v>
      </c>
      <c r="M5" s="72" t="s">
        <v>120</v>
      </c>
      <c r="N5" s="72" t="s">
        <v>121</v>
      </c>
      <c r="O5" s="9" t="s">
        <v>3</v>
      </c>
      <c r="P5" s="72" t="s">
        <v>122</v>
      </c>
      <c r="Q5" s="29"/>
      <c r="R5" s="72" t="s">
        <v>123</v>
      </c>
      <c r="S5" s="72" t="s">
        <v>1</v>
      </c>
      <c r="T5" s="8"/>
    </row>
    <row r="6" spans="1:51" x14ac:dyDescent="0.3">
      <c r="A6" s="10"/>
      <c r="B6" s="10"/>
      <c r="C6" s="62"/>
      <c r="D6" s="10"/>
      <c r="E6" s="10"/>
      <c r="F6" s="10"/>
      <c r="G6" s="10"/>
      <c r="H6" s="10"/>
      <c r="I6" s="10"/>
      <c r="J6" s="11">
        <v>0.01</v>
      </c>
      <c r="K6" s="11">
        <v>0.05</v>
      </c>
      <c r="L6" s="11">
        <v>0.1</v>
      </c>
      <c r="M6" s="11">
        <v>0.1</v>
      </c>
      <c r="N6" s="10"/>
      <c r="O6" s="10"/>
      <c r="P6" s="10"/>
      <c r="Q6" s="30"/>
      <c r="R6" s="10"/>
      <c r="S6" s="10"/>
      <c r="T6" s="10"/>
    </row>
    <row r="7" spans="1:51" s="5" customFormat="1" x14ac:dyDescent="0.3">
      <c r="A7" s="6"/>
      <c r="B7" s="6"/>
      <c r="C7" s="63"/>
      <c r="D7" s="6"/>
      <c r="E7" s="6"/>
      <c r="F7" s="6"/>
      <c r="G7" s="6"/>
      <c r="H7" s="6"/>
      <c r="I7" s="6"/>
      <c r="J7" s="12"/>
      <c r="K7" s="12"/>
      <c r="L7" s="12"/>
      <c r="M7" s="12"/>
      <c r="N7" s="6"/>
      <c r="O7" s="6"/>
      <c r="P7" s="6"/>
      <c r="Q7" s="31">
        <f>A8</f>
        <v>52963</v>
      </c>
      <c r="R7" s="6"/>
      <c r="S7" s="6"/>
      <c r="T7" s="6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1" x14ac:dyDescent="0.3">
      <c r="A8" s="14">
        <v>52963</v>
      </c>
      <c r="B8" s="13" t="s">
        <v>108</v>
      </c>
      <c r="C8" s="64">
        <v>44867</v>
      </c>
      <c r="D8" s="14">
        <v>1</v>
      </c>
      <c r="E8" s="2">
        <v>521983</v>
      </c>
      <c r="F8" s="2">
        <v>0</v>
      </c>
      <c r="G8" s="2">
        <f>E8-F8</f>
        <v>521983</v>
      </c>
      <c r="H8" s="2">
        <f>ROUND(G8*18%,)</f>
        <v>93957</v>
      </c>
      <c r="I8" s="2">
        <f>ROUND(G8+H8,)</f>
        <v>615940</v>
      </c>
      <c r="J8" s="2">
        <f>G8*$J$6</f>
        <v>5219.83</v>
      </c>
      <c r="K8" s="2">
        <f>G8*5%</f>
        <v>26099.15</v>
      </c>
      <c r="L8" s="2">
        <f>G8*5%</f>
        <v>26099.15</v>
      </c>
      <c r="M8" s="2">
        <f>G8*10%</f>
        <v>52198.3</v>
      </c>
      <c r="N8" s="27">
        <f>H8</f>
        <v>93957</v>
      </c>
      <c r="O8" s="2">
        <v>36104</v>
      </c>
      <c r="P8" s="2">
        <f>ROUNDUP(I8-SUM(J8:O8), 0)</f>
        <v>376263</v>
      </c>
      <c r="Q8" s="32"/>
      <c r="R8" s="2">
        <v>376263</v>
      </c>
      <c r="S8" s="15" t="s">
        <v>4</v>
      </c>
      <c r="T8" s="2">
        <f>SUM(P8:P19,0)-SUM(R8:R19,0)</f>
        <v>-188845</v>
      </c>
    </row>
    <row r="9" spans="1:51" s="4" customFormat="1" x14ac:dyDescent="0.3">
      <c r="A9" s="14">
        <v>52963</v>
      </c>
      <c r="B9" s="14" t="s">
        <v>5</v>
      </c>
      <c r="C9" s="64">
        <v>44873</v>
      </c>
      <c r="D9" s="14">
        <v>1</v>
      </c>
      <c r="E9" s="2">
        <v>93957</v>
      </c>
      <c r="F9" s="2"/>
      <c r="G9" s="2"/>
      <c r="H9" s="2"/>
      <c r="I9" s="2"/>
      <c r="J9" s="2"/>
      <c r="K9" s="2"/>
      <c r="L9" s="2"/>
      <c r="M9" s="2"/>
      <c r="N9" s="2"/>
      <c r="O9" s="2"/>
      <c r="P9" s="27">
        <f>E9</f>
        <v>93957</v>
      </c>
      <c r="Q9" s="32"/>
      <c r="R9" s="2">
        <v>93957</v>
      </c>
      <c r="S9" s="15" t="s">
        <v>6</v>
      </c>
      <c r="T9" s="2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7"/>
    </row>
    <row r="10" spans="1:51" s="4" customFormat="1" x14ac:dyDescent="0.3">
      <c r="A10" s="14">
        <v>52963</v>
      </c>
      <c r="B10" s="13" t="s">
        <v>108</v>
      </c>
      <c r="C10" s="64">
        <v>44893</v>
      </c>
      <c r="D10" s="14">
        <v>2</v>
      </c>
      <c r="E10" s="2">
        <v>436346</v>
      </c>
      <c r="F10" s="2">
        <v>36028</v>
      </c>
      <c r="G10" s="2">
        <f>E10-F10</f>
        <v>400318</v>
      </c>
      <c r="H10" s="2">
        <f>ROUND(G10*18%,)</f>
        <v>72057</v>
      </c>
      <c r="I10" s="2">
        <f>ROUND(G10+H10,)</f>
        <v>472375</v>
      </c>
      <c r="J10" s="2">
        <f>G10*$J$6</f>
        <v>4003.1800000000003</v>
      </c>
      <c r="K10" s="2">
        <f>G10*5%</f>
        <v>20015.900000000001</v>
      </c>
      <c r="L10" s="2">
        <f>G10*10%</f>
        <v>40031.800000000003</v>
      </c>
      <c r="M10" s="2">
        <f>G10*10%</f>
        <v>40031.800000000003</v>
      </c>
      <c r="N10" s="27">
        <f>H10</f>
        <v>72057</v>
      </c>
      <c r="O10" s="2">
        <v>107775</v>
      </c>
      <c r="P10" s="2">
        <f>ROUNDDOWN(I10-SUM(J10:O10), 0)</f>
        <v>188460</v>
      </c>
      <c r="Q10" s="33"/>
      <c r="R10" s="2">
        <v>188460</v>
      </c>
      <c r="S10" s="15" t="s">
        <v>7</v>
      </c>
      <c r="T10" s="2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7"/>
    </row>
    <row r="11" spans="1:51" x14ac:dyDescent="0.3">
      <c r="A11" s="14">
        <v>52963</v>
      </c>
      <c r="B11" s="13" t="s">
        <v>108</v>
      </c>
      <c r="C11" s="64">
        <v>44929</v>
      </c>
      <c r="D11" s="14">
        <v>3</v>
      </c>
      <c r="E11" s="2">
        <v>218625</v>
      </c>
      <c r="F11" s="2">
        <v>0</v>
      </c>
      <c r="G11" s="2">
        <f>E11-F11</f>
        <v>218625</v>
      </c>
      <c r="H11" s="2">
        <f>ROUND(G11*18%,)</f>
        <v>39353</v>
      </c>
      <c r="I11" s="2">
        <f>ROUND(G11+H11,)</f>
        <v>257978</v>
      </c>
      <c r="J11" s="2">
        <f>G11*$J$6</f>
        <v>2186.25</v>
      </c>
      <c r="K11" s="2">
        <f>G11*5%</f>
        <v>10931.25</v>
      </c>
      <c r="L11" s="2">
        <f>G11*10%</f>
        <v>21862.5</v>
      </c>
      <c r="M11" s="2">
        <f>G11*10%</f>
        <v>21862.5</v>
      </c>
      <c r="N11" s="27">
        <f>H11</f>
        <v>39353</v>
      </c>
      <c r="O11" s="2">
        <v>56927</v>
      </c>
      <c r="P11" s="2">
        <f>ROUNDDOWN(I11-SUM(J11:O11), 0)</f>
        <v>104855</v>
      </c>
      <c r="Q11" s="33"/>
      <c r="R11" s="2">
        <v>104855</v>
      </c>
      <c r="S11" s="15" t="s">
        <v>8</v>
      </c>
      <c r="T11" s="2"/>
    </row>
    <row r="12" spans="1:51" x14ac:dyDescent="0.3">
      <c r="A12" s="14">
        <v>52963</v>
      </c>
      <c r="B12" s="14" t="s">
        <v>5</v>
      </c>
      <c r="C12" s="64">
        <v>44939</v>
      </c>
      <c r="D12" s="14">
        <v>2</v>
      </c>
      <c r="E12" s="2">
        <v>72057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7">
        <f>E12</f>
        <v>72057</v>
      </c>
      <c r="Q12" s="33"/>
      <c r="R12" s="2">
        <v>72057</v>
      </c>
      <c r="S12" s="15" t="s">
        <v>9</v>
      </c>
      <c r="T12" s="2"/>
    </row>
    <row r="13" spans="1:51" x14ac:dyDescent="0.3">
      <c r="A13" s="14">
        <v>52963</v>
      </c>
      <c r="B13" s="14" t="s">
        <v>5</v>
      </c>
      <c r="C13" s="64">
        <v>45045</v>
      </c>
      <c r="D13" s="14">
        <v>3</v>
      </c>
      <c r="E13" s="2">
        <v>39353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7">
        <f>E13</f>
        <v>39353</v>
      </c>
      <c r="Q13" s="33"/>
      <c r="R13" s="2">
        <v>99000</v>
      </c>
      <c r="S13" s="15" t="s">
        <v>10</v>
      </c>
      <c r="T13" s="2"/>
    </row>
    <row r="14" spans="1:51" x14ac:dyDescent="0.3">
      <c r="A14" s="14">
        <v>52963</v>
      </c>
      <c r="B14" s="13" t="s">
        <v>108</v>
      </c>
      <c r="C14" s="65">
        <v>45114</v>
      </c>
      <c r="D14" s="14">
        <v>4</v>
      </c>
      <c r="E14" s="2">
        <v>52600</v>
      </c>
      <c r="F14" s="2">
        <v>0</v>
      </c>
      <c r="G14" s="2">
        <f t="shared" ref="G14:G19" si="0">E14-F14</f>
        <v>52600</v>
      </c>
      <c r="H14" s="2">
        <f>ROUND(G14*18%,)</f>
        <v>9468</v>
      </c>
      <c r="I14" s="2">
        <f t="shared" ref="I14:I19" si="1">ROUND(G14+H14,)</f>
        <v>62068</v>
      </c>
      <c r="J14" s="2">
        <f>G14*$J$6</f>
        <v>526</v>
      </c>
      <c r="K14" s="2">
        <f>G14*5%</f>
        <v>2630</v>
      </c>
      <c r="L14" s="2">
        <v>0</v>
      </c>
      <c r="M14" s="2">
        <v>0</v>
      </c>
      <c r="N14" s="27">
        <f t="shared" ref="N14:N19" si="2">H14</f>
        <v>9468</v>
      </c>
      <c r="O14" s="2">
        <v>0</v>
      </c>
      <c r="P14" s="2">
        <f t="shared" ref="P14:P19" si="3">ROUNDDOWN(I14-SUM(J14:O14), 0)</f>
        <v>49444</v>
      </c>
      <c r="Q14" s="33"/>
      <c r="R14" s="2">
        <v>49500</v>
      </c>
      <c r="S14" s="15" t="s">
        <v>11</v>
      </c>
      <c r="T14" s="2"/>
    </row>
    <row r="15" spans="1:51" x14ac:dyDescent="0.3">
      <c r="A15" s="14">
        <v>52963</v>
      </c>
      <c r="B15" s="13" t="s">
        <v>12</v>
      </c>
      <c r="C15" s="64">
        <v>45180</v>
      </c>
      <c r="D15" s="14">
        <v>4</v>
      </c>
      <c r="E15" s="2">
        <f>N14</f>
        <v>9468</v>
      </c>
      <c r="F15" s="2"/>
      <c r="G15" s="2">
        <f t="shared" si="0"/>
        <v>9468</v>
      </c>
      <c r="H15" s="2">
        <v>0</v>
      </c>
      <c r="I15" s="2">
        <f t="shared" si="1"/>
        <v>9468</v>
      </c>
      <c r="J15" s="2">
        <v>0</v>
      </c>
      <c r="K15" s="2">
        <v>0</v>
      </c>
      <c r="L15" s="2">
        <v>0</v>
      </c>
      <c r="M15" s="2">
        <v>0</v>
      </c>
      <c r="N15" s="2">
        <f t="shared" si="2"/>
        <v>0</v>
      </c>
      <c r="O15" s="2">
        <v>0</v>
      </c>
      <c r="P15" s="27">
        <f t="shared" si="3"/>
        <v>9468</v>
      </c>
      <c r="Q15" s="33"/>
      <c r="R15" s="2">
        <v>148500</v>
      </c>
      <c r="S15" s="15" t="s">
        <v>39</v>
      </c>
      <c r="T15" s="2"/>
    </row>
    <row r="16" spans="1:51" x14ac:dyDescent="0.3">
      <c r="A16" s="14">
        <v>52963</v>
      </c>
      <c r="B16" s="13" t="s">
        <v>108</v>
      </c>
      <c r="C16" s="65">
        <v>45114</v>
      </c>
      <c r="D16" s="14">
        <v>14</v>
      </c>
      <c r="E16" s="2">
        <v>11675</v>
      </c>
      <c r="F16" s="2">
        <v>0</v>
      </c>
      <c r="G16" s="2">
        <f t="shared" si="0"/>
        <v>11675</v>
      </c>
      <c r="H16" s="2">
        <f>ROUND(G16*18%,)</f>
        <v>2102</v>
      </c>
      <c r="I16" s="2">
        <f t="shared" si="1"/>
        <v>13777</v>
      </c>
      <c r="J16" s="2">
        <f>G16*$J$6</f>
        <v>116.75</v>
      </c>
      <c r="K16" s="2">
        <f>G16*5%</f>
        <v>583.75</v>
      </c>
      <c r="L16" s="2">
        <f>G16*L6</f>
        <v>1167.5</v>
      </c>
      <c r="M16" s="2">
        <f>G16*M6</f>
        <v>1167.5</v>
      </c>
      <c r="N16" s="27">
        <f t="shared" si="2"/>
        <v>2102</v>
      </c>
      <c r="O16" s="2">
        <v>2875</v>
      </c>
      <c r="P16" s="2">
        <f t="shared" si="3"/>
        <v>5764</v>
      </c>
      <c r="Q16" s="33"/>
      <c r="R16" s="2"/>
      <c r="S16" s="15"/>
      <c r="T16" s="2"/>
    </row>
    <row r="17" spans="1:50" x14ac:dyDescent="0.3">
      <c r="A17" s="14">
        <v>52963</v>
      </c>
      <c r="B17" s="13" t="s">
        <v>12</v>
      </c>
      <c r="C17" s="64"/>
      <c r="D17" s="14">
        <v>14</v>
      </c>
      <c r="E17" s="2">
        <f>N16</f>
        <v>2102</v>
      </c>
      <c r="F17" s="2"/>
      <c r="G17" s="2">
        <f t="shared" si="0"/>
        <v>2102</v>
      </c>
      <c r="H17" s="2">
        <v>0</v>
      </c>
      <c r="I17" s="2">
        <f t="shared" si="1"/>
        <v>2102</v>
      </c>
      <c r="J17" s="2">
        <v>0</v>
      </c>
      <c r="K17" s="2">
        <v>0</v>
      </c>
      <c r="L17" s="2">
        <v>0</v>
      </c>
      <c r="M17" s="2">
        <v>0</v>
      </c>
      <c r="N17" s="2">
        <f t="shared" si="2"/>
        <v>0</v>
      </c>
      <c r="O17" s="2">
        <v>0</v>
      </c>
      <c r="P17" s="27">
        <f t="shared" si="3"/>
        <v>2102</v>
      </c>
      <c r="Q17" s="33"/>
      <c r="R17" s="2"/>
      <c r="S17" s="15"/>
      <c r="T17" s="2"/>
    </row>
    <row r="18" spans="1:50" x14ac:dyDescent="0.3">
      <c r="A18" s="14">
        <v>52963</v>
      </c>
      <c r="B18" s="13" t="s">
        <v>108</v>
      </c>
      <c r="C18" s="65">
        <v>45687</v>
      </c>
      <c r="D18" s="14">
        <v>12</v>
      </c>
      <c r="E18" s="2">
        <v>2200</v>
      </c>
      <c r="F18" s="2">
        <v>0</v>
      </c>
      <c r="G18" s="2">
        <f t="shared" si="0"/>
        <v>2200</v>
      </c>
      <c r="H18" s="2">
        <f>ROUND(G18*18%,)</f>
        <v>396</v>
      </c>
      <c r="I18" s="2">
        <f t="shared" si="1"/>
        <v>2596</v>
      </c>
      <c r="J18" s="2">
        <f>G18*$J$6</f>
        <v>22</v>
      </c>
      <c r="K18" s="2">
        <f>G18*5%</f>
        <v>110</v>
      </c>
      <c r="L18" s="2">
        <f>G18*L6</f>
        <v>220</v>
      </c>
      <c r="M18" s="2">
        <f>G18*M6</f>
        <v>220</v>
      </c>
      <c r="N18" s="44">
        <f t="shared" si="2"/>
        <v>396</v>
      </c>
      <c r="O18" s="2">
        <v>0</v>
      </c>
      <c r="P18" s="2">
        <f t="shared" si="3"/>
        <v>1628</v>
      </c>
      <c r="Q18" s="33"/>
      <c r="R18" s="2"/>
      <c r="S18" s="15"/>
      <c r="T18" s="2"/>
    </row>
    <row r="19" spans="1:50" x14ac:dyDescent="0.3">
      <c r="A19" s="14">
        <v>52963</v>
      </c>
      <c r="B19" s="13" t="s">
        <v>12</v>
      </c>
      <c r="C19" s="64"/>
      <c r="D19" s="14">
        <v>12</v>
      </c>
      <c r="E19" s="2">
        <f>N18</f>
        <v>396</v>
      </c>
      <c r="F19" s="2"/>
      <c r="G19" s="2">
        <f t="shared" si="0"/>
        <v>396</v>
      </c>
      <c r="H19" s="2">
        <v>0</v>
      </c>
      <c r="I19" s="2">
        <f t="shared" si="1"/>
        <v>396</v>
      </c>
      <c r="J19" s="2">
        <v>0</v>
      </c>
      <c r="K19" s="2">
        <v>0</v>
      </c>
      <c r="L19" s="2">
        <v>0</v>
      </c>
      <c r="M19" s="2">
        <v>0</v>
      </c>
      <c r="N19" s="2">
        <f t="shared" si="2"/>
        <v>0</v>
      </c>
      <c r="O19" s="2">
        <v>0</v>
      </c>
      <c r="P19" s="27">
        <f t="shared" si="3"/>
        <v>396</v>
      </c>
      <c r="Q19" s="33"/>
      <c r="R19" s="2"/>
      <c r="S19" s="15"/>
      <c r="T19" s="2"/>
    </row>
    <row r="20" spans="1:50" s="5" customFormat="1" x14ac:dyDescent="0.3">
      <c r="A20" s="16"/>
      <c r="B20" s="6"/>
      <c r="C20" s="63"/>
      <c r="D20" s="1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31">
        <f>A21</f>
        <v>53871</v>
      </c>
      <c r="R20" s="6"/>
      <c r="S20" s="17"/>
      <c r="T20" s="6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26.4" x14ac:dyDescent="0.3">
      <c r="A21" s="14">
        <v>53871</v>
      </c>
      <c r="B21" s="13" t="s">
        <v>107</v>
      </c>
      <c r="C21" s="64">
        <v>44931</v>
      </c>
      <c r="D21" s="14">
        <v>4</v>
      </c>
      <c r="E21" s="2">
        <v>671619</v>
      </c>
      <c r="F21" s="2">
        <v>90070</v>
      </c>
      <c r="G21" s="2">
        <f>E21-F21</f>
        <v>581549</v>
      </c>
      <c r="H21" s="2">
        <f>ROUND(G21*18%,)</f>
        <v>104679</v>
      </c>
      <c r="I21" s="2">
        <f>ROUND(G21+H21,)</f>
        <v>686228</v>
      </c>
      <c r="J21" s="2">
        <f>G21*$J$6</f>
        <v>5815.49</v>
      </c>
      <c r="K21" s="2">
        <f>G21*5%</f>
        <v>29077.45</v>
      </c>
      <c r="L21" s="2">
        <f>G21*10%</f>
        <v>58154.9</v>
      </c>
      <c r="M21" s="2">
        <f>G21*10%</f>
        <v>58154.9</v>
      </c>
      <c r="N21" s="27">
        <f>H21</f>
        <v>104679</v>
      </c>
      <c r="O21" s="2">
        <v>53117</v>
      </c>
      <c r="P21" s="2">
        <f>ROUNDUP(I21-SUM(J21:O21), 0)</f>
        <v>377230</v>
      </c>
      <c r="Q21" s="33"/>
      <c r="R21" s="2">
        <v>377230</v>
      </c>
      <c r="S21" s="15" t="s">
        <v>13</v>
      </c>
      <c r="T21" s="2">
        <f>SUM(P21:P33,0)-SUM(R21:R33,0)</f>
        <v>-106584</v>
      </c>
    </row>
    <row r="22" spans="1:50" x14ac:dyDescent="0.3">
      <c r="A22" s="14">
        <v>53871</v>
      </c>
      <c r="B22" s="2" t="s">
        <v>12</v>
      </c>
      <c r="C22" s="64">
        <v>45045</v>
      </c>
      <c r="D22" s="14">
        <v>4</v>
      </c>
      <c r="E22" s="2">
        <v>104679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7">
        <f>E22</f>
        <v>104679</v>
      </c>
      <c r="Q22" s="33"/>
      <c r="R22" s="2">
        <v>297000</v>
      </c>
      <c r="S22" s="2" t="s">
        <v>14</v>
      </c>
      <c r="T22" s="2"/>
    </row>
    <row r="23" spans="1:50" ht="26.4" x14ac:dyDescent="0.2">
      <c r="A23" s="14">
        <v>53871</v>
      </c>
      <c r="B23" s="13" t="s">
        <v>107</v>
      </c>
      <c r="C23" s="64">
        <v>44984</v>
      </c>
      <c r="D23" s="14">
        <v>5</v>
      </c>
      <c r="E23" s="2">
        <v>761724</v>
      </c>
      <c r="F23" s="2">
        <v>72056</v>
      </c>
      <c r="G23" s="2">
        <f>E23-F23</f>
        <v>689668</v>
      </c>
      <c r="H23" s="2">
        <f>ROUND(G23*18%,)</f>
        <v>124140</v>
      </c>
      <c r="I23" s="2">
        <f>ROUND(G23+H23,)</f>
        <v>813808</v>
      </c>
      <c r="J23" s="2">
        <f>G23*$J$6</f>
        <v>6896.68</v>
      </c>
      <c r="K23" s="2">
        <f>G23*5%</f>
        <v>34483.4</v>
      </c>
      <c r="L23" s="2">
        <f>G23*10%</f>
        <v>68966.8</v>
      </c>
      <c r="M23" s="2">
        <f>G23*10%</f>
        <v>68966.8</v>
      </c>
      <c r="N23" s="27">
        <f>H23</f>
        <v>124140</v>
      </c>
      <c r="O23" s="2">
        <v>0</v>
      </c>
      <c r="P23" s="2">
        <f>ROUNDUP(I23-SUM(J23:O23), 0)</f>
        <v>510355</v>
      </c>
      <c r="Q23" s="33"/>
      <c r="R23" s="2">
        <v>148500</v>
      </c>
      <c r="S23" s="18" t="s">
        <v>15</v>
      </c>
      <c r="T23" s="2"/>
    </row>
    <row r="24" spans="1:50" x14ac:dyDescent="0.3">
      <c r="A24" s="14">
        <v>53871</v>
      </c>
      <c r="B24" s="2" t="s">
        <v>12</v>
      </c>
      <c r="C24" s="64">
        <v>45045</v>
      </c>
      <c r="D24" s="14">
        <v>5</v>
      </c>
      <c r="E24" s="2">
        <v>124140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7">
        <f>E24</f>
        <v>124140</v>
      </c>
      <c r="Q24" s="33"/>
      <c r="R24" s="2">
        <v>49500</v>
      </c>
      <c r="S24" s="2" t="s">
        <v>16</v>
      </c>
      <c r="T24" s="2"/>
    </row>
    <row r="25" spans="1:50" ht="26.4" x14ac:dyDescent="0.3">
      <c r="A25" s="14">
        <v>53871</v>
      </c>
      <c r="B25" s="13" t="s">
        <v>107</v>
      </c>
      <c r="C25" s="64">
        <v>45023</v>
      </c>
      <c r="D25" s="14">
        <v>1</v>
      </c>
      <c r="E25" s="2">
        <v>540146</v>
      </c>
      <c r="F25" s="2">
        <v>0</v>
      </c>
      <c r="G25" s="2">
        <f>E25-F25</f>
        <v>540146</v>
      </c>
      <c r="H25" s="2">
        <f>ROUND(G25*18%,)</f>
        <v>97226</v>
      </c>
      <c r="I25" s="2">
        <f>ROUND(G25+H25,)</f>
        <v>637372</v>
      </c>
      <c r="J25" s="2">
        <f>G25*$J$6</f>
        <v>5401.46</v>
      </c>
      <c r="K25" s="2">
        <f>G25*5%</f>
        <v>27007.300000000003</v>
      </c>
      <c r="L25" s="2">
        <f>G25*10%</f>
        <v>54014.600000000006</v>
      </c>
      <c r="M25" s="2">
        <f>G25*10%</f>
        <v>54014.600000000006</v>
      </c>
      <c r="N25" s="27">
        <f>H25</f>
        <v>97226</v>
      </c>
      <c r="O25" s="2">
        <v>78327</v>
      </c>
      <c r="P25" s="2">
        <f>ROUND(I25-SUM(J25:O25), 0)</f>
        <v>321381</v>
      </c>
      <c r="Q25" s="33"/>
      <c r="R25" s="2">
        <v>297000</v>
      </c>
      <c r="S25" s="2" t="s">
        <v>17</v>
      </c>
      <c r="T25" s="2"/>
    </row>
    <row r="26" spans="1:50" x14ac:dyDescent="0.3">
      <c r="A26" s="14">
        <v>53871</v>
      </c>
      <c r="B26" s="2" t="s">
        <v>12</v>
      </c>
      <c r="C26" s="64">
        <v>45059</v>
      </c>
      <c r="D26" s="14">
        <v>1</v>
      </c>
      <c r="E26" s="2">
        <v>97226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7">
        <f>E26</f>
        <v>97226</v>
      </c>
      <c r="Q26" s="33"/>
      <c r="R26" s="2">
        <v>228819</v>
      </c>
      <c r="S26" s="2" t="s">
        <v>18</v>
      </c>
      <c r="T26" s="2"/>
    </row>
    <row r="27" spans="1:50" ht="26.4" x14ac:dyDescent="0.3">
      <c r="A27" s="14">
        <v>53871</v>
      </c>
      <c r="B27" s="13" t="s">
        <v>107</v>
      </c>
      <c r="C27" s="64">
        <v>45139</v>
      </c>
      <c r="D27" s="14">
        <v>7</v>
      </c>
      <c r="E27" s="2">
        <v>11299</v>
      </c>
      <c r="F27" s="2"/>
      <c r="G27" s="2">
        <f>E27-F27</f>
        <v>11299</v>
      </c>
      <c r="H27" s="2">
        <f>ROUND(G27*18%,)</f>
        <v>2034</v>
      </c>
      <c r="I27" s="2">
        <f>ROUND(G27+H27,)</f>
        <v>13333</v>
      </c>
      <c r="J27" s="2">
        <f>G27*$J$6</f>
        <v>112.99000000000001</v>
      </c>
      <c r="K27" s="2">
        <f>G27*5%</f>
        <v>564.95000000000005</v>
      </c>
      <c r="L27" s="2">
        <f>G27*10%</f>
        <v>1129.9000000000001</v>
      </c>
      <c r="M27" s="2">
        <f>G27*10%</f>
        <v>1129.9000000000001</v>
      </c>
      <c r="N27" s="27">
        <f>H27</f>
        <v>2034</v>
      </c>
      <c r="O27" s="2">
        <v>0</v>
      </c>
      <c r="P27" s="2">
        <f>ROUND(I27-SUM(J27:O27), 0)</f>
        <v>8361</v>
      </c>
      <c r="Q27" s="33"/>
      <c r="R27" s="2">
        <v>39736</v>
      </c>
      <c r="S27" s="2" t="s">
        <v>19</v>
      </c>
      <c r="T27" s="2"/>
    </row>
    <row r="28" spans="1:50" ht="26.4" x14ac:dyDescent="0.3">
      <c r="A28" s="14">
        <v>53871</v>
      </c>
      <c r="B28" s="13" t="s">
        <v>107</v>
      </c>
      <c r="C28" s="64">
        <v>45139</v>
      </c>
      <c r="D28" s="14">
        <v>6</v>
      </c>
      <c r="E28" s="2">
        <v>52650</v>
      </c>
      <c r="F28" s="2">
        <v>13561</v>
      </c>
      <c r="G28" s="2">
        <f>E28-F28</f>
        <v>39089</v>
      </c>
      <c r="H28" s="2">
        <f>ROUND(G28*18%,)</f>
        <v>7036</v>
      </c>
      <c r="I28" s="2">
        <f>ROUND(G28+H28,)</f>
        <v>46125</v>
      </c>
      <c r="J28" s="2">
        <f>G28*$J$6</f>
        <v>390.89</v>
      </c>
      <c r="K28" s="2">
        <f>G28*5%</f>
        <v>1954.45</v>
      </c>
      <c r="L28" s="2">
        <v>0</v>
      </c>
      <c r="M28" s="2">
        <v>0</v>
      </c>
      <c r="N28" s="27">
        <f>H28</f>
        <v>7036</v>
      </c>
      <c r="O28" s="2">
        <v>0</v>
      </c>
      <c r="P28" s="2">
        <f>ROUND(I28-SUM(J28:O28), 0)</f>
        <v>36744</v>
      </c>
      <c r="Q28" s="33"/>
      <c r="R28" s="2">
        <v>97226</v>
      </c>
      <c r="S28" s="2" t="s">
        <v>20</v>
      </c>
      <c r="T28" s="2"/>
    </row>
    <row r="29" spans="1:50" x14ac:dyDescent="0.3">
      <c r="A29" s="14">
        <v>53871</v>
      </c>
      <c r="B29" s="2" t="s">
        <v>12</v>
      </c>
      <c r="C29" s="65">
        <v>45180</v>
      </c>
      <c r="D29" s="14">
        <v>6</v>
      </c>
      <c r="E29" s="2">
        <v>7036</v>
      </c>
      <c r="F29" s="2">
        <v>0</v>
      </c>
      <c r="G29" s="2">
        <f>E29-F29</f>
        <v>7036</v>
      </c>
      <c r="H29" s="2">
        <v>0</v>
      </c>
      <c r="I29" s="2">
        <f>ROUND(G29+H29,)</f>
        <v>7036</v>
      </c>
      <c r="J29" s="2">
        <v>0</v>
      </c>
      <c r="K29" s="2">
        <v>0</v>
      </c>
      <c r="L29" s="2">
        <v>0</v>
      </c>
      <c r="M29" s="2">
        <v>0</v>
      </c>
      <c r="N29" s="2">
        <f>H29</f>
        <v>0</v>
      </c>
      <c r="O29" s="2">
        <v>0</v>
      </c>
      <c r="P29" s="27">
        <f>ROUND(I29-SUM(J29:O29), 0)</f>
        <v>7036</v>
      </c>
      <c r="Q29" s="33"/>
      <c r="R29" s="2">
        <v>99000</v>
      </c>
      <c r="S29" s="2" t="s">
        <v>21</v>
      </c>
      <c r="T29" s="2"/>
    </row>
    <row r="30" spans="1:50" x14ac:dyDescent="0.3">
      <c r="A30" s="14">
        <v>53871</v>
      </c>
      <c r="B30" s="2" t="s">
        <v>12</v>
      </c>
      <c r="C30" s="65">
        <v>45181</v>
      </c>
      <c r="D30" s="14">
        <v>7</v>
      </c>
      <c r="E30" s="2">
        <v>2034</v>
      </c>
      <c r="F30" s="2">
        <v>0</v>
      </c>
      <c r="G30" s="2">
        <f>E30-F30</f>
        <v>2034</v>
      </c>
      <c r="H30" s="2">
        <v>0</v>
      </c>
      <c r="I30" s="2">
        <f>ROUND(G30+H30,)</f>
        <v>2034</v>
      </c>
      <c r="J30" s="2">
        <v>0</v>
      </c>
      <c r="K30" s="2">
        <v>0</v>
      </c>
      <c r="L30" s="2">
        <v>0</v>
      </c>
      <c r="M30" s="2">
        <v>0</v>
      </c>
      <c r="N30" s="2">
        <f>H30</f>
        <v>0</v>
      </c>
      <c r="O30" s="2">
        <v>0</v>
      </c>
      <c r="P30" s="27">
        <f>ROUND(I30-SUM(J30:O30), 0)</f>
        <v>2034</v>
      </c>
      <c r="Q30" s="33"/>
      <c r="R30" s="2">
        <v>9070</v>
      </c>
      <c r="S30" s="19" t="s">
        <v>30</v>
      </c>
      <c r="T30" s="2"/>
    </row>
    <row r="31" spans="1:50" ht="26.4" x14ac:dyDescent="0.3">
      <c r="A31" s="14">
        <v>53871</v>
      </c>
      <c r="B31" s="13" t="s">
        <v>107</v>
      </c>
      <c r="C31" s="65">
        <v>45526</v>
      </c>
      <c r="D31" s="14">
        <v>5</v>
      </c>
      <c r="E31" s="2">
        <v>39860</v>
      </c>
      <c r="F31" s="2"/>
      <c r="G31" s="2">
        <f>E31-F31</f>
        <v>39860</v>
      </c>
      <c r="H31" s="2">
        <f>ROUND(G31*18%,)</f>
        <v>7175</v>
      </c>
      <c r="I31" s="2">
        <f>ROUND(G31+H31,)</f>
        <v>47035</v>
      </c>
      <c r="J31" s="2">
        <f>G31*$J$6</f>
        <v>398.6</v>
      </c>
      <c r="K31" s="2">
        <f>G31*5%</f>
        <v>1993</v>
      </c>
      <c r="L31" s="2">
        <f>G31*10%</f>
        <v>3986</v>
      </c>
      <c r="M31" s="2">
        <f>G31*10%</f>
        <v>3986</v>
      </c>
      <c r="N31" s="27">
        <f>H31</f>
        <v>7175</v>
      </c>
      <c r="O31" s="2">
        <f>G31</f>
        <v>39860</v>
      </c>
      <c r="P31" s="2">
        <f>ROUND(I31-SUM(J31:O31), 0)</f>
        <v>-10364</v>
      </c>
      <c r="Q31" s="33"/>
      <c r="R31" s="2">
        <v>49500</v>
      </c>
      <c r="S31" s="2" t="s">
        <v>67</v>
      </c>
      <c r="T31" s="2"/>
    </row>
    <row r="32" spans="1:50" x14ac:dyDescent="0.3">
      <c r="A32" s="14">
        <v>53871</v>
      </c>
      <c r="B32" s="2" t="s">
        <v>12</v>
      </c>
      <c r="C32" s="65">
        <v>45526</v>
      </c>
      <c r="D32" s="14">
        <v>5</v>
      </c>
      <c r="E32" s="2">
        <f>N31</f>
        <v>7175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7">
        <f>E32</f>
        <v>7175</v>
      </c>
      <c r="Q32" s="33"/>
      <c r="R32" s="2"/>
      <c r="S32" s="2"/>
      <c r="T32" s="2"/>
    </row>
    <row r="33" spans="1:50" x14ac:dyDescent="0.3">
      <c r="A33" s="14">
        <v>53871</v>
      </c>
      <c r="B33" s="2"/>
      <c r="C33" s="65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33"/>
      <c r="R33" s="2"/>
      <c r="S33" s="2"/>
      <c r="T33" s="2"/>
    </row>
    <row r="34" spans="1:50" s="5" customFormat="1" x14ac:dyDescent="0.3">
      <c r="A34" s="6"/>
      <c r="B34" s="6"/>
      <c r="C34" s="63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34"/>
      <c r="R34" s="6"/>
      <c r="S34" s="17"/>
      <c r="T34" s="6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3">
      <c r="A35" s="14">
        <v>57473</v>
      </c>
      <c r="B35" s="13" t="s">
        <v>106</v>
      </c>
      <c r="C35" s="64">
        <v>45064</v>
      </c>
      <c r="D35" s="14">
        <v>2</v>
      </c>
      <c r="E35" s="2">
        <v>472655</v>
      </c>
      <c r="F35" s="2">
        <v>90069</v>
      </c>
      <c r="G35" s="2">
        <f t="shared" ref="G35:G40" si="4">E35-F35</f>
        <v>382586</v>
      </c>
      <c r="H35" s="2">
        <f>ROUND(G35*18%,)</f>
        <v>68865</v>
      </c>
      <c r="I35" s="2">
        <f t="shared" ref="I35:I40" si="5">ROUND(G35+H35,)</f>
        <v>451451</v>
      </c>
      <c r="J35" s="2">
        <f>G35*$J$6</f>
        <v>3825.86</v>
      </c>
      <c r="K35" s="2">
        <f>G35*5%</f>
        <v>19129.3</v>
      </c>
      <c r="L35" s="2">
        <f>G35*10%</f>
        <v>38258.6</v>
      </c>
      <c r="M35" s="2">
        <f>G35*10%</f>
        <v>38258.6</v>
      </c>
      <c r="N35" s="27">
        <f>H35</f>
        <v>68865</v>
      </c>
      <c r="O35" s="2">
        <v>4177</v>
      </c>
      <c r="P35" s="2">
        <f t="shared" ref="P35:P40" si="6">ROUNDDOWN(I35-SUM(J35:O35), 0)</f>
        <v>278936</v>
      </c>
      <c r="Q35" s="31">
        <v>57473</v>
      </c>
      <c r="R35" s="2">
        <v>278936</v>
      </c>
      <c r="S35" s="15" t="s">
        <v>22</v>
      </c>
      <c r="T35" s="2">
        <f>SUM(P35:P44,0)-SUM(R35:R44,0)</f>
        <v>28490</v>
      </c>
    </row>
    <row r="36" spans="1:50" x14ac:dyDescent="0.3">
      <c r="A36" s="14">
        <v>57473</v>
      </c>
      <c r="B36" s="13" t="s">
        <v>106</v>
      </c>
      <c r="C36" s="64">
        <v>45081</v>
      </c>
      <c r="D36" s="14">
        <v>3</v>
      </c>
      <c r="E36" s="2">
        <v>118659.16</v>
      </c>
      <c r="F36" s="2">
        <v>0</v>
      </c>
      <c r="G36" s="2">
        <f t="shared" si="4"/>
        <v>118659.16</v>
      </c>
      <c r="H36" s="2">
        <f>ROUND(G36*18%,)</f>
        <v>21359</v>
      </c>
      <c r="I36" s="2">
        <f t="shared" si="5"/>
        <v>140018</v>
      </c>
      <c r="J36" s="2">
        <f>G36*$J$6</f>
        <v>1186.5916</v>
      </c>
      <c r="K36" s="2">
        <f>G36*5%</f>
        <v>5932.9580000000005</v>
      </c>
      <c r="L36" s="2">
        <f>G36*10%</f>
        <v>11865.916000000001</v>
      </c>
      <c r="M36" s="2">
        <f>G36*10%</f>
        <v>11865.916000000001</v>
      </c>
      <c r="N36" s="27">
        <f>H36</f>
        <v>21359</v>
      </c>
      <c r="O36" s="2">
        <v>7670</v>
      </c>
      <c r="P36" s="2">
        <f t="shared" si="6"/>
        <v>80137</v>
      </c>
      <c r="Q36" s="32"/>
      <c r="R36" s="2">
        <v>80138</v>
      </c>
      <c r="S36" s="15" t="s">
        <v>23</v>
      </c>
      <c r="T36" s="2"/>
    </row>
    <row r="37" spans="1:50" x14ac:dyDescent="0.3">
      <c r="A37" s="14">
        <v>57473</v>
      </c>
      <c r="B37" s="13" t="s">
        <v>12</v>
      </c>
      <c r="C37" s="64">
        <v>45111</v>
      </c>
      <c r="D37" s="14">
        <v>2</v>
      </c>
      <c r="E37" s="2">
        <v>68866</v>
      </c>
      <c r="F37" s="2"/>
      <c r="G37" s="2">
        <f t="shared" si="4"/>
        <v>68866</v>
      </c>
      <c r="H37" s="2"/>
      <c r="I37" s="2">
        <f t="shared" si="5"/>
        <v>68866</v>
      </c>
      <c r="J37" s="2"/>
      <c r="K37" s="2"/>
      <c r="L37" s="2"/>
      <c r="M37" s="2"/>
      <c r="N37" s="2"/>
      <c r="O37" s="2"/>
      <c r="P37" s="27">
        <f t="shared" si="6"/>
        <v>68866</v>
      </c>
      <c r="Q37" s="33"/>
      <c r="R37" s="2">
        <v>68866</v>
      </c>
      <c r="S37" s="2" t="s">
        <v>24</v>
      </c>
      <c r="T37" s="2"/>
    </row>
    <row r="38" spans="1:50" x14ac:dyDescent="0.3">
      <c r="A38" s="14">
        <v>57473</v>
      </c>
      <c r="B38" s="13" t="s">
        <v>106</v>
      </c>
      <c r="C38" s="64">
        <v>45139</v>
      </c>
      <c r="D38" s="14">
        <v>9</v>
      </c>
      <c r="E38" s="2">
        <v>89072</v>
      </c>
      <c r="F38" s="2"/>
      <c r="G38" s="2">
        <f t="shared" si="4"/>
        <v>89072</v>
      </c>
      <c r="H38" s="2">
        <f>ROUND(G38*18%,)</f>
        <v>16033</v>
      </c>
      <c r="I38" s="2">
        <f t="shared" si="5"/>
        <v>105105</v>
      </c>
      <c r="J38" s="2">
        <f>G38*$J$6</f>
        <v>890.72</v>
      </c>
      <c r="K38" s="2">
        <f>G38*5%</f>
        <v>4453.6000000000004</v>
      </c>
      <c r="L38" s="2">
        <f>G38*10%</f>
        <v>8907.2000000000007</v>
      </c>
      <c r="M38" s="2">
        <f>G38*10%</f>
        <v>8907.2000000000007</v>
      </c>
      <c r="N38" s="27">
        <f>H38</f>
        <v>16033</v>
      </c>
      <c r="O38" s="2">
        <v>8251</v>
      </c>
      <c r="P38" s="2">
        <f t="shared" si="6"/>
        <v>57662</v>
      </c>
      <c r="Q38" s="33"/>
      <c r="R38" s="2">
        <v>57662</v>
      </c>
      <c r="S38" s="2" t="s">
        <v>31</v>
      </c>
      <c r="T38" s="2"/>
    </row>
    <row r="39" spans="1:50" x14ac:dyDescent="0.3">
      <c r="A39" s="14">
        <v>57473</v>
      </c>
      <c r="B39" s="13" t="s">
        <v>12</v>
      </c>
      <c r="C39" s="64">
        <v>45180</v>
      </c>
      <c r="D39" s="14">
        <v>3</v>
      </c>
      <c r="E39" s="2">
        <v>21359</v>
      </c>
      <c r="F39" s="2"/>
      <c r="G39" s="2">
        <f t="shared" si="4"/>
        <v>21359</v>
      </c>
      <c r="H39" s="2">
        <v>0</v>
      </c>
      <c r="I39" s="2">
        <f t="shared" si="5"/>
        <v>21359</v>
      </c>
      <c r="J39" s="2">
        <v>0</v>
      </c>
      <c r="K39" s="2">
        <v>0</v>
      </c>
      <c r="L39" s="2">
        <v>0</v>
      </c>
      <c r="M39" s="2">
        <v>0</v>
      </c>
      <c r="N39" s="2">
        <f>H39</f>
        <v>0</v>
      </c>
      <c r="O39" s="2">
        <v>0</v>
      </c>
      <c r="P39" s="27">
        <f t="shared" si="6"/>
        <v>21359</v>
      </c>
      <c r="Q39" s="33"/>
      <c r="R39" s="2">
        <v>21359</v>
      </c>
      <c r="S39" s="2" t="s">
        <v>32</v>
      </c>
      <c r="T39" s="2"/>
    </row>
    <row r="40" spans="1:50" x14ac:dyDescent="0.3">
      <c r="A40" s="14">
        <v>57473</v>
      </c>
      <c r="B40" s="13" t="s">
        <v>12</v>
      </c>
      <c r="C40" s="64">
        <v>45210</v>
      </c>
      <c r="D40" s="14">
        <v>9</v>
      </c>
      <c r="E40" s="2">
        <v>16033</v>
      </c>
      <c r="F40" s="2"/>
      <c r="G40" s="2">
        <f t="shared" si="4"/>
        <v>16033</v>
      </c>
      <c r="H40" s="2">
        <v>0</v>
      </c>
      <c r="I40" s="2">
        <f t="shared" si="5"/>
        <v>16033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7">
        <f t="shared" si="6"/>
        <v>16033</v>
      </c>
      <c r="Q40" s="33"/>
      <c r="R40" s="2">
        <v>16033</v>
      </c>
      <c r="S40" s="2" t="s">
        <v>38</v>
      </c>
      <c r="T40" s="2"/>
    </row>
    <row r="41" spans="1:50" x14ac:dyDescent="0.3">
      <c r="A41" s="14">
        <v>57473</v>
      </c>
      <c r="B41" s="13" t="s">
        <v>106</v>
      </c>
      <c r="C41" s="64">
        <v>45400</v>
      </c>
      <c r="D41" s="14">
        <v>1</v>
      </c>
      <c r="E41" s="2">
        <v>38947</v>
      </c>
      <c r="F41" s="2">
        <v>36028</v>
      </c>
      <c r="G41" s="2">
        <f t="shared" ref="G41:G42" si="7">E41-F41</f>
        <v>2919</v>
      </c>
      <c r="H41" s="2">
        <f>ROUND(G41*18%,)</f>
        <v>525</v>
      </c>
      <c r="I41" s="2">
        <f t="shared" ref="I41:I42" si="8">ROUND(G41+H41,)</f>
        <v>3444</v>
      </c>
      <c r="J41" s="2">
        <f>G41*$J$6</f>
        <v>29.19</v>
      </c>
      <c r="K41" s="2">
        <f>G41*5%</f>
        <v>145.95000000000002</v>
      </c>
      <c r="L41" s="2">
        <f>G41*10%</f>
        <v>291.90000000000003</v>
      </c>
      <c r="M41" s="2">
        <f>G41*10%</f>
        <v>291.90000000000003</v>
      </c>
      <c r="N41" s="27">
        <f>H41</f>
        <v>525</v>
      </c>
      <c r="O41" s="2">
        <v>0</v>
      </c>
      <c r="P41" s="2">
        <f t="shared" ref="P41" si="9">ROUNDDOWN(I41-SUM(J41:O41), 0)</f>
        <v>2160</v>
      </c>
      <c r="Q41" s="35"/>
      <c r="R41" s="2"/>
      <c r="S41" s="19"/>
      <c r="T41" s="2"/>
    </row>
    <row r="42" spans="1:50" x14ac:dyDescent="0.3">
      <c r="A42" s="14">
        <v>57473</v>
      </c>
      <c r="B42" s="13" t="s">
        <v>12</v>
      </c>
      <c r="C42" s="64"/>
      <c r="D42" s="14">
        <v>1</v>
      </c>
      <c r="E42" s="2">
        <f>N41</f>
        <v>525</v>
      </c>
      <c r="F42" s="2"/>
      <c r="G42" s="2">
        <f t="shared" si="7"/>
        <v>525</v>
      </c>
      <c r="H42" s="2">
        <v>0</v>
      </c>
      <c r="I42" s="2">
        <f t="shared" si="8"/>
        <v>525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7">
        <f t="shared" ref="P42:P43" si="10">ROUNDDOWN(I42-SUM(J42:O42), 0)</f>
        <v>525</v>
      </c>
      <c r="Q42" s="33"/>
      <c r="R42" s="2"/>
      <c r="S42" s="19"/>
      <c r="T42" s="2"/>
    </row>
    <row r="43" spans="1:50" x14ac:dyDescent="0.3">
      <c r="A43" s="14">
        <v>57473</v>
      </c>
      <c r="B43" s="13" t="s">
        <v>106</v>
      </c>
      <c r="C43" s="64">
        <v>45442</v>
      </c>
      <c r="D43" s="14">
        <v>2</v>
      </c>
      <c r="E43" s="2">
        <v>28050</v>
      </c>
      <c r="F43" s="2">
        <v>0</v>
      </c>
      <c r="G43" s="2">
        <f t="shared" ref="G43:G44" si="11">E43-F43</f>
        <v>28050</v>
      </c>
      <c r="H43" s="2">
        <f>ROUND(G43*18%,)</f>
        <v>5049</v>
      </c>
      <c r="I43" s="2">
        <f t="shared" ref="I43:I44" si="12">ROUND(G43+H43,)</f>
        <v>33099</v>
      </c>
      <c r="J43" s="2">
        <f>G43*$J$6</f>
        <v>280.5</v>
      </c>
      <c r="K43" s="2">
        <f>G43*5%</f>
        <v>1402.5</v>
      </c>
      <c r="L43" s="2">
        <f>G43*10%</f>
        <v>2805</v>
      </c>
      <c r="M43" s="2">
        <f>G43*10%</f>
        <v>2805</v>
      </c>
      <c r="N43" s="27">
        <f>H43</f>
        <v>5049</v>
      </c>
      <c r="O43" s="2">
        <v>0</v>
      </c>
      <c r="P43" s="2">
        <f t="shared" si="10"/>
        <v>20757</v>
      </c>
      <c r="Q43" s="33"/>
      <c r="R43" s="2"/>
      <c r="S43" s="19"/>
      <c r="T43" s="2"/>
    </row>
    <row r="44" spans="1:50" x14ac:dyDescent="0.3">
      <c r="A44" s="14">
        <v>57473</v>
      </c>
      <c r="B44" s="13" t="s">
        <v>12</v>
      </c>
      <c r="C44" s="64"/>
      <c r="D44" s="14">
        <v>2</v>
      </c>
      <c r="E44" s="2">
        <f>N43</f>
        <v>5049</v>
      </c>
      <c r="F44" s="2"/>
      <c r="G44" s="2">
        <f t="shared" si="11"/>
        <v>5049</v>
      </c>
      <c r="H44" s="2">
        <v>0</v>
      </c>
      <c r="I44" s="2">
        <f t="shared" si="12"/>
        <v>5049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7">
        <f t="shared" ref="P44" si="13">ROUNDDOWN(I44-SUM(J44:O44), 0)</f>
        <v>5049</v>
      </c>
      <c r="Q44" s="33"/>
      <c r="R44" s="2"/>
      <c r="S44" s="19"/>
      <c r="T44" s="2"/>
    </row>
    <row r="45" spans="1:50" s="5" customFormat="1" x14ac:dyDescent="0.3">
      <c r="A45" s="16"/>
      <c r="B45" s="6"/>
      <c r="C45" s="63"/>
      <c r="D45" s="1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34"/>
      <c r="R45" s="6"/>
      <c r="S45" s="17"/>
      <c r="T45" s="6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26.4" x14ac:dyDescent="0.3">
      <c r="A46" s="14">
        <v>58072</v>
      </c>
      <c r="B46" s="13" t="s">
        <v>105</v>
      </c>
      <c r="C46" s="64">
        <v>45139</v>
      </c>
      <c r="D46" s="14">
        <v>8</v>
      </c>
      <c r="E46" s="2">
        <v>455354</v>
      </c>
      <c r="F46" s="2">
        <v>90070</v>
      </c>
      <c r="G46" s="2">
        <f t="shared" ref="G46:G51" si="14">E46-F46</f>
        <v>365284</v>
      </c>
      <c r="H46" s="2">
        <f>ROUND(G46*18%,)</f>
        <v>65751</v>
      </c>
      <c r="I46" s="2">
        <f t="shared" ref="I46:I51" si="15">ROUND(G46+H46,)</f>
        <v>431035</v>
      </c>
      <c r="J46" s="2">
        <f>G46*$J$6</f>
        <v>3652.84</v>
      </c>
      <c r="K46" s="2">
        <f>G46*5%</f>
        <v>18264.2</v>
      </c>
      <c r="L46" s="2">
        <f>G46*10%</f>
        <v>36528.400000000001</v>
      </c>
      <c r="M46" s="2">
        <f>G46*10%</f>
        <v>36528.400000000001</v>
      </c>
      <c r="N46" s="27">
        <f>H46</f>
        <v>65751</v>
      </c>
      <c r="O46" s="2">
        <v>5291</v>
      </c>
      <c r="P46" s="2">
        <f t="shared" ref="P46:P51" si="16">ROUNDDOWN(I46-SUM(J46:O46), 0)</f>
        <v>265019</v>
      </c>
      <c r="Q46" s="31">
        <v>58072</v>
      </c>
      <c r="R46" s="2">
        <v>148500</v>
      </c>
      <c r="S46" s="15" t="s">
        <v>25</v>
      </c>
      <c r="T46" s="2">
        <f>SUM(P46:P58,0)-SUM(R46:R58,0)</f>
        <v>22830</v>
      </c>
    </row>
    <row r="47" spans="1:50" ht="26.4" x14ac:dyDescent="0.3">
      <c r="A47" s="14">
        <v>58072</v>
      </c>
      <c r="B47" s="13" t="s">
        <v>105</v>
      </c>
      <c r="C47" s="64">
        <v>45171</v>
      </c>
      <c r="D47" s="14">
        <v>10</v>
      </c>
      <c r="E47" s="2">
        <v>182672</v>
      </c>
      <c r="F47" s="2">
        <v>0</v>
      </c>
      <c r="G47" s="2">
        <f t="shared" si="14"/>
        <v>182672</v>
      </c>
      <c r="H47" s="2">
        <f>ROUND(G47*18%,)</f>
        <v>32881</v>
      </c>
      <c r="I47" s="2">
        <f t="shared" si="15"/>
        <v>215553</v>
      </c>
      <c r="J47" s="2">
        <f>G47*$J$6</f>
        <v>1826.72</v>
      </c>
      <c r="K47" s="2">
        <f>G47*5%</f>
        <v>9133.6</v>
      </c>
      <c r="L47" s="2">
        <f>G47*10%</f>
        <v>18267.2</v>
      </c>
      <c r="M47" s="2">
        <f>G47*10%</f>
        <v>18267.2</v>
      </c>
      <c r="N47" s="27">
        <f>H47</f>
        <v>32881</v>
      </c>
      <c r="O47" s="2"/>
      <c r="P47" s="2">
        <f t="shared" si="16"/>
        <v>135177</v>
      </c>
      <c r="Q47" s="32"/>
      <c r="R47" s="2">
        <v>99000</v>
      </c>
      <c r="S47" s="15" t="s">
        <v>26</v>
      </c>
      <c r="T47" s="2"/>
    </row>
    <row r="48" spans="1:50" x14ac:dyDescent="0.3">
      <c r="A48" s="14">
        <v>58072</v>
      </c>
      <c r="B48" s="13" t="s">
        <v>35</v>
      </c>
      <c r="C48" s="64"/>
      <c r="D48" s="14">
        <v>8</v>
      </c>
      <c r="E48" s="2">
        <v>65751</v>
      </c>
      <c r="F48" s="2"/>
      <c r="G48" s="2">
        <f t="shared" si="14"/>
        <v>65751</v>
      </c>
      <c r="H48" s="2"/>
      <c r="I48" s="2">
        <f t="shared" si="15"/>
        <v>65751</v>
      </c>
      <c r="J48" s="2"/>
      <c r="K48" s="2"/>
      <c r="L48" s="2"/>
      <c r="M48" s="2"/>
      <c r="N48" s="2"/>
      <c r="O48" s="2"/>
      <c r="P48" s="27">
        <f t="shared" si="16"/>
        <v>65751</v>
      </c>
      <c r="Q48" s="32"/>
      <c r="R48" s="2">
        <v>17519</v>
      </c>
      <c r="S48" s="15" t="s">
        <v>28</v>
      </c>
      <c r="T48" s="2"/>
    </row>
    <row r="49" spans="1:20" x14ac:dyDescent="0.3">
      <c r="A49" s="14">
        <v>58072</v>
      </c>
      <c r="B49" s="13" t="s">
        <v>35</v>
      </c>
      <c r="C49" s="64">
        <v>45210</v>
      </c>
      <c r="D49" s="14">
        <v>10</v>
      </c>
      <c r="E49" s="2">
        <v>32881</v>
      </c>
      <c r="F49" s="2"/>
      <c r="G49" s="2">
        <f t="shared" si="14"/>
        <v>32881</v>
      </c>
      <c r="H49" s="2"/>
      <c r="I49" s="2">
        <f t="shared" si="15"/>
        <v>32881</v>
      </c>
      <c r="J49" s="2"/>
      <c r="K49" s="2"/>
      <c r="L49" s="2"/>
      <c r="M49" s="2"/>
      <c r="N49" s="2"/>
      <c r="O49" s="2"/>
      <c r="P49" s="27">
        <f t="shared" si="16"/>
        <v>32881</v>
      </c>
      <c r="Q49" s="32"/>
      <c r="R49" s="2">
        <v>79200</v>
      </c>
      <c r="S49" s="15" t="s">
        <v>29</v>
      </c>
      <c r="T49" s="2"/>
    </row>
    <row r="50" spans="1:20" ht="26.4" x14ac:dyDescent="0.3">
      <c r="A50" s="14">
        <v>58072</v>
      </c>
      <c r="B50" s="13" t="s">
        <v>105</v>
      </c>
      <c r="C50" s="66">
        <v>45231</v>
      </c>
      <c r="D50" s="14">
        <v>12</v>
      </c>
      <c r="E50" s="2">
        <v>454349</v>
      </c>
      <c r="F50" s="2">
        <v>3603</v>
      </c>
      <c r="G50" s="2">
        <f t="shared" si="14"/>
        <v>450746</v>
      </c>
      <c r="H50" s="2">
        <f>ROUND(G50*18%,)</f>
        <v>81134</v>
      </c>
      <c r="I50" s="2">
        <f t="shared" si="15"/>
        <v>531880</v>
      </c>
      <c r="J50" s="2">
        <f>G50*$J$6</f>
        <v>4507.46</v>
      </c>
      <c r="K50" s="2">
        <f>G50*5%</f>
        <v>22537.300000000003</v>
      </c>
      <c r="L50" s="2">
        <f>G50*10%</f>
        <v>45074.600000000006</v>
      </c>
      <c r="M50" s="2">
        <f>G50*10%</f>
        <v>45074.600000000006</v>
      </c>
      <c r="N50" s="27">
        <f>H50</f>
        <v>81134</v>
      </c>
      <c r="O50" s="2">
        <v>435</v>
      </c>
      <c r="P50" s="2">
        <f t="shared" si="16"/>
        <v>333117</v>
      </c>
      <c r="Q50" s="33"/>
      <c r="R50" s="2">
        <v>49500</v>
      </c>
      <c r="S50" s="15" t="s">
        <v>27</v>
      </c>
      <c r="T50" s="2"/>
    </row>
    <row r="51" spans="1:20" x14ac:dyDescent="0.3">
      <c r="A51" s="14">
        <v>58072</v>
      </c>
      <c r="B51" s="13" t="s">
        <v>35</v>
      </c>
      <c r="C51" s="64"/>
      <c r="D51" s="14">
        <v>12</v>
      </c>
      <c r="E51" s="2">
        <f>N50</f>
        <v>81134</v>
      </c>
      <c r="F51" s="2"/>
      <c r="G51" s="2">
        <f t="shared" si="14"/>
        <v>81134</v>
      </c>
      <c r="H51" s="2"/>
      <c r="I51" s="2">
        <f t="shared" si="15"/>
        <v>81134</v>
      </c>
      <c r="J51" s="2"/>
      <c r="K51" s="2"/>
      <c r="L51" s="2"/>
      <c r="M51" s="2"/>
      <c r="N51" s="2"/>
      <c r="O51" s="2"/>
      <c r="P51" s="27">
        <f t="shared" si="16"/>
        <v>81134</v>
      </c>
      <c r="Q51" s="33"/>
      <c r="R51" s="2">
        <v>6477</v>
      </c>
      <c r="S51" s="15" t="s">
        <v>33</v>
      </c>
      <c r="T51" s="2"/>
    </row>
    <row r="52" spans="1:20" ht="26.4" x14ac:dyDescent="0.3">
      <c r="A52" s="14">
        <v>58072</v>
      </c>
      <c r="B52" s="13" t="s">
        <v>105</v>
      </c>
      <c r="C52" s="66">
        <v>45377</v>
      </c>
      <c r="D52" s="14">
        <v>19</v>
      </c>
      <c r="E52" s="2">
        <v>52230</v>
      </c>
      <c r="F52" s="2">
        <v>0</v>
      </c>
      <c r="G52" s="2">
        <f t="shared" ref="G52" si="17">E52-F52</f>
        <v>52230</v>
      </c>
      <c r="H52" s="2">
        <f>ROUND(G52*18%,)</f>
        <v>9401</v>
      </c>
      <c r="I52" s="2">
        <f t="shared" ref="I52" si="18">ROUND(G52+H52,)</f>
        <v>61631</v>
      </c>
      <c r="J52" s="2">
        <f>G52*$J$6</f>
        <v>522.29999999999995</v>
      </c>
      <c r="K52" s="2">
        <f>G52*5%</f>
        <v>2611.5</v>
      </c>
      <c r="L52" s="2">
        <f>G52*10%</f>
        <v>5223</v>
      </c>
      <c r="M52" s="2">
        <f>G52*10%</f>
        <v>5223</v>
      </c>
      <c r="N52" s="27">
        <f>H52</f>
        <v>9401</v>
      </c>
      <c r="O52" s="2">
        <v>0</v>
      </c>
      <c r="P52" s="2">
        <f t="shared" ref="P52" si="19">ROUNDDOWN(I52-SUM(J52:O52), 0)</f>
        <v>38650</v>
      </c>
      <c r="Q52" s="33"/>
      <c r="R52" s="2">
        <v>65751</v>
      </c>
      <c r="S52" s="2" t="s">
        <v>34</v>
      </c>
      <c r="T52" s="2"/>
    </row>
    <row r="53" spans="1:20" x14ac:dyDescent="0.3">
      <c r="A53" s="14">
        <v>58072</v>
      </c>
      <c r="B53" s="2" t="s">
        <v>35</v>
      </c>
      <c r="C53" s="65"/>
      <c r="D53" s="14">
        <v>19</v>
      </c>
      <c r="E53" s="2">
        <f>N52</f>
        <v>9401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7">
        <f>E53</f>
        <v>9401</v>
      </c>
      <c r="Q53" s="35"/>
      <c r="R53" s="2">
        <v>32881</v>
      </c>
      <c r="S53" s="2" t="s">
        <v>43</v>
      </c>
      <c r="T53" s="2"/>
    </row>
    <row r="54" spans="1:20" ht="26.4" x14ac:dyDescent="0.3">
      <c r="A54" s="14">
        <v>58072</v>
      </c>
      <c r="B54" s="13" t="s">
        <v>105</v>
      </c>
      <c r="C54" s="66">
        <v>45735</v>
      </c>
      <c r="D54" s="14">
        <v>19</v>
      </c>
      <c r="E54" s="2">
        <v>18700</v>
      </c>
      <c r="F54" s="2">
        <v>0</v>
      </c>
      <c r="G54" s="2">
        <f t="shared" ref="G54" si="20">E54-F54</f>
        <v>18700</v>
      </c>
      <c r="H54" s="2">
        <f>ROUND(G54*18%,)</f>
        <v>3366</v>
      </c>
      <c r="I54" s="2">
        <f t="shared" ref="I54" si="21">ROUND(G54+H54,)</f>
        <v>22066</v>
      </c>
      <c r="J54" s="2">
        <f>G54*$J$6</f>
        <v>187</v>
      </c>
      <c r="K54" s="2">
        <f>G54*5%</f>
        <v>935</v>
      </c>
      <c r="L54" s="2">
        <f>G54*10%</f>
        <v>1870</v>
      </c>
      <c r="M54" s="2">
        <f>G54*10%</f>
        <v>1870</v>
      </c>
      <c r="N54" s="27">
        <f>H54</f>
        <v>3366</v>
      </c>
      <c r="O54" s="2">
        <v>0</v>
      </c>
      <c r="P54" s="2">
        <f t="shared" ref="P54" si="22">ROUNDDOWN(I54-SUM(J54:O54), 0)</f>
        <v>13838</v>
      </c>
      <c r="Q54" s="33"/>
      <c r="R54" s="2">
        <v>198000</v>
      </c>
      <c r="S54" s="2" t="s">
        <v>44</v>
      </c>
      <c r="T54" s="2"/>
    </row>
    <row r="55" spans="1:20" x14ac:dyDescent="0.3">
      <c r="A55" s="14">
        <v>58072</v>
      </c>
      <c r="B55" s="2"/>
      <c r="C55" s="65"/>
      <c r="D55" s="1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33"/>
      <c r="R55" s="2">
        <v>135530</v>
      </c>
      <c r="S55" s="2" t="s">
        <v>45</v>
      </c>
      <c r="T55" s="2"/>
    </row>
    <row r="56" spans="1:20" x14ac:dyDescent="0.3">
      <c r="A56" s="14">
        <v>58072</v>
      </c>
      <c r="B56" s="2"/>
      <c r="C56" s="65"/>
      <c r="D56" s="1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33"/>
      <c r="R56" s="2">
        <v>81129</v>
      </c>
      <c r="S56" s="2" t="s">
        <v>42</v>
      </c>
      <c r="T56" s="2"/>
    </row>
    <row r="57" spans="1:20" x14ac:dyDescent="0.3">
      <c r="A57" s="14">
        <v>58072</v>
      </c>
      <c r="B57" s="2"/>
      <c r="C57" s="65"/>
      <c r="D57" s="1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33"/>
      <c r="R57" s="2">
        <v>38651</v>
      </c>
      <c r="S57" s="2" t="s">
        <v>55</v>
      </c>
      <c r="T57" s="2"/>
    </row>
    <row r="58" spans="1:20" x14ac:dyDescent="0.3">
      <c r="A58" s="14">
        <v>58072</v>
      </c>
      <c r="B58" s="2"/>
      <c r="C58" s="65"/>
      <c r="D58" s="1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33"/>
      <c r="R58" s="2"/>
      <c r="S58" s="2"/>
      <c r="T58" s="2"/>
    </row>
    <row r="59" spans="1:20" x14ac:dyDescent="0.3">
      <c r="A59" s="16"/>
      <c r="B59" s="6"/>
      <c r="C59" s="63"/>
      <c r="D59" s="1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36">
        <f>A60</f>
        <v>59171</v>
      </c>
      <c r="R59" s="6"/>
      <c r="S59" s="17"/>
      <c r="T59" s="6"/>
    </row>
    <row r="60" spans="1:20" ht="26.4" x14ac:dyDescent="0.3">
      <c r="A60" s="14">
        <v>59171</v>
      </c>
      <c r="B60" s="13" t="s">
        <v>104</v>
      </c>
      <c r="C60" s="64">
        <v>45208</v>
      </c>
      <c r="D60" s="14">
        <v>11</v>
      </c>
      <c r="E60" s="2">
        <v>308075</v>
      </c>
      <c r="F60" s="2">
        <v>36028</v>
      </c>
      <c r="G60" s="2">
        <f>E60-F60</f>
        <v>272047</v>
      </c>
      <c r="H60" s="2">
        <f>ROUND(G60*18%,)</f>
        <v>48968</v>
      </c>
      <c r="I60" s="2">
        <f>ROUND(G60+H60,)</f>
        <v>321015</v>
      </c>
      <c r="J60" s="2">
        <f>G60*$J$6</f>
        <v>2720.4700000000003</v>
      </c>
      <c r="K60" s="2">
        <f>G60*5%</f>
        <v>13602.35</v>
      </c>
      <c r="L60" s="2">
        <f>G60*10%</f>
        <v>27204.7</v>
      </c>
      <c r="M60" s="2">
        <f>G60*10%</f>
        <v>27204.7</v>
      </c>
      <c r="N60" s="27">
        <f>H60</f>
        <v>48968</v>
      </c>
      <c r="O60" s="2">
        <v>128546</v>
      </c>
      <c r="P60" s="2">
        <f>ROUNDDOWN(I60-SUM(J60:O60), 0)</f>
        <v>72768</v>
      </c>
      <c r="Q60" s="32"/>
      <c r="R60" s="2">
        <v>99000</v>
      </c>
      <c r="S60" s="2" t="s">
        <v>36</v>
      </c>
      <c r="T60" s="2">
        <f>SUM(P60:P65,0)-SUM(R60:R65,0)</f>
        <v>-168251</v>
      </c>
    </row>
    <row r="61" spans="1:20" ht="26.4" x14ac:dyDescent="0.3">
      <c r="A61" s="14">
        <v>59171</v>
      </c>
      <c r="B61" s="13" t="s">
        <v>104</v>
      </c>
      <c r="C61" s="64">
        <v>45287</v>
      </c>
      <c r="D61" s="14">
        <v>15</v>
      </c>
      <c r="E61" s="2">
        <v>122650</v>
      </c>
      <c r="F61" s="2">
        <v>28194</v>
      </c>
      <c r="G61" s="2">
        <f>E61-F61</f>
        <v>94456</v>
      </c>
      <c r="H61" s="2">
        <f>ROUND(G61*18%,)</f>
        <v>17002</v>
      </c>
      <c r="I61" s="2">
        <f>ROUND(G61+H61,)</f>
        <v>111458</v>
      </c>
      <c r="J61" s="2">
        <f>G61*$J$6</f>
        <v>944.56000000000006</v>
      </c>
      <c r="K61" s="2">
        <f>G61*5%</f>
        <v>4722.8</v>
      </c>
      <c r="L61" s="2">
        <f>G61*10%</f>
        <v>9445.6</v>
      </c>
      <c r="M61" s="2">
        <f>G61*10%</f>
        <v>9445.6</v>
      </c>
      <c r="N61" s="27">
        <f>H61</f>
        <v>17002</v>
      </c>
      <c r="O61" s="2">
        <v>61853</v>
      </c>
      <c r="P61" s="2">
        <f>ROUNDDOWN(I61-SUM(J61:O61), 0)</f>
        <v>8044</v>
      </c>
      <c r="Q61" s="32"/>
      <c r="R61" s="2">
        <v>99000</v>
      </c>
      <c r="S61" s="2" t="s">
        <v>40</v>
      </c>
      <c r="T61" s="2"/>
    </row>
    <row r="62" spans="1:20" x14ac:dyDescent="0.3">
      <c r="A62" s="14">
        <v>59171</v>
      </c>
      <c r="B62" s="13" t="s">
        <v>37</v>
      </c>
      <c r="C62" s="64"/>
      <c r="D62" s="14">
        <v>11</v>
      </c>
      <c r="E62" s="2">
        <f>N60</f>
        <v>48968</v>
      </c>
      <c r="F62" s="2"/>
      <c r="G62" s="2">
        <f>E62-F62</f>
        <v>48968</v>
      </c>
      <c r="H62" s="2">
        <v>0</v>
      </c>
      <c r="I62" s="2">
        <f>ROUND(G62+H62,)</f>
        <v>48968</v>
      </c>
      <c r="J62" s="2">
        <v>0</v>
      </c>
      <c r="K62" s="2">
        <v>0</v>
      </c>
      <c r="L62" s="2">
        <v>0</v>
      </c>
      <c r="M62" s="2">
        <v>0</v>
      </c>
      <c r="N62" s="2">
        <f>H62</f>
        <v>0</v>
      </c>
      <c r="O62" s="2"/>
      <c r="P62" s="27">
        <f>ROUNDDOWN(I62-SUM(J62:O62), 0)</f>
        <v>48968</v>
      </c>
      <c r="Q62" s="32"/>
      <c r="R62" s="2">
        <v>48968</v>
      </c>
      <c r="S62" s="2" t="s">
        <v>41</v>
      </c>
      <c r="T62" s="2"/>
    </row>
    <row r="63" spans="1:20" x14ac:dyDescent="0.3">
      <c r="A63" s="14">
        <v>59171</v>
      </c>
      <c r="B63" s="13" t="s">
        <v>37</v>
      </c>
      <c r="C63" s="64"/>
      <c r="D63" s="14">
        <v>15</v>
      </c>
      <c r="E63" s="2">
        <f>N61</f>
        <v>17002</v>
      </c>
      <c r="F63" s="2"/>
      <c r="G63" s="2">
        <f>E63-F63</f>
        <v>17002</v>
      </c>
      <c r="H63" s="2">
        <v>0</v>
      </c>
      <c r="I63" s="2">
        <f>ROUND(G63+H63,)</f>
        <v>17002</v>
      </c>
      <c r="J63" s="2">
        <v>0</v>
      </c>
      <c r="K63" s="2">
        <v>0</v>
      </c>
      <c r="L63" s="2">
        <v>0</v>
      </c>
      <c r="M63" s="2">
        <v>0</v>
      </c>
      <c r="N63" s="2">
        <f>H63</f>
        <v>0</v>
      </c>
      <c r="O63" s="2"/>
      <c r="P63" s="27">
        <f>ROUNDDOWN(I63-SUM(J63:O63), 0)</f>
        <v>17002</v>
      </c>
      <c r="Q63" s="32"/>
      <c r="R63" s="2">
        <v>49500</v>
      </c>
      <c r="S63" s="2" t="s">
        <v>50</v>
      </c>
      <c r="T63" s="2"/>
    </row>
    <row r="64" spans="1:20" ht="26.4" x14ac:dyDescent="0.3">
      <c r="A64" s="14">
        <v>59171</v>
      </c>
      <c r="B64" s="13" t="s">
        <v>104</v>
      </c>
      <c r="C64" s="64">
        <v>45348</v>
      </c>
      <c r="D64" s="14">
        <v>18</v>
      </c>
      <c r="E64" s="2">
        <v>19548</v>
      </c>
      <c r="F64" s="2">
        <v>0</v>
      </c>
      <c r="G64" s="2">
        <f>E64-F64</f>
        <v>19548</v>
      </c>
      <c r="H64" s="2">
        <f>ROUND(G64*18%,)</f>
        <v>3519</v>
      </c>
      <c r="I64" s="2">
        <f>ROUND(G64+H64,)</f>
        <v>23067</v>
      </c>
      <c r="J64" s="2">
        <f>G64*$J$6</f>
        <v>195.48000000000002</v>
      </c>
      <c r="K64" s="2">
        <f>G64*5%</f>
        <v>977.40000000000009</v>
      </c>
      <c r="L64" s="2">
        <f>G64*10%</f>
        <v>1954.8000000000002</v>
      </c>
      <c r="M64" s="2">
        <f>G64*10%</f>
        <v>1954.8000000000002</v>
      </c>
      <c r="N64" s="27">
        <f>H64</f>
        <v>3519</v>
      </c>
      <c r="O64" s="2">
        <v>19548</v>
      </c>
      <c r="P64" s="2">
        <f>ROUNDDOWN(I64-SUM(J64:O64), 0)</f>
        <v>-5082</v>
      </c>
      <c r="Q64" s="32"/>
      <c r="R64" s="2">
        <v>17002</v>
      </c>
      <c r="S64" s="2" t="s">
        <v>52</v>
      </c>
      <c r="T64" s="2"/>
    </row>
    <row r="65" spans="1:20" x14ac:dyDescent="0.3">
      <c r="A65" s="14">
        <v>59171</v>
      </c>
      <c r="B65" s="13" t="s">
        <v>37</v>
      </c>
      <c r="C65" s="64"/>
      <c r="D65" s="14">
        <v>18</v>
      </c>
      <c r="E65" s="2">
        <f>N64</f>
        <v>3519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7">
        <f>E65</f>
        <v>3519</v>
      </c>
      <c r="Q65" s="32"/>
      <c r="R65" s="2"/>
      <c r="S65" s="2"/>
      <c r="T65" s="2"/>
    </row>
    <row r="66" spans="1:20" x14ac:dyDescent="0.3">
      <c r="A66" s="16"/>
      <c r="B66" s="20"/>
      <c r="C66" s="67"/>
      <c r="D66" s="1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36">
        <f>A67</f>
        <v>60929</v>
      </c>
      <c r="R66" s="6"/>
      <c r="S66" s="6"/>
      <c r="T66" s="6"/>
    </row>
    <row r="67" spans="1:20" x14ac:dyDescent="0.3">
      <c r="A67" s="14">
        <v>60929</v>
      </c>
      <c r="B67" s="2" t="s">
        <v>103</v>
      </c>
      <c r="C67" s="65">
        <v>45290</v>
      </c>
      <c r="D67" s="14">
        <v>16</v>
      </c>
      <c r="E67" s="2">
        <v>411113</v>
      </c>
      <c r="F67" s="2">
        <v>90070</v>
      </c>
      <c r="G67" s="2">
        <f t="shared" ref="G67" si="23">E67-F67</f>
        <v>321043</v>
      </c>
      <c r="H67" s="2">
        <f t="shared" ref="H67" si="24">ROUND(G67*18%,)</f>
        <v>57788</v>
      </c>
      <c r="I67" s="2">
        <f t="shared" ref="I67" si="25">ROUND(G67+H67,)</f>
        <v>378831</v>
      </c>
      <c r="J67" s="2">
        <f t="shared" ref="J67" si="26">G67*$J$6</f>
        <v>3210.4300000000003</v>
      </c>
      <c r="K67" s="2">
        <f t="shared" ref="K67" si="27">G67*5%</f>
        <v>16052.150000000001</v>
      </c>
      <c r="L67" s="2">
        <f t="shared" ref="L67" si="28">G67*10%</f>
        <v>32104.300000000003</v>
      </c>
      <c r="M67" s="2">
        <f t="shared" ref="M67" si="29">G67*10%</f>
        <v>32104.300000000003</v>
      </c>
      <c r="N67" s="27">
        <f t="shared" ref="N67" si="30">H67</f>
        <v>57788</v>
      </c>
      <c r="O67" s="2">
        <v>50073</v>
      </c>
      <c r="P67" s="2">
        <f t="shared" ref="P67" si="31">ROUNDDOWN(I67-SUM(J67:O67), 0)</f>
        <v>187498</v>
      </c>
      <c r="Q67" s="33"/>
      <c r="R67" s="2">
        <v>148500</v>
      </c>
      <c r="S67" s="15" t="s">
        <v>46</v>
      </c>
      <c r="T67" s="2">
        <f>SUM(P67:P78,0)-SUM(R67:R78,0)</f>
        <v>-202651</v>
      </c>
    </row>
    <row r="68" spans="1:20" x14ac:dyDescent="0.3">
      <c r="A68" s="14">
        <v>60929</v>
      </c>
      <c r="B68" s="25" t="s">
        <v>35</v>
      </c>
      <c r="C68" s="64"/>
      <c r="D68" s="14">
        <v>16</v>
      </c>
      <c r="E68" s="2">
        <f>N67</f>
        <v>57788</v>
      </c>
      <c r="F68" s="2"/>
      <c r="G68" s="2">
        <f>E68-F68</f>
        <v>57788</v>
      </c>
      <c r="H68" s="2">
        <v>0</v>
      </c>
      <c r="I68" s="2">
        <f>ROUND(G68+H68,)</f>
        <v>57788</v>
      </c>
      <c r="J68" s="2">
        <v>0</v>
      </c>
      <c r="K68" s="2">
        <v>0</v>
      </c>
      <c r="L68" s="2">
        <v>0</v>
      </c>
      <c r="M68" s="2">
        <v>0</v>
      </c>
      <c r="N68" s="2">
        <f>H68</f>
        <v>0</v>
      </c>
      <c r="O68" s="2"/>
      <c r="P68" s="27">
        <f>ROUNDDOWN(I68-SUM(J68:O68), 0)</f>
        <v>57788</v>
      </c>
      <c r="Q68" s="33"/>
      <c r="R68" s="2">
        <v>39001</v>
      </c>
      <c r="S68" s="2" t="s">
        <v>47</v>
      </c>
      <c r="T68" s="2"/>
    </row>
    <row r="69" spans="1:20" x14ac:dyDescent="0.3">
      <c r="A69" s="14">
        <v>60929</v>
      </c>
      <c r="B69" s="2" t="s">
        <v>103</v>
      </c>
      <c r="C69" s="65">
        <v>45290</v>
      </c>
      <c r="D69" s="14">
        <v>17</v>
      </c>
      <c r="E69" s="2">
        <v>187804</v>
      </c>
      <c r="F69" s="2">
        <v>36028</v>
      </c>
      <c r="G69" s="2">
        <f t="shared" ref="G69" si="32">E69-F69</f>
        <v>151776</v>
      </c>
      <c r="H69" s="2">
        <f t="shared" ref="H69" si="33">ROUND(G69*18%,)</f>
        <v>27320</v>
      </c>
      <c r="I69" s="2">
        <f t="shared" ref="I69" si="34">ROUND(G69+H69,)</f>
        <v>179096</v>
      </c>
      <c r="J69" s="2">
        <f t="shared" ref="J69" si="35">G69*$J$6</f>
        <v>1517.76</v>
      </c>
      <c r="K69" s="2">
        <f t="shared" ref="K69" si="36">G69*5%</f>
        <v>7588.8</v>
      </c>
      <c r="L69" s="2">
        <f t="shared" ref="L69" si="37">G69*10%</f>
        <v>15177.6</v>
      </c>
      <c r="M69" s="2">
        <f t="shared" ref="M69" si="38">G69*10%</f>
        <v>15177.6</v>
      </c>
      <c r="N69" s="27">
        <f t="shared" ref="N69" si="39">H69</f>
        <v>27320</v>
      </c>
      <c r="O69" s="2">
        <v>7934</v>
      </c>
      <c r="P69" s="2">
        <f t="shared" ref="P69" si="40">ROUNDDOWN(I69-SUM(J69:O69), 0)</f>
        <v>104380</v>
      </c>
      <c r="Q69" s="33"/>
      <c r="R69" s="2">
        <v>104379</v>
      </c>
      <c r="S69" s="2" t="s">
        <v>51</v>
      </c>
      <c r="T69" s="2"/>
    </row>
    <row r="70" spans="1:20" x14ac:dyDescent="0.3">
      <c r="A70" s="14">
        <v>60929</v>
      </c>
      <c r="B70" s="25" t="s">
        <v>35</v>
      </c>
      <c r="C70" s="64"/>
      <c r="D70" s="14">
        <v>16</v>
      </c>
      <c r="E70" s="2">
        <f>N69</f>
        <v>27320</v>
      </c>
      <c r="F70" s="2"/>
      <c r="G70" s="2">
        <f>E70-F70</f>
        <v>27320</v>
      </c>
      <c r="H70" s="2">
        <v>0</v>
      </c>
      <c r="I70" s="2">
        <f>ROUND(G70+H70,)</f>
        <v>27320</v>
      </c>
      <c r="J70" s="2">
        <v>0</v>
      </c>
      <c r="K70" s="2">
        <v>0</v>
      </c>
      <c r="L70" s="2">
        <v>0</v>
      </c>
      <c r="M70" s="2">
        <v>0</v>
      </c>
      <c r="N70" s="2">
        <f>H70</f>
        <v>0</v>
      </c>
      <c r="O70" s="2"/>
      <c r="P70" s="27">
        <f>ROUNDDOWN(I70-SUM(J70:O70), 0)</f>
        <v>27320</v>
      </c>
      <c r="Q70" s="33"/>
      <c r="R70" s="2">
        <v>27320</v>
      </c>
      <c r="S70" s="2" t="s">
        <v>53</v>
      </c>
      <c r="T70" s="2"/>
    </row>
    <row r="71" spans="1:20" x14ac:dyDescent="0.3">
      <c r="A71" s="14">
        <v>60929</v>
      </c>
      <c r="B71" s="2" t="s">
        <v>103</v>
      </c>
      <c r="C71" s="65">
        <v>45382</v>
      </c>
      <c r="D71" s="14">
        <v>20</v>
      </c>
      <c r="E71" s="2">
        <v>633565</v>
      </c>
      <c r="F71" s="2">
        <v>2.6</v>
      </c>
      <c r="G71" s="2">
        <f t="shared" ref="G71" si="41">E71-F71</f>
        <v>633562.4</v>
      </c>
      <c r="H71" s="2">
        <f t="shared" ref="H71" si="42">ROUND(G71*18%,)</f>
        <v>114041</v>
      </c>
      <c r="I71" s="2">
        <f t="shared" ref="I71" si="43">ROUND(G71+H71,)</f>
        <v>747603</v>
      </c>
      <c r="J71" s="2">
        <f t="shared" ref="J71" si="44">G71*$J$6</f>
        <v>6335.6240000000007</v>
      </c>
      <c r="K71" s="2">
        <f t="shared" ref="K71" si="45">G71*5%</f>
        <v>31678.120000000003</v>
      </c>
      <c r="L71" s="2">
        <f t="shared" ref="L71" si="46">G71*10%</f>
        <v>63356.240000000005</v>
      </c>
      <c r="M71" s="2">
        <f t="shared" ref="M71" si="47">G71*10%</f>
        <v>63356.240000000005</v>
      </c>
      <c r="N71" s="27">
        <f t="shared" ref="N71" si="48">H71</f>
        <v>114041</v>
      </c>
      <c r="O71" s="2">
        <v>33807</v>
      </c>
      <c r="P71" s="2">
        <f t="shared" ref="P71" si="49">ROUNDDOWN(I71-SUM(J71:O71), 0)</f>
        <v>435028</v>
      </c>
      <c r="Q71" s="35"/>
      <c r="R71" s="2">
        <v>57788</v>
      </c>
      <c r="S71" s="2" t="s">
        <v>54</v>
      </c>
      <c r="T71" s="2"/>
    </row>
    <row r="72" spans="1:20" x14ac:dyDescent="0.3">
      <c r="A72" s="14">
        <v>60929</v>
      </c>
      <c r="B72" s="25" t="s">
        <v>35</v>
      </c>
      <c r="C72" s="68"/>
      <c r="D72" s="26">
        <v>20</v>
      </c>
      <c r="E72" s="25">
        <f>N71</f>
        <v>114041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8">
        <f>E72</f>
        <v>114041</v>
      </c>
      <c r="Q72" s="37"/>
      <c r="R72" s="25">
        <v>247500</v>
      </c>
      <c r="S72" s="25" t="s">
        <v>56</v>
      </c>
      <c r="T72" s="25"/>
    </row>
    <row r="73" spans="1:20" x14ac:dyDescent="0.3">
      <c r="A73" s="14">
        <v>60929</v>
      </c>
      <c r="B73" s="2" t="s">
        <v>103</v>
      </c>
      <c r="C73" s="65">
        <v>45501</v>
      </c>
      <c r="D73" s="14">
        <v>3</v>
      </c>
      <c r="E73" s="2">
        <v>354650</v>
      </c>
      <c r="F73" s="2">
        <v>35228</v>
      </c>
      <c r="G73" s="2">
        <f t="shared" ref="G73" si="50">E73-F73</f>
        <v>319422</v>
      </c>
      <c r="H73" s="2">
        <f t="shared" ref="H73" si="51">ROUND(G73*18%,)</f>
        <v>57496</v>
      </c>
      <c r="I73" s="2">
        <f t="shared" ref="I73" si="52">ROUND(G73+H73,)</f>
        <v>376918</v>
      </c>
      <c r="J73" s="2">
        <f t="shared" ref="J73" si="53">G73*$J$6</f>
        <v>3194.2200000000003</v>
      </c>
      <c r="K73" s="2">
        <f t="shared" ref="K73" si="54">G73*5%</f>
        <v>15971.1</v>
      </c>
      <c r="L73" s="2">
        <f t="shared" ref="L73" si="55">G73*10%</f>
        <v>31942.2</v>
      </c>
      <c r="M73" s="2">
        <f t="shared" ref="M73" si="56">G73*10%</f>
        <v>31942.2</v>
      </c>
      <c r="N73" s="27">
        <f t="shared" ref="N73" si="57">H73</f>
        <v>57496</v>
      </c>
      <c r="O73" s="2">
        <v>137810</v>
      </c>
      <c r="P73" s="2">
        <f t="shared" ref="P73" si="58">ROUNDDOWN(I73-SUM(J73:O73), 0)</f>
        <v>98562</v>
      </c>
      <c r="Q73" s="37"/>
      <c r="R73" s="25">
        <v>297000</v>
      </c>
      <c r="S73" s="25" t="s">
        <v>57</v>
      </c>
      <c r="T73" s="25"/>
    </row>
    <row r="74" spans="1:20" x14ac:dyDescent="0.3">
      <c r="A74" s="14">
        <v>60929</v>
      </c>
      <c r="B74" s="25" t="s">
        <v>35</v>
      </c>
      <c r="C74" s="68"/>
      <c r="D74" s="26">
        <v>3</v>
      </c>
      <c r="E74" s="25">
        <f>N73</f>
        <v>57496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8">
        <f>E74</f>
        <v>57496</v>
      </c>
      <c r="Q74" s="37"/>
      <c r="R74" s="25">
        <v>198000</v>
      </c>
      <c r="S74" s="25" t="s">
        <v>60</v>
      </c>
      <c r="T74" s="25"/>
    </row>
    <row r="75" spans="1:20" x14ac:dyDescent="0.3">
      <c r="A75" s="14">
        <v>60929</v>
      </c>
      <c r="B75" s="2" t="s">
        <v>103</v>
      </c>
      <c r="C75" s="68">
        <v>45591</v>
      </c>
      <c r="D75" s="26">
        <v>8</v>
      </c>
      <c r="E75" s="25">
        <v>279016.5</v>
      </c>
      <c r="F75" s="25">
        <f>17614+1.5</f>
        <v>17615.5</v>
      </c>
      <c r="G75" s="2">
        <f t="shared" ref="G75" si="59">E75-F75</f>
        <v>261401</v>
      </c>
      <c r="H75" s="2">
        <f t="shared" ref="H75" si="60">ROUND(G75*18%,)</f>
        <v>47052</v>
      </c>
      <c r="I75" s="2">
        <f t="shared" ref="I75" si="61">ROUND(G75+H75,)</f>
        <v>308453</v>
      </c>
      <c r="J75" s="2">
        <f t="shared" ref="J75" si="62">G75*$J$6</f>
        <v>2614.0100000000002</v>
      </c>
      <c r="K75" s="2">
        <f t="shared" ref="K75" si="63">G75*5%</f>
        <v>13070.050000000001</v>
      </c>
      <c r="L75" s="2">
        <f t="shared" ref="L75" si="64">G75*10%</f>
        <v>26140.100000000002</v>
      </c>
      <c r="M75" s="2">
        <f t="shared" ref="M75" si="65">G75*10%</f>
        <v>26140.100000000002</v>
      </c>
      <c r="N75" s="27">
        <f t="shared" ref="N75" si="66">H75</f>
        <v>47052</v>
      </c>
      <c r="O75" s="2">
        <v>4760</v>
      </c>
      <c r="P75" s="2">
        <f t="shared" ref="P75" si="67">ROUNDDOWN(I75-SUM(J75:O75), 0)</f>
        <v>188676</v>
      </c>
      <c r="Q75" s="37"/>
      <c r="R75" s="25">
        <v>79200</v>
      </c>
      <c r="S75" s="25" t="s">
        <v>61</v>
      </c>
      <c r="T75" s="25"/>
    </row>
    <row r="76" spans="1:20" x14ac:dyDescent="0.3">
      <c r="A76" s="14">
        <v>60929</v>
      </c>
      <c r="B76" s="25" t="s">
        <v>35</v>
      </c>
      <c r="C76" s="68"/>
      <c r="D76" s="26">
        <v>8</v>
      </c>
      <c r="E76" s="25">
        <f>N75</f>
        <v>47052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8">
        <f>E76</f>
        <v>47052</v>
      </c>
      <c r="Q76" s="37"/>
      <c r="R76" s="25">
        <v>118800</v>
      </c>
      <c r="S76" s="25" t="s">
        <v>70</v>
      </c>
      <c r="T76" s="25"/>
    </row>
    <row r="77" spans="1:20" x14ac:dyDescent="0.3">
      <c r="A77" s="14">
        <v>60929</v>
      </c>
      <c r="B77" s="2" t="s">
        <v>103</v>
      </c>
      <c r="C77" s="68">
        <v>45709</v>
      </c>
      <c r="D77" s="26">
        <v>14</v>
      </c>
      <c r="E77" s="25">
        <v>193914</v>
      </c>
      <c r="F77" s="25">
        <v>0</v>
      </c>
      <c r="G77" s="2">
        <f t="shared" ref="G77" si="68">E77-F77</f>
        <v>193914</v>
      </c>
      <c r="H77" s="2">
        <f t="shared" ref="H77" si="69">ROUND(G77*18%,)</f>
        <v>34905</v>
      </c>
      <c r="I77" s="2">
        <f t="shared" ref="I77" si="70">ROUND(G77+H77,)</f>
        <v>228819</v>
      </c>
      <c r="J77" s="2">
        <f t="shared" ref="J77" si="71">G77*$J$6</f>
        <v>1939.14</v>
      </c>
      <c r="K77" s="2">
        <f t="shared" ref="K77" si="72">G77*5%</f>
        <v>9695.7000000000007</v>
      </c>
      <c r="L77" s="2">
        <f t="shared" ref="L77" si="73">G77*10%</f>
        <v>19391.400000000001</v>
      </c>
      <c r="M77" s="2">
        <f t="shared" ref="M77" si="74">G77*10%</f>
        <v>19391.400000000001</v>
      </c>
      <c r="N77" s="44">
        <f t="shared" ref="N77" si="75">H77</f>
        <v>34905</v>
      </c>
      <c r="O77" s="2">
        <v>0</v>
      </c>
      <c r="P77" s="2">
        <f t="shared" ref="P77" si="76">ROUNDDOWN(I77-SUM(J77:O77), 0)</f>
        <v>143496</v>
      </c>
      <c r="Q77" s="37"/>
      <c r="R77" s="25">
        <v>148500</v>
      </c>
      <c r="S77" s="25" t="s">
        <v>72</v>
      </c>
      <c r="T77" s="25"/>
    </row>
    <row r="78" spans="1:20" x14ac:dyDescent="0.3">
      <c r="A78" s="14">
        <v>60929</v>
      </c>
      <c r="B78" s="25"/>
      <c r="C78" s="68"/>
      <c r="D78" s="26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37"/>
      <c r="R78" s="25">
        <v>198000</v>
      </c>
      <c r="S78" s="25" t="s">
        <v>82</v>
      </c>
      <c r="T78" s="25"/>
    </row>
    <row r="79" spans="1:20" x14ac:dyDescent="0.3">
      <c r="A79" s="16"/>
      <c r="B79" s="20"/>
      <c r="C79" s="67"/>
      <c r="D79" s="1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36">
        <f>A80</f>
        <v>65505</v>
      </c>
      <c r="R79" s="6"/>
      <c r="S79" s="6"/>
      <c r="T79" s="6"/>
    </row>
    <row r="80" spans="1:20" x14ac:dyDescent="0.3">
      <c r="A80" s="14">
        <v>65505</v>
      </c>
      <c r="B80" s="2" t="s">
        <v>102</v>
      </c>
      <c r="C80" s="65">
        <v>45518</v>
      </c>
      <c r="D80" s="14">
        <v>4</v>
      </c>
      <c r="E80" s="2">
        <v>313251</v>
      </c>
      <c r="F80" s="2">
        <v>48439</v>
      </c>
      <c r="G80" s="2">
        <f t="shared" ref="G80" si="77">E80-F80</f>
        <v>264812</v>
      </c>
      <c r="H80" s="2">
        <f t="shared" ref="H80" si="78">ROUND(G80*18%,)</f>
        <v>47666</v>
      </c>
      <c r="I80" s="2">
        <f t="shared" ref="I80" si="79">ROUND(G80+H80,)</f>
        <v>312478</v>
      </c>
      <c r="J80" s="2">
        <f t="shared" ref="J80" si="80">G80*$J$6</f>
        <v>2648.12</v>
      </c>
      <c r="K80" s="2">
        <f t="shared" ref="K80" si="81">G80*5%</f>
        <v>13240.6</v>
      </c>
      <c r="L80" s="2">
        <f t="shared" ref="L80" si="82">G80*10%</f>
        <v>26481.200000000001</v>
      </c>
      <c r="M80" s="2">
        <f t="shared" ref="M80" si="83">G80*10%</f>
        <v>26481.200000000001</v>
      </c>
      <c r="N80" s="27">
        <f t="shared" ref="N80" si="84">H80</f>
        <v>47666</v>
      </c>
      <c r="O80" s="2">
        <v>23279</v>
      </c>
      <c r="P80" s="2">
        <f t="shared" ref="P80" si="85">ROUNDDOWN(I80-SUM(J80:O80), 0)</f>
        <v>172681</v>
      </c>
      <c r="Q80" s="33"/>
      <c r="R80" s="2">
        <v>168300</v>
      </c>
      <c r="S80" s="25" t="s">
        <v>62</v>
      </c>
      <c r="T80" s="2">
        <f>SUM(P80:P91,0)-SUM(R80:R91,0)</f>
        <v>-245072</v>
      </c>
    </row>
    <row r="81" spans="1:23" x14ac:dyDescent="0.3">
      <c r="A81" s="14">
        <v>65505</v>
      </c>
      <c r="B81" s="25" t="s">
        <v>35</v>
      </c>
      <c r="C81" s="68"/>
      <c r="D81" s="26">
        <v>4</v>
      </c>
      <c r="E81" s="25">
        <f>N80</f>
        <v>47666</v>
      </c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8">
        <f>E81</f>
        <v>47666</v>
      </c>
      <c r="Q81" s="37"/>
      <c r="R81" s="25">
        <v>99000</v>
      </c>
      <c r="S81" s="25" t="s">
        <v>64</v>
      </c>
      <c r="T81" s="25"/>
      <c r="V81" s="42"/>
      <c r="W81" s="42"/>
    </row>
    <row r="82" spans="1:23" x14ac:dyDescent="0.3">
      <c r="A82" s="14">
        <v>65505</v>
      </c>
      <c r="B82" s="2" t="s">
        <v>102</v>
      </c>
      <c r="C82" s="68">
        <v>45551</v>
      </c>
      <c r="D82" s="26">
        <v>6</v>
      </c>
      <c r="E82" s="25">
        <v>202811.5</v>
      </c>
      <c r="F82" s="25">
        <v>70456</v>
      </c>
      <c r="G82" s="2">
        <f t="shared" ref="G82" si="86">E82-F82</f>
        <v>132355.5</v>
      </c>
      <c r="H82" s="2">
        <f t="shared" ref="H82" si="87">ROUND(G82*18%,)</f>
        <v>23824</v>
      </c>
      <c r="I82" s="2">
        <f t="shared" ref="I82" si="88">ROUND(G82+H82,)</f>
        <v>156180</v>
      </c>
      <c r="J82" s="2">
        <f t="shared" ref="J82" si="89">G82*$J$6</f>
        <v>1323.5550000000001</v>
      </c>
      <c r="K82" s="2">
        <f t="shared" ref="K82" si="90">G82*5%</f>
        <v>6617.7750000000005</v>
      </c>
      <c r="L82" s="2">
        <f t="shared" ref="L82" si="91">G82*10%</f>
        <v>13235.550000000001</v>
      </c>
      <c r="M82" s="2">
        <f t="shared" ref="M82" si="92">G82*10%</f>
        <v>13235.550000000001</v>
      </c>
      <c r="N82" s="27">
        <f t="shared" ref="N82" si="93">H82</f>
        <v>23824</v>
      </c>
      <c r="O82" s="2">
        <f>301.67*50</f>
        <v>15083.5</v>
      </c>
      <c r="P82" s="2">
        <f t="shared" ref="P82" si="94">ROUNDDOWN(I82-SUM(J82:O82), 0)</f>
        <v>82860</v>
      </c>
      <c r="Q82" s="37"/>
      <c r="R82" s="25">
        <v>148500</v>
      </c>
      <c r="S82" s="25" t="s">
        <v>71</v>
      </c>
      <c r="T82" s="25"/>
    </row>
    <row r="83" spans="1:23" x14ac:dyDescent="0.3">
      <c r="A83" s="14">
        <v>65505</v>
      </c>
      <c r="B83" s="25" t="s">
        <v>35</v>
      </c>
      <c r="C83" s="68"/>
      <c r="D83" s="26">
        <v>6</v>
      </c>
      <c r="E83" s="25">
        <f>N82</f>
        <v>23824</v>
      </c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8">
        <f>E83</f>
        <v>23824</v>
      </c>
      <c r="Q83" s="37"/>
      <c r="R83" s="25">
        <v>148500</v>
      </c>
      <c r="S83" s="25" t="s">
        <v>76</v>
      </c>
      <c r="T83" s="25"/>
    </row>
    <row r="84" spans="1:23" x14ac:dyDescent="0.3">
      <c r="A84" s="14">
        <v>65505</v>
      </c>
      <c r="B84" s="2" t="s">
        <v>102</v>
      </c>
      <c r="C84" s="68">
        <v>45593</v>
      </c>
      <c r="D84" s="26">
        <v>9</v>
      </c>
      <c r="E84" s="25">
        <v>485910.1</v>
      </c>
      <c r="F84" s="25">
        <v>2.1</v>
      </c>
      <c r="G84" s="2">
        <f t="shared" ref="G84" si="95">E84-F84</f>
        <v>485908</v>
      </c>
      <c r="H84" s="2">
        <f t="shared" ref="H84" si="96">ROUND(G84*18%,)</f>
        <v>87463</v>
      </c>
      <c r="I84" s="2">
        <f t="shared" ref="I84" si="97">ROUND(G84+H84,)</f>
        <v>573371</v>
      </c>
      <c r="J84" s="2">
        <f t="shared" ref="J84" si="98">G84*$J$6</f>
        <v>4859.08</v>
      </c>
      <c r="K84" s="2">
        <f t="shared" ref="K84" si="99">G84*5%</f>
        <v>24295.4</v>
      </c>
      <c r="L84" s="2">
        <f t="shared" ref="L84" si="100">G84*10%</f>
        <v>48590.8</v>
      </c>
      <c r="M84" s="2">
        <f t="shared" ref="M84" si="101">G84*10%</f>
        <v>48590.8</v>
      </c>
      <c r="N84" s="27">
        <f t="shared" ref="N84" si="102">H84</f>
        <v>87463</v>
      </c>
      <c r="O84" s="2">
        <f>310.96*85+108.31*50</f>
        <v>31847.1</v>
      </c>
      <c r="P84" s="2">
        <f t="shared" ref="P84" si="103">ROUNDDOWN(I84-SUM(J84:O84), 0)</f>
        <v>327724</v>
      </c>
      <c r="Q84" s="37"/>
      <c r="R84" s="25">
        <v>200000</v>
      </c>
      <c r="S84" s="25" t="s">
        <v>77</v>
      </c>
      <c r="T84" s="25"/>
    </row>
    <row r="85" spans="1:23" x14ac:dyDescent="0.3">
      <c r="A85" s="14">
        <v>65505</v>
      </c>
      <c r="B85" s="25" t="s">
        <v>35</v>
      </c>
      <c r="C85" s="68"/>
      <c r="D85" s="26">
        <v>9</v>
      </c>
      <c r="E85" s="25">
        <f>N84</f>
        <v>87463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8">
        <f>E85</f>
        <v>87463</v>
      </c>
      <c r="Q85" s="37"/>
      <c r="R85" s="25">
        <v>99000</v>
      </c>
      <c r="S85" s="25" t="s">
        <v>78</v>
      </c>
      <c r="T85" s="25"/>
    </row>
    <row r="86" spans="1:23" x14ac:dyDescent="0.3">
      <c r="A86" s="14">
        <v>65505</v>
      </c>
      <c r="B86" s="2" t="s">
        <v>102</v>
      </c>
      <c r="C86" s="68">
        <v>45652</v>
      </c>
      <c r="D86" s="26">
        <v>11</v>
      </c>
      <c r="E86" s="25">
        <v>302754</v>
      </c>
      <c r="F86" s="25">
        <v>35228</v>
      </c>
      <c r="G86" s="2">
        <f t="shared" ref="G86" si="104">E86-F86</f>
        <v>267526</v>
      </c>
      <c r="H86" s="2">
        <f t="shared" ref="H86" si="105">ROUND(G86*18%,)</f>
        <v>48155</v>
      </c>
      <c r="I86" s="2">
        <f t="shared" ref="I86" si="106">ROUND(G86+H86,)</f>
        <v>315681</v>
      </c>
      <c r="J86" s="2">
        <f t="shared" ref="J86" si="107">G86*$J$6</f>
        <v>2675.26</v>
      </c>
      <c r="K86" s="2">
        <f t="shared" ref="K86" si="108">G86*5%</f>
        <v>13376.300000000001</v>
      </c>
      <c r="L86" s="2">
        <f t="shared" ref="L86" si="109">G86*10%</f>
        <v>26752.600000000002</v>
      </c>
      <c r="M86" s="2">
        <f t="shared" ref="M86" si="110">G86*10%</f>
        <v>26752.600000000002</v>
      </c>
      <c r="N86" s="27">
        <f t="shared" ref="N86" si="111">H86</f>
        <v>48155</v>
      </c>
      <c r="O86" s="2">
        <v>173222</v>
      </c>
      <c r="P86" s="2">
        <f t="shared" ref="P86" si="112">ROUNDDOWN(I86-SUM(J86:O86), 0)</f>
        <v>24747</v>
      </c>
      <c r="Q86" s="37"/>
      <c r="R86" s="25">
        <v>99000</v>
      </c>
      <c r="S86" s="25" t="s">
        <v>80</v>
      </c>
      <c r="T86" s="25"/>
    </row>
    <row r="87" spans="1:23" x14ac:dyDescent="0.3">
      <c r="A87" s="14">
        <v>65505</v>
      </c>
      <c r="B87" s="25" t="s">
        <v>35</v>
      </c>
      <c r="C87" s="68"/>
      <c r="D87" s="26">
        <v>11</v>
      </c>
      <c r="E87" s="25">
        <f>N86</f>
        <v>48155</v>
      </c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8">
        <f>E87</f>
        <v>48155</v>
      </c>
      <c r="Q87" s="37"/>
      <c r="R87" s="25">
        <v>49500</v>
      </c>
      <c r="S87" s="25" t="s">
        <v>84</v>
      </c>
      <c r="T87" s="25"/>
    </row>
    <row r="88" spans="1:23" x14ac:dyDescent="0.3">
      <c r="A88" s="14">
        <v>65505</v>
      </c>
      <c r="B88" s="2" t="s">
        <v>102</v>
      </c>
      <c r="C88" s="68">
        <v>45727</v>
      </c>
      <c r="D88" s="26">
        <v>16</v>
      </c>
      <c r="E88" s="25">
        <v>104500</v>
      </c>
      <c r="F88" s="25">
        <v>0</v>
      </c>
      <c r="G88" s="2">
        <f t="shared" ref="G88" si="113">E88-F88</f>
        <v>104500</v>
      </c>
      <c r="H88" s="2">
        <f t="shared" ref="H88" si="114">ROUND(G88*18%,)</f>
        <v>18810</v>
      </c>
      <c r="I88" s="2">
        <f t="shared" ref="I88" si="115">ROUND(G88+H88,)</f>
        <v>123310</v>
      </c>
      <c r="J88" s="2">
        <f t="shared" ref="J88" si="116">G88*$J$6</f>
        <v>1045</v>
      </c>
      <c r="K88" s="2">
        <f t="shared" ref="K88" si="117">G88*5%</f>
        <v>5225</v>
      </c>
      <c r="L88" s="2">
        <f t="shared" ref="L88" si="118">G88*10%</f>
        <v>10450</v>
      </c>
      <c r="M88" s="2">
        <f t="shared" ref="M88" si="119">G88*10%</f>
        <v>10450</v>
      </c>
      <c r="N88" s="27">
        <f t="shared" ref="N88" si="120">H88</f>
        <v>18810</v>
      </c>
      <c r="O88" s="2">
        <v>0</v>
      </c>
      <c r="P88" s="2">
        <f t="shared" ref="P88" si="121">ROUNDDOWN(I88-SUM(J88:O88), 0)</f>
        <v>77330</v>
      </c>
      <c r="Q88" s="37"/>
      <c r="R88" s="25">
        <v>99000</v>
      </c>
      <c r="S88" s="25" t="s">
        <v>86</v>
      </c>
      <c r="T88" s="25"/>
    </row>
    <row r="89" spans="1:23" x14ac:dyDescent="0.3">
      <c r="A89" s="14">
        <v>65505</v>
      </c>
      <c r="B89" s="2" t="s">
        <v>102</v>
      </c>
      <c r="C89" s="68">
        <v>45741</v>
      </c>
      <c r="D89" s="26">
        <v>18</v>
      </c>
      <c r="E89" s="25">
        <v>407846</v>
      </c>
      <c r="F89" s="25">
        <v>0</v>
      </c>
      <c r="G89" s="2">
        <f t="shared" ref="G89" si="122">E89-F89</f>
        <v>407846</v>
      </c>
      <c r="H89" s="2">
        <f t="shared" ref="H89" si="123">ROUND(G89*18%,)</f>
        <v>73412</v>
      </c>
      <c r="I89" s="2">
        <f t="shared" ref="I89" si="124">ROUND(G89+H89,)</f>
        <v>481258</v>
      </c>
      <c r="J89" s="2">
        <f t="shared" ref="J89" si="125">G89*$J$6</f>
        <v>4078.46</v>
      </c>
      <c r="K89" s="2">
        <f t="shared" ref="K89" si="126">G89*5%</f>
        <v>20392.300000000003</v>
      </c>
      <c r="L89" s="2">
        <f t="shared" ref="L89" si="127">G89*10%</f>
        <v>40784.600000000006</v>
      </c>
      <c r="M89" s="2">
        <f t="shared" ref="M89" si="128">G89*10%</f>
        <v>40784.600000000006</v>
      </c>
      <c r="N89" s="27">
        <f t="shared" ref="N89" si="129">H89</f>
        <v>73412</v>
      </c>
      <c r="O89" s="2">
        <v>0</v>
      </c>
      <c r="P89" s="2">
        <f t="shared" ref="P89" si="130">ROUNDDOWN(I89-SUM(J89:O89), 0)</f>
        <v>301806</v>
      </c>
      <c r="Q89" s="43"/>
      <c r="R89" s="25">
        <v>99000</v>
      </c>
      <c r="S89" s="25" t="s">
        <v>87</v>
      </c>
      <c r="T89" s="25"/>
    </row>
    <row r="90" spans="1:23" x14ac:dyDescent="0.3">
      <c r="A90" s="14">
        <v>65505</v>
      </c>
      <c r="B90" s="25" t="s">
        <v>35</v>
      </c>
      <c r="C90" s="68"/>
      <c r="D90" s="26" t="s">
        <v>89</v>
      </c>
      <c r="E90" s="25">
        <f>N89+N88</f>
        <v>92222</v>
      </c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8">
        <f>E90</f>
        <v>92222</v>
      </c>
      <c r="Q90" s="43"/>
      <c r="R90" s="25">
        <v>148500</v>
      </c>
      <c r="S90" s="25" t="s">
        <v>90</v>
      </c>
      <c r="T90" s="25"/>
    </row>
    <row r="91" spans="1:23" x14ac:dyDescent="0.3">
      <c r="A91" s="14">
        <v>65505</v>
      </c>
      <c r="B91" s="25"/>
      <c r="C91" s="68"/>
      <c r="D91" s="26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8"/>
      <c r="Q91" s="43"/>
      <c r="R91" s="25">
        <v>173250</v>
      </c>
      <c r="S91" s="25" t="s">
        <v>91</v>
      </c>
      <c r="T91" s="25"/>
    </row>
    <row r="92" spans="1:23" x14ac:dyDescent="0.3">
      <c r="A92" s="16"/>
      <c r="B92" s="20"/>
      <c r="C92" s="67"/>
      <c r="D92" s="1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36">
        <f>A93</f>
        <v>65606</v>
      </c>
      <c r="R92" s="6"/>
      <c r="S92" s="6"/>
      <c r="T92" s="6"/>
    </row>
    <row r="93" spans="1:23" x14ac:dyDescent="0.3">
      <c r="A93" s="26">
        <v>65606</v>
      </c>
      <c r="B93" s="25" t="s">
        <v>101</v>
      </c>
      <c r="C93" s="68">
        <v>45565</v>
      </c>
      <c r="D93" s="26">
        <v>7</v>
      </c>
      <c r="E93" s="25">
        <v>398656</v>
      </c>
      <c r="F93" s="25">
        <v>17614</v>
      </c>
      <c r="G93" s="2">
        <f t="shared" ref="G93" si="131">E93-F93</f>
        <v>381042</v>
      </c>
      <c r="H93" s="2">
        <f t="shared" ref="H93" si="132">ROUND(G93*18%,)</f>
        <v>68588</v>
      </c>
      <c r="I93" s="2">
        <f t="shared" ref="I93" si="133">ROUND(G93+H93,)</f>
        <v>449630</v>
      </c>
      <c r="J93" s="2">
        <f t="shared" ref="J93" si="134">G93*$J$6</f>
        <v>3810.42</v>
      </c>
      <c r="K93" s="2">
        <f t="shared" ref="K93" si="135">G93*5%</f>
        <v>19052.100000000002</v>
      </c>
      <c r="L93" s="2">
        <f t="shared" ref="L93" si="136">G93*10%</f>
        <v>38104.200000000004</v>
      </c>
      <c r="M93" s="2">
        <f t="shared" ref="M93" si="137">G93*10%</f>
        <v>38104.200000000004</v>
      </c>
      <c r="N93" s="27">
        <f t="shared" ref="N93" si="138">H93</f>
        <v>68588</v>
      </c>
      <c r="O93" s="2">
        <v>157533</v>
      </c>
      <c r="P93" s="2">
        <f>ROUNDDOWN(I93-SUM(J93:O93), 0)</f>
        <v>124438</v>
      </c>
      <c r="Q93" s="37"/>
      <c r="R93" s="25">
        <v>99000</v>
      </c>
      <c r="S93" s="25" t="s">
        <v>65</v>
      </c>
      <c r="T93" s="25">
        <f>SUM(P93:P100,0)-SUM(R93:R100,0)</f>
        <v>-242767</v>
      </c>
      <c r="V93" s="42"/>
      <c r="W93" s="42"/>
    </row>
    <row r="94" spans="1:23" x14ac:dyDescent="0.3">
      <c r="A94" s="26">
        <v>65606</v>
      </c>
      <c r="B94" s="25" t="s">
        <v>35</v>
      </c>
      <c r="C94" s="68"/>
      <c r="D94" s="26">
        <v>7</v>
      </c>
      <c r="E94" s="25">
        <f>N93</f>
        <v>68588</v>
      </c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8">
        <f>E94</f>
        <v>68588</v>
      </c>
      <c r="Q94" s="37"/>
      <c r="R94" s="25">
        <v>49500</v>
      </c>
      <c r="S94" s="25" t="s">
        <v>66</v>
      </c>
      <c r="T94" s="25"/>
    </row>
    <row r="95" spans="1:23" x14ac:dyDescent="0.3">
      <c r="A95" s="26">
        <v>65606</v>
      </c>
      <c r="B95" s="25" t="s">
        <v>101</v>
      </c>
      <c r="C95" s="68">
        <v>45616</v>
      </c>
      <c r="D95" s="26">
        <v>10</v>
      </c>
      <c r="E95" s="25">
        <v>246456</v>
      </c>
      <c r="F95" s="25">
        <v>0</v>
      </c>
      <c r="G95" s="2">
        <f t="shared" ref="G95" si="139">E95-F95</f>
        <v>246456</v>
      </c>
      <c r="H95" s="2">
        <f t="shared" ref="H95" si="140">ROUND(G95*18%,)</f>
        <v>44362</v>
      </c>
      <c r="I95" s="2">
        <f t="shared" ref="I95" si="141">ROUND(G95+H95,)</f>
        <v>290818</v>
      </c>
      <c r="J95" s="2">
        <f t="shared" ref="J95" si="142">G95*$J$6</f>
        <v>2464.56</v>
      </c>
      <c r="K95" s="2">
        <f t="shared" ref="K95" si="143">G95*5%</f>
        <v>12322.800000000001</v>
      </c>
      <c r="L95" s="2">
        <f t="shared" ref="L95" si="144">G95*10%</f>
        <v>24645.600000000002</v>
      </c>
      <c r="M95" s="2">
        <f t="shared" ref="M95" si="145">G95*10%</f>
        <v>24645.600000000002</v>
      </c>
      <c r="N95" s="27">
        <f t="shared" ref="N95" si="146">H95</f>
        <v>44362</v>
      </c>
      <c r="O95" s="2">
        <v>6085</v>
      </c>
      <c r="P95" s="2">
        <f>ROUNDDOWN(I95-SUM(J95:O95), 0)</f>
        <v>176292</v>
      </c>
      <c r="Q95" s="41"/>
      <c r="R95" s="25">
        <v>99000</v>
      </c>
      <c r="S95" s="25" t="s">
        <v>68</v>
      </c>
      <c r="T95" s="25"/>
      <c r="W95" s="42"/>
    </row>
    <row r="96" spans="1:23" x14ac:dyDescent="0.3">
      <c r="A96" s="26">
        <v>65606</v>
      </c>
      <c r="B96" s="25" t="s">
        <v>35</v>
      </c>
      <c r="C96" s="68"/>
      <c r="D96" s="26">
        <v>10</v>
      </c>
      <c r="E96" s="25">
        <f>N95</f>
        <v>44362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8">
        <f>E96</f>
        <v>44362</v>
      </c>
      <c r="Q96" s="37"/>
      <c r="R96" s="25">
        <v>148500</v>
      </c>
      <c r="S96" s="25" t="s">
        <v>69</v>
      </c>
      <c r="T96" s="25"/>
    </row>
    <row r="97" spans="1:20" x14ac:dyDescent="0.3">
      <c r="A97" s="26">
        <v>65606</v>
      </c>
      <c r="B97" s="25" t="s">
        <v>101</v>
      </c>
      <c r="C97" s="68">
        <v>45687</v>
      </c>
      <c r="D97" s="26">
        <v>13</v>
      </c>
      <c r="E97" s="25">
        <v>62307</v>
      </c>
      <c r="F97" s="25">
        <v>0</v>
      </c>
      <c r="G97" s="2">
        <f t="shared" ref="G97" si="147">E97-F97</f>
        <v>62307</v>
      </c>
      <c r="H97" s="2">
        <f t="shared" ref="H97" si="148">ROUND(G97*18%,)</f>
        <v>11215</v>
      </c>
      <c r="I97" s="2">
        <f t="shared" ref="I97" si="149">ROUND(G97+H97,)</f>
        <v>73522</v>
      </c>
      <c r="J97" s="2">
        <f t="shared" ref="J97" si="150">G97*$J$6</f>
        <v>623.07000000000005</v>
      </c>
      <c r="K97" s="2">
        <f t="shared" ref="K97" si="151">G97*5%</f>
        <v>3115.3500000000004</v>
      </c>
      <c r="L97" s="2">
        <f t="shared" ref="L97" si="152">G97*10%</f>
        <v>6230.7000000000007</v>
      </c>
      <c r="M97" s="2">
        <f t="shared" ref="M97" si="153">G97*10%</f>
        <v>6230.7000000000007</v>
      </c>
      <c r="N97" s="27">
        <f t="shared" ref="N97" si="154">H97</f>
        <v>11215</v>
      </c>
      <c r="O97" s="2">
        <v>41009</v>
      </c>
      <c r="P97" s="2">
        <f>ROUNDDOWN(I97-SUM(J97:O97), 0)</f>
        <v>5098</v>
      </c>
      <c r="Q97" s="37"/>
      <c r="R97" s="25">
        <v>99000</v>
      </c>
      <c r="S97" s="25" t="s">
        <v>73</v>
      </c>
      <c r="T97" s="25"/>
    </row>
    <row r="98" spans="1:20" x14ac:dyDescent="0.3">
      <c r="A98" s="26">
        <v>65606</v>
      </c>
      <c r="B98" s="25" t="s">
        <v>35</v>
      </c>
      <c r="C98" s="68"/>
      <c r="D98" s="26">
        <v>13</v>
      </c>
      <c r="E98" s="25">
        <f>N97</f>
        <v>11215</v>
      </c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8">
        <f>E98</f>
        <v>11215</v>
      </c>
      <c r="Q98" s="37"/>
      <c r="R98" s="25">
        <v>99000</v>
      </c>
      <c r="S98" s="25" t="s">
        <v>74</v>
      </c>
      <c r="T98" s="25"/>
    </row>
    <row r="99" spans="1:20" x14ac:dyDescent="0.3">
      <c r="A99" s="26">
        <v>65606</v>
      </c>
      <c r="B99" s="25" t="s">
        <v>101</v>
      </c>
      <c r="C99" s="68">
        <v>45698</v>
      </c>
      <c r="D99" s="26">
        <v>15</v>
      </c>
      <c r="E99" s="25">
        <v>22000</v>
      </c>
      <c r="F99" s="25">
        <v>0</v>
      </c>
      <c r="G99" s="2">
        <f t="shared" ref="G99" si="155">E99-F99</f>
        <v>22000</v>
      </c>
      <c r="H99" s="2">
        <f t="shared" ref="H99" si="156">ROUND(G99*18%,)</f>
        <v>3960</v>
      </c>
      <c r="I99" s="2">
        <f t="shared" ref="I99" si="157">ROUND(G99+H99,)</f>
        <v>25960</v>
      </c>
      <c r="J99" s="2">
        <f t="shared" ref="J99" si="158">G99*$J$6</f>
        <v>220</v>
      </c>
      <c r="K99" s="2">
        <f t="shared" ref="K99" si="159">G99*5%</f>
        <v>1100</v>
      </c>
      <c r="L99" s="2">
        <f t="shared" ref="L99" si="160">G99*10%</f>
        <v>2200</v>
      </c>
      <c r="M99" s="2">
        <f t="shared" ref="M99" si="161">G99*10%</f>
        <v>2200</v>
      </c>
      <c r="N99" s="27">
        <f t="shared" ref="N99" si="162">H99</f>
        <v>3960</v>
      </c>
      <c r="O99" s="2">
        <v>0</v>
      </c>
      <c r="P99" s="2">
        <f>ROUNDDOWN(I99-SUM(J99:O99), 0)</f>
        <v>16280</v>
      </c>
      <c r="Q99" s="37"/>
      <c r="R99" s="25">
        <v>99000</v>
      </c>
      <c r="S99" s="25" t="s">
        <v>75</v>
      </c>
      <c r="T99" s="25"/>
    </row>
    <row r="100" spans="1:20" x14ac:dyDescent="0.3">
      <c r="A100" s="26">
        <v>65606</v>
      </c>
      <c r="B100" s="25" t="s">
        <v>35</v>
      </c>
      <c r="C100" s="68"/>
      <c r="D100" s="26">
        <v>15</v>
      </c>
      <c r="E100" s="25">
        <f>N99</f>
        <v>3960</v>
      </c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8">
        <f>E100</f>
        <v>3960</v>
      </c>
      <c r="Q100" s="37"/>
      <c r="R100" s="25"/>
      <c r="S100" s="25"/>
      <c r="T100" s="25"/>
    </row>
    <row r="101" spans="1:20" x14ac:dyDescent="0.3">
      <c r="A101" s="16"/>
      <c r="B101" s="20"/>
      <c r="C101" s="67"/>
      <c r="D101" s="1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36">
        <f>A102</f>
        <v>67941</v>
      </c>
      <c r="R101" s="6"/>
      <c r="S101" s="6"/>
      <c r="T101" s="6"/>
    </row>
    <row r="102" spans="1:20" x14ac:dyDescent="0.3">
      <c r="A102" s="26">
        <v>67941</v>
      </c>
      <c r="B102" s="25" t="s">
        <v>100</v>
      </c>
      <c r="C102" s="68">
        <v>45696</v>
      </c>
      <c r="D102" s="26">
        <v>14</v>
      </c>
      <c r="E102" s="25">
        <v>248955</v>
      </c>
      <c r="F102" s="25">
        <v>35252</v>
      </c>
      <c r="G102" s="2">
        <f t="shared" ref="G102" si="163">E102-F102</f>
        <v>213703</v>
      </c>
      <c r="H102" s="2">
        <f t="shared" ref="H102" si="164">ROUND(G102*18%,)</f>
        <v>38467</v>
      </c>
      <c r="I102" s="2">
        <f t="shared" ref="I102" si="165">ROUND(G102+H102,)</f>
        <v>252170</v>
      </c>
      <c r="J102" s="2">
        <f t="shared" ref="J102" si="166">G102*$J$6</f>
        <v>2137.0300000000002</v>
      </c>
      <c r="K102" s="2">
        <f t="shared" ref="K102" si="167">G102*5%</f>
        <v>10685.150000000001</v>
      </c>
      <c r="L102" s="2">
        <f t="shared" ref="L102" si="168">G102*10%</f>
        <v>21370.300000000003</v>
      </c>
      <c r="M102" s="2">
        <f t="shared" ref="M102" si="169">G102*10%</f>
        <v>21370.300000000003</v>
      </c>
      <c r="N102" s="44">
        <f t="shared" ref="N102" si="170">H102</f>
        <v>38467</v>
      </c>
      <c r="O102" s="2">
        <v>189560</v>
      </c>
      <c r="P102" s="2">
        <f>ROUNDDOWN(I102-SUM(J102:O102), 0)</f>
        <v>-31419</v>
      </c>
      <c r="Q102" s="43"/>
      <c r="R102" s="25">
        <v>99000</v>
      </c>
      <c r="S102" s="25" t="s">
        <v>79</v>
      </c>
      <c r="T102" s="25">
        <f>SUM(P102:P105,0)-SUM(R102:R105,0)</f>
        <v>-331725</v>
      </c>
    </row>
    <row r="103" spans="1:20" x14ac:dyDescent="0.3">
      <c r="A103" s="26">
        <v>67941</v>
      </c>
      <c r="B103" s="25" t="s">
        <v>100</v>
      </c>
      <c r="C103" s="68">
        <v>45712</v>
      </c>
      <c r="D103" s="26">
        <v>15</v>
      </c>
      <c r="E103" s="25">
        <v>67742</v>
      </c>
      <c r="F103" s="25">
        <v>0</v>
      </c>
      <c r="G103" s="2">
        <f t="shared" ref="G103" si="171">E103-F103</f>
        <v>67742</v>
      </c>
      <c r="H103" s="2">
        <f t="shared" ref="H103" si="172">ROUND(G103*18%,)</f>
        <v>12194</v>
      </c>
      <c r="I103" s="2">
        <f t="shared" ref="I103" si="173">ROUND(G103+H103,)</f>
        <v>79936</v>
      </c>
      <c r="J103" s="2">
        <f t="shared" ref="J103" si="174">G103*$J$6</f>
        <v>677.42</v>
      </c>
      <c r="K103" s="2">
        <f t="shared" ref="K103" si="175">G103*5%</f>
        <v>3387.1000000000004</v>
      </c>
      <c r="L103" s="2">
        <f t="shared" ref="L103" si="176">G103*10%</f>
        <v>6774.2000000000007</v>
      </c>
      <c r="M103" s="2">
        <f t="shared" ref="M103" si="177">G103*10%</f>
        <v>6774.2000000000007</v>
      </c>
      <c r="N103" s="44">
        <f t="shared" ref="N103" si="178">H103</f>
        <v>12194</v>
      </c>
      <c r="O103" s="2">
        <v>29846</v>
      </c>
      <c r="P103" s="2">
        <f>ROUNDDOWN(I103-SUM(J103:O103), 0)</f>
        <v>20283</v>
      </c>
      <c r="Q103" s="43"/>
      <c r="R103" s="25">
        <v>99000</v>
      </c>
      <c r="S103" s="25" t="s">
        <v>81</v>
      </c>
      <c r="T103" s="25"/>
    </row>
    <row r="104" spans="1:20" x14ac:dyDescent="0.3">
      <c r="A104" s="26">
        <v>67941</v>
      </c>
      <c r="B104" s="25" t="s">
        <v>35</v>
      </c>
      <c r="C104" s="68"/>
      <c r="D104" s="26" t="s">
        <v>85</v>
      </c>
      <c r="E104" s="25">
        <f>N103+N102</f>
        <v>50661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8">
        <f>E104</f>
        <v>50661</v>
      </c>
      <c r="Q104" s="37"/>
      <c r="R104" s="25">
        <v>99000</v>
      </c>
      <c r="S104" s="25" t="s">
        <v>83</v>
      </c>
      <c r="T104" s="25"/>
    </row>
    <row r="105" spans="1:20" x14ac:dyDescent="0.3">
      <c r="A105" s="26">
        <v>67941</v>
      </c>
      <c r="B105" s="25"/>
      <c r="C105" s="68"/>
      <c r="D105" s="26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37"/>
      <c r="R105" s="25">
        <v>74250</v>
      </c>
      <c r="S105" s="25" t="s">
        <v>88</v>
      </c>
      <c r="T105" s="25"/>
    </row>
    <row r="106" spans="1:20" x14ac:dyDescent="0.3">
      <c r="A106" s="16"/>
      <c r="B106" s="20"/>
      <c r="C106" s="67"/>
      <c r="D106" s="1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36">
        <f>A107</f>
        <v>69278</v>
      </c>
      <c r="R106" s="6"/>
      <c r="S106" s="6"/>
      <c r="T106" s="6"/>
    </row>
    <row r="107" spans="1:20" x14ac:dyDescent="0.3">
      <c r="A107" s="26">
        <v>69278</v>
      </c>
      <c r="B107" s="25" t="s">
        <v>100</v>
      </c>
      <c r="C107" s="68">
        <v>45775</v>
      </c>
      <c r="D107" s="26">
        <v>1</v>
      </c>
      <c r="E107" s="25">
        <v>389594</v>
      </c>
      <c r="F107" s="25"/>
      <c r="G107" s="2">
        <f t="shared" ref="G107" si="179">E107-F107</f>
        <v>389594</v>
      </c>
      <c r="H107" s="2">
        <f t="shared" ref="H107" si="180">ROUND(G107*18%,)</f>
        <v>70127</v>
      </c>
      <c r="I107" s="2">
        <f t="shared" ref="I107" si="181">ROUND(G107+H107,)</f>
        <v>459721</v>
      </c>
      <c r="J107" s="2">
        <f t="shared" ref="J107" si="182">G107*$J$6</f>
        <v>3895.94</v>
      </c>
      <c r="K107" s="2">
        <f t="shared" ref="K107" si="183">G107*5%</f>
        <v>19479.7</v>
      </c>
      <c r="L107" s="2">
        <f t="shared" ref="L107" si="184">G107*10%</f>
        <v>38959.4</v>
      </c>
      <c r="M107" s="2">
        <f t="shared" ref="M107" si="185">G107*10%</f>
        <v>38959.4</v>
      </c>
      <c r="N107" s="44">
        <f t="shared" ref="N107" si="186">H107</f>
        <v>70127</v>
      </c>
      <c r="O107" s="2">
        <v>5686.34</v>
      </c>
      <c r="P107" s="2">
        <f>ROUNDDOWN(I107-SUM(J107:O107), 0)</f>
        <v>282613</v>
      </c>
      <c r="Q107" s="43"/>
      <c r="R107" s="25">
        <v>198000</v>
      </c>
      <c r="S107" s="25" t="s">
        <v>92</v>
      </c>
      <c r="T107" s="25">
        <f>SUM(P107:P109,0)-SUM(R107:R109,0)</f>
        <v>184637</v>
      </c>
    </row>
    <row r="108" spans="1:20" x14ac:dyDescent="0.3">
      <c r="A108" s="26">
        <v>69278</v>
      </c>
      <c r="B108" s="25" t="s">
        <v>100</v>
      </c>
      <c r="C108" s="68">
        <v>45791</v>
      </c>
      <c r="D108" s="26">
        <v>2</v>
      </c>
      <c r="E108" s="25">
        <v>135229</v>
      </c>
      <c r="F108" s="25"/>
      <c r="G108" s="2">
        <f t="shared" ref="G108" si="187">E108-F108</f>
        <v>135229</v>
      </c>
      <c r="H108" s="2">
        <f t="shared" ref="H108" si="188">ROUND(G108*18%,)</f>
        <v>24341</v>
      </c>
      <c r="I108" s="2">
        <f t="shared" ref="I108" si="189">ROUND(G108+H108,)</f>
        <v>159570</v>
      </c>
      <c r="J108" s="2">
        <f t="shared" ref="J108" si="190">G108*$J$6</f>
        <v>1352.29</v>
      </c>
      <c r="K108" s="2">
        <f t="shared" ref="K108" si="191">G108*5%</f>
        <v>6761.4500000000007</v>
      </c>
      <c r="L108" s="2">
        <f t="shared" ref="L108" si="192">G108*10%</f>
        <v>13522.900000000001</v>
      </c>
      <c r="M108" s="2">
        <f t="shared" ref="M108" si="193">G108*10%</f>
        <v>13522.900000000001</v>
      </c>
      <c r="N108" s="44">
        <f t="shared" ref="N108" si="194">H108</f>
        <v>24341</v>
      </c>
      <c r="O108" s="2">
        <v>45</v>
      </c>
      <c r="P108" s="2">
        <f>ROUNDDOWN(I108-SUM(J108:O108), 0)</f>
        <v>100024</v>
      </c>
      <c r="Q108" s="43"/>
      <c r="R108" s="25"/>
      <c r="S108" s="25"/>
      <c r="T108" s="25"/>
    </row>
    <row r="109" spans="1:20" ht="15" thickBot="1" x14ac:dyDescent="0.35">
      <c r="A109" s="26">
        <v>69278</v>
      </c>
      <c r="B109" s="25"/>
      <c r="C109" s="68"/>
      <c r="D109" s="26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37"/>
      <c r="R109" s="25"/>
      <c r="S109" s="25"/>
      <c r="T109" s="25"/>
    </row>
    <row r="110" spans="1:20" x14ac:dyDescent="0.3">
      <c r="A110" s="23"/>
      <c r="B110" s="10"/>
      <c r="C110" s="62"/>
      <c r="D110" s="23"/>
      <c r="E110" s="10"/>
      <c r="F110" s="10"/>
      <c r="G110" s="10"/>
      <c r="H110" s="10"/>
      <c r="I110" s="10"/>
      <c r="J110" s="10"/>
      <c r="K110" s="24">
        <f t="shared" ref="K110:N110" si="195">SUM(K8:K109)</f>
        <v>512406.00300000003</v>
      </c>
      <c r="L110" s="24">
        <f t="shared" si="195"/>
        <v>989543.95600000001</v>
      </c>
      <c r="M110" s="24">
        <f t="shared" si="195"/>
        <v>1015643.106</v>
      </c>
      <c r="N110" s="24">
        <f t="shared" si="195"/>
        <v>1844662</v>
      </c>
      <c r="O110" s="24">
        <f>SUM(O8:O109)</f>
        <v>1518335.9400000002</v>
      </c>
      <c r="P110" s="24">
        <f>SUM(P8:P109)</f>
        <v>7821625</v>
      </c>
      <c r="Q110" s="38"/>
      <c r="R110" s="24">
        <f>SUM(R8:R109)</f>
        <v>9071563</v>
      </c>
      <c r="S110" s="10"/>
      <c r="T110" s="24">
        <f>SUM(T8:T109)</f>
        <v>-1249938</v>
      </c>
    </row>
    <row r="111" spans="1:20" ht="15" thickBot="1" x14ac:dyDescent="0.35">
      <c r="A111" s="21"/>
      <c r="B111" s="21"/>
      <c r="C111" s="69"/>
      <c r="D111" s="21"/>
      <c r="E111" s="21"/>
      <c r="F111" s="21"/>
      <c r="G111" s="21"/>
      <c r="H111" s="21"/>
      <c r="I111" s="21"/>
      <c r="J111" s="21"/>
      <c r="K111" s="21"/>
      <c r="L111" s="21"/>
      <c r="M111" s="22" t="s">
        <v>2</v>
      </c>
      <c r="N111" s="21"/>
      <c r="O111" s="21"/>
      <c r="P111" s="21"/>
      <c r="Q111" s="39"/>
      <c r="R111" s="22">
        <f>P110-R110</f>
        <v>-1249938</v>
      </c>
      <c r="S111" s="21"/>
      <c r="T111" s="22"/>
    </row>
    <row r="112" spans="1:20" x14ac:dyDescent="0.3">
      <c r="Q112" s="40"/>
    </row>
    <row r="113" spans="10:13" ht="15" thickBot="1" x14ac:dyDescent="0.35"/>
    <row r="114" spans="10:13" ht="18.600000000000001" thickBot="1" x14ac:dyDescent="0.35">
      <c r="J114" s="51" t="s">
        <v>58</v>
      </c>
      <c r="K114" s="52"/>
      <c r="L114" s="52"/>
      <c r="M114" s="53"/>
    </row>
    <row r="115" spans="10:13" ht="18.600000000000001" thickBot="1" x14ac:dyDescent="0.35">
      <c r="J115" s="57">
        <v>45800</v>
      </c>
      <c r="K115" s="52"/>
      <c r="L115" s="52"/>
      <c r="M115" s="53"/>
    </row>
    <row r="116" spans="10:13" ht="18" x14ac:dyDescent="0.3">
      <c r="J116" s="54" t="s">
        <v>48</v>
      </c>
      <c r="K116" s="55"/>
      <c r="L116" s="54">
        <f>K110+L110+M110</f>
        <v>2517593.0649999999</v>
      </c>
      <c r="M116" s="56"/>
    </row>
    <row r="117" spans="10:13" ht="18" x14ac:dyDescent="0.3">
      <c r="J117" s="45" t="s">
        <v>63</v>
      </c>
      <c r="K117" s="47"/>
      <c r="L117" s="45">
        <f>O110</f>
        <v>1518335.9400000002</v>
      </c>
      <c r="M117" s="47"/>
    </row>
    <row r="118" spans="10:13" ht="18" x14ac:dyDescent="0.3">
      <c r="J118" s="45" t="s">
        <v>49</v>
      </c>
      <c r="K118" s="46"/>
      <c r="L118" s="45">
        <f>R111</f>
        <v>-1249938</v>
      </c>
      <c r="M118" s="47"/>
    </row>
    <row r="119" spans="10:13" ht="18.600000000000001" thickBot="1" x14ac:dyDescent="0.35">
      <c r="J119" s="48" t="s">
        <v>59</v>
      </c>
      <c r="K119" s="49"/>
      <c r="L119" s="48">
        <f>N110-P104-P98-P96-P94-P87-P85-P83-P81-P76-P74-P72-P70-P68-P65-P63-P62-P53-P51-P49-P48-P44-P42-P40-P39-P37-P32-P30-P26-P24-P22-P19-P17-P15-P13-P12-P9-P90-P29-P100</f>
        <v>132738</v>
      </c>
      <c r="M119" s="50"/>
    </row>
  </sheetData>
  <mergeCells count="10">
    <mergeCell ref="J118:K118"/>
    <mergeCell ref="L118:M118"/>
    <mergeCell ref="J119:K119"/>
    <mergeCell ref="L119:M119"/>
    <mergeCell ref="J114:M114"/>
    <mergeCell ref="J116:K116"/>
    <mergeCell ref="L116:M116"/>
    <mergeCell ref="J115:M115"/>
    <mergeCell ref="J117:K117"/>
    <mergeCell ref="L117:M117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2025-05-27T06:41:18Z</dcterms:modified>
</cp:coreProperties>
</file>