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B044C4DF-2597-495A-9564-397D8031BD72}" xr6:coauthVersionLast="36" xr6:coauthVersionMax="36" xr10:uidLastSave="{00000000-0000-0000-0000-000000000000}"/>
  <bookViews>
    <workbookView xWindow="0" yWindow="0" windowWidth="17256" windowHeight="5556" activeTab="4" xr2:uid="{00000000-000D-0000-FFFF-FFFF00000000}"/>
  </bookViews>
  <sheets>
    <sheet name="Janta Boring " sheetId="4" r:id="rId1"/>
    <sheet name="Shivalik Enterprises" sheetId="3" r:id="rId2"/>
    <sheet name="Kanav gravels" sheetId="1" r:id="rId3"/>
    <sheet name="Shree Shyamji" sheetId="7" r:id="rId4"/>
    <sheet name="JB Construction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8" l="1"/>
  <c r="R19" i="8"/>
  <c r="R20" i="8"/>
  <c r="J14" i="8"/>
  <c r="J15" i="8"/>
  <c r="J18" i="8"/>
  <c r="J19" i="8"/>
  <c r="J20" i="8"/>
  <c r="J21" i="8"/>
  <c r="M26" i="8"/>
  <c r="G21" i="8"/>
  <c r="H21" i="8" s="1"/>
  <c r="I21" i="8" s="1"/>
  <c r="M21" i="8" s="1"/>
  <c r="G20" i="8"/>
  <c r="H20" i="8" s="1"/>
  <c r="I20" i="8" s="1"/>
  <c r="G19" i="8"/>
  <c r="H19" i="8"/>
  <c r="I19" i="8" s="1"/>
  <c r="M19" i="8" s="1"/>
  <c r="G18" i="8"/>
  <c r="H18" i="8" s="1"/>
  <c r="I18" i="8" s="1"/>
  <c r="M18" i="8" s="1"/>
  <c r="R9" i="8"/>
  <c r="R10" i="8"/>
  <c r="R11" i="8"/>
  <c r="R12" i="8"/>
  <c r="R13" i="8"/>
  <c r="R14" i="8"/>
  <c r="R15" i="8"/>
  <c r="R16" i="8"/>
  <c r="R17" i="8"/>
  <c r="R8" i="8"/>
  <c r="G17" i="8"/>
  <c r="G16" i="8"/>
  <c r="G15" i="8"/>
  <c r="G14" i="8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N7" i="8"/>
  <c r="T30" i="7"/>
  <c r="G26" i="7"/>
  <c r="G25" i="7"/>
  <c r="G24" i="7"/>
  <c r="G23" i="7"/>
  <c r="G22" i="7"/>
  <c r="G21" i="7"/>
  <c r="G20" i="7"/>
  <c r="Z19" i="7"/>
  <c r="E19" i="7"/>
  <c r="G19" i="7" s="1"/>
  <c r="Z18" i="7"/>
  <c r="E18" i="7"/>
  <c r="G18" i="7" s="1"/>
  <c r="Z17" i="7"/>
  <c r="E17" i="7"/>
  <c r="G17" i="7" s="1"/>
  <c r="Z16" i="7"/>
  <c r="E16" i="7"/>
  <c r="G16" i="7" s="1"/>
  <c r="Z15" i="7"/>
  <c r="E15" i="7"/>
  <c r="G15" i="7" s="1"/>
  <c r="Z14" i="7"/>
  <c r="T14" i="7"/>
  <c r="E14" i="7"/>
  <c r="G14" i="7" s="1"/>
  <c r="Z13" i="7"/>
  <c r="T13" i="7"/>
  <c r="E13" i="7"/>
  <c r="G13" i="7" s="1"/>
  <c r="Z12" i="7"/>
  <c r="T12" i="7"/>
  <c r="E12" i="7"/>
  <c r="G12" i="7" s="1"/>
  <c r="Z11" i="7"/>
  <c r="T11" i="7"/>
  <c r="E11" i="7"/>
  <c r="G11" i="7" s="1"/>
  <c r="Z10" i="7"/>
  <c r="T10" i="7"/>
  <c r="E10" i="7"/>
  <c r="G10" i="7" s="1"/>
  <c r="Z9" i="7"/>
  <c r="T9" i="7"/>
  <c r="E9" i="7"/>
  <c r="G9" i="7" s="1"/>
  <c r="Z8" i="7"/>
  <c r="T8" i="7"/>
  <c r="E8" i="7"/>
  <c r="G8" i="7" s="1"/>
  <c r="Z7" i="7"/>
  <c r="T7" i="7"/>
  <c r="E7" i="7"/>
  <c r="G7" i="7" s="1"/>
  <c r="N6" i="7"/>
  <c r="AD5" i="7"/>
  <c r="AE5" i="7" s="1"/>
  <c r="AF5" i="7" s="1"/>
  <c r="T29" i="7" l="1"/>
  <c r="M20" i="8"/>
  <c r="J13" i="8"/>
  <c r="AA27" i="7"/>
  <c r="AA28" i="7" s="1"/>
  <c r="R27" i="8"/>
  <c r="H8" i="8"/>
  <c r="I8" i="8" s="1"/>
  <c r="M8" i="8" s="1"/>
  <c r="H9" i="8"/>
  <c r="I9" i="8" s="1"/>
  <c r="M9" i="8" s="1"/>
  <c r="H10" i="8"/>
  <c r="I10" i="8" s="1"/>
  <c r="M10" i="8" s="1"/>
  <c r="H11" i="8"/>
  <c r="I11" i="8" s="1"/>
  <c r="M11" i="8" s="1"/>
  <c r="H12" i="8"/>
  <c r="I12" i="8" s="1"/>
  <c r="M12" i="8" s="1"/>
  <c r="H13" i="8"/>
  <c r="I13" i="8" s="1"/>
  <c r="M13" i="8" s="1"/>
  <c r="H14" i="8"/>
  <c r="I14" i="8" s="1"/>
  <c r="M14" i="8" s="1"/>
  <c r="H15" i="8"/>
  <c r="I15" i="8" s="1"/>
  <c r="M15" i="8" s="1"/>
  <c r="H16" i="8"/>
  <c r="I16" i="8" s="1"/>
  <c r="M16" i="8" s="1"/>
  <c r="H17" i="8"/>
  <c r="I17" i="8" s="1"/>
  <c r="M17" i="8" s="1"/>
  <c r="K7" i="7"/>
  <c r="H7" i="7"/>
  <c r="I7" i="7" s="1"/>
  <c r="H8" i="7"/>
  <c r="I8" i="7" s="1"/>
  <c r="M8" i="7" s="1"/>
  <c r="H9" i="7"/>
  <c r="I9" i="7" s="1"/>
  <c r="M9" i="7" s="1"/>
  <c r="H10" i="7"/>
  <c r="I10" i="7" s="1"/>
  <c r="M10" i="7" s="1"/>
  <c r="H11" i="7"/>
  <c r="I11" i="7" s="1"/>
  <c r="M11" i="7" s="1"/>
  <c r="H12" i="7"/>
  <c r="I12" i="7" s="1"/>
  <c r="M12" i="7" s="1"/>
  <c r="H13" i="7"/>
  <c r="I13" i="7" s="1"/>
  <c r="M13" i="7" s="1"/>
  <c r="H14" i="7"/>
  <c r="I14" i="7" s="1"/>
  <c r="M14" i="7" s="1"/>
  <c r="H15" i="7"/>
  <c r="I15" i="7" s="1"/>
  <c r="M15" i="7" s="1"/>
  <c r="H16" i="7"/>
  <c r="I16" i="7" s="1"/>
  <c r="M16" i="7" s="1"/>
  <c r="H17" i="7"/>
  <c r="I17" i="7" s="1"/>
  <c r="M17" i="7" s="1"/>
  <c r="H18" i="7"/>
  <c r="I18" i="7" s="1"/>
  <c r="M18" i="7" s="1"/>
  <c r="H19" i="7"/>
  <c r="I19" i="7" s="1"/>
  <c r="M19" i="7" s="1"/>
  <c r="H20" i="7"/>
  <c r="I20" i="7" s="1"/>
  <c r="M20" i="7" s="1"/>
  <c r="H21" i="7"/>
  <c r="I21" i="7" s="1"/>
  <c r="M21" i="7" s="1"/>
  <c r="H22" i="7"/>
  <c r="I22" i="7" s="1"/>
  <c r="M22" i="7" s="1"/>
  <c r="H23" i="7"/>
  <c r="I23" i="7" s="1"/>
  <c r="M23" i="7" s="1"/>
  <c r="H24" i="7"/>
  <c r="I24" i="7" s="1"/>
  <c r="M24" i="7" s="1"/>
  <c r="H25" i="7"/>
  <c r="I25" i="7" s="1"/>
  <c r="M25" i="7" s="1"/>
  <c r="H26" i="7"/>
  <c r="I26" i="7" s="1"/>
  <c r="M26" i="7" s="1"/>
  <c r="M7" i="7" l="1"/>
  <c r="M27" i="8"/>
  <c r="R28" i="8" s="1"/>
  <c r="M29" i="7"/>
  <c r="T31" i="7" s="1"/>
  <c r="T30" i="4" l="1"/>
  <c r="G26" i="4"/>
  <c r="G25" i="4"/>
  <c r="G24" i="4"/>
  <c r="G23" i="4"/>
  <c r="G22" i="4"/>
  <c r="G21" i="4"/>
  <c r="G20" i="4"/>
  <c r="Z19" i="4"/>
  <c r="E19" i="4"/>
  <c r="G19" i="4" s="1"/>
  <c r="Z18" i="4"/>
  <c r="E18" i="4"/>
  <c r="G18" i="4" s="1"/>
  <c r="Z17" i="4"/>
  <c r="E17" i="4"/>
  <c r="G17" i="4" s="1"/>
  <c r="Z16" i="4"/>
  <c r="E16" i="4"/>
  <c r="G16" i="4" s="1"/>
  <c r="Z15" i="4"/>
  <c r="E15" i="4"/>
  <c r="G15" i="4" s="1"/>
  <c r="Z14" i="4"/>
  <c r="T14" i="4"/>
  <c r="E14" i="4"/>
  <c r="G14" i="4" s="1"/>
  <c r="Z13" i="4"/>
  <c r="T13" i="4"/>
  <c r="E13" i="4"/>
  <c r="G13" i="4" s="1"/>
  <c r="Z12" i="4"/>
  <c r="T12" i="4"/>
  <c r="E12" i="4"/>
  <c r="G12" i="4" s="1"/>
  <c r="Z11" i="4"/>
  <c r="T11" i="4"/>
  <c r="E11" i="4"/>
  <c r="G11" i="4" s="1"/>
  <c r="Z10" i="4"/>
  <c r="T10" i="4"/>
  <c r="E10" i="4"/>
  <c r="G10" i="4" s="1"/>
  <c r="Z9" i="4"/>
  <c r="T9" i="4"/>
  <c r="E9" i="4"/>
  <c r="G9" i="4" s="1"/>
  <c r="Z8" i="4"/>
  <c r="T8" i="4"/>
  <c r="E8" i="4"/>
  <c r="G8" i="4" s="1"/>
  <c r="Z7" i="4"/>
  <c r="AA27" i="4" s="1"/>
  <c r="AA28" i="4" s="1"/>
  <c r="T7" i="4"/>
  <c r="E7" i="4"/>
  <c r="G7" i="4" s="1"/>
  <c r="N6" i="4"/>
  <c r="AD5" i="4"/>
  <c r="AE5" i="4" s="1"/>
  <c r="AF5" i="4" s="1"/>
  <c r="T43" i="3"/>
  <c r="G43" i="3"/>
  <c r="T42" i="3"/>
  <c r="G42" i="3"/>
  <c r="T41" i="3"/>
  <c r="G41" i="3"/>
  <c r="T40" i="3"/>
  <c r="G40" i="3"/>
  <c r="T39" i="3"/>
  <c r="E39" i="3"/>
  <c r="G39" i="3" s="1"/>
  <c r="T38" i="3"/>
  <c r="E38" i="3"/>
  <c r="G38" i="3" s="1"/>
  <c r="T37" i="3"/>
  <c r="E37" i="3"/>
  <c r="G37" i="3" s="1"/>
  <c r="T36" i="3"/>
  <c r="E36" i="3"/>
  <c r="G36" i="3" s="1"/>
  <c r="T35" i="3"/>
  <c r="E35" i="3"/>
  <c r="G35" i="3" s="1"/>
  <c r="T34" i="3"/>
  <c r="E34" i="3"/>
  <c r="G34" i="3" s="1"/>
  <c r="T33" i="3"/>
  <c r="E33" i="3"/>
  <c r="G33" i="3" s="1"/>
  <c r="T32" i="3"/>
  <c r="E32" i="3"/>
  <c r="G32" i="3" s="1"/>
  <c r="T31" i="3"/>
  <c r="E31" i="3"/>
  <c r="G31" i="3" s="1"/>
  <c r="T30" i="3"/>
  <c r="E30" i="3"/>
  <c r="G30" i="3" s="1"/>
  <c r="T29" i="3"/>
  <c r="E29" i="3"/>
  <c r="G29" i="3" s="1"/>
  <c r="T28" i="3"/>
  <c r="E28" i="3"/>
  <c r="G28" i="3" s="1"/>
  <c r="T27" i="3"/>
  <c r="E27" i="3"/>
  <c r="G27" i="3" s="1"/>
  <c r="T26" i="3"/>
  <c r="E26" i="3"/>
  <c r="G26" i="3" s="1"/>
  <c r="T25" i="3"/>
  <c r="E25" i="3"/>
  <c r="G25" i="3" s="1"/>
  <c r="T24" i="3"/>
  <c r="E24" i="3"/>
  <c r="G24" i="3" s="1"/>
  <c r="T23" i="3"/>
  <c r="E23" i="3"/>
  <c r="G23" i="3" s="1"/>
  <c r="T22" i="3"/>
  <c r="E22" i="3"/>
  <c r="G22" i="3" s="1"/>
  <c r="T21" i="3"/>
  <c r="E21" i="3"/>
  <c r="G21" i="3" s="1"/>
  <c r="T20" i="3"/>
  <c r="E20" i="3"/>
  <c r="G20" i="3" s="1"/>
  <c r="T19" i="3"/>
  <c r="E19" i="3"/>
  <c r="G19" i="3" s="1"/>
  <c r="T18" i="3"/>
  <c r="E18" i="3"/>
  <c r="G18" i="3" s="1"/>
  <c r="T17" i="3"/>
  <c r="E17" i="3"/>
  <c r="G17" i="3" s="1"/>
  <c r="T16" i="3"/>
  <c r="E16" i="3"/>
  <c r="G16" i="3" s="1"/>
  <c r="T15" i="3"/>
  <c r="E15" i="3"/>
  <c r="G15" i="3" s="1"/>
  <c r="T14" i="3"/>
  <c r="E14" i="3"/>
  <c r="G14" i="3" s="1"/>
  <c r="T13" i="3"/>
  <c r="E13" i="3"/>
  <c r="G13" i="3" s="1"/>
  <c r="T12" i="3"/>
  <c r="E12" i="3"/>
  <c r="G12" i="3" s="1"/>
  <c r="E11" i="3"/>
  <c r="G11" i="3" s="1"/>
  <c r="E10" i="3"/>
  <c r="G10" i="3" s="1"/>
  <c r="T9" i="3"/>
  <c r="S10" i="3" s="1"/>
  <c r="E9" i="3"/>
  <c r="G9" i="3" s="1"/>
  <c r="E8" i="3"/>
  <c r="G8" i="3" s="1"/>
  <c r="E7" i="3"/>
  <c r="G7" i="3" s="1"/>
  <c r="N6" i="3"/>
  <c r="AD5" i="3"/>
  <c r="AE5" i="3" s="1"/>
  <c r="AF5" i="3" s="1"/>
  <c r="T29" i="4" l="1"/>
  <c r="K7" i="4"/>
  <c r="H7" i="4"/>
  <c r="I7" i="4" s="1"/>
  <c r="M7" i="4" s="1"/>
  <c r="H8" i="4"/>
  <c r="I8" i="4" s="1"/>
  <c r="M8" i="4" s="1"/>
  <c r="H9" i="4"/>
  <c r="I9" i="4" s="1"/>
  <c r="M9" i="4" s="1"/>
  <c r="H10" i="4"/>
  <c r="I10" i="4" s="1"/>
  <c r="M10" i="4" s="1"/>
  <c r="H11" i="4"/>
  <c r="I11" i="4" s="1"/>
  <c r="M11" i="4" s="1"/>
  <c r="H12" i="4"/>
  <c r="I12" i="4" s="1"/>
  <c r="M12" i="4" s="1"/>
  <c r="H13" i="4"/>
  <c r="I13" i="4" s="1"/>
  <c r="M13" i="4" s="1"/>
  <c r="H14" i="4"/>
  <c r="I14" i="4" s="1"/>
  <c r="M14" i="4" s="1"/>
  <c r="H15" i="4"/>
  <c r="I15" i="4" s="1"/>
  <c r="M15" i="4" s="1"/>
  <c r="H16" i="4"/>
  <c r="I16" i="4" s="1"/>
  <c r="M16" i="4" s="1"/>
  <c r="H17" i="4"/>
  <c r="I17" i="4" s="1"/>
  <c r="M17" i="4" s="1"/>
  <c r="H18" i="4"/>
  <c r="I18" i="4" s="1"/>
  <c r="M18" i="4" s="1"/>
  <c r="H19" i="4"/>
  <c r="I19" i="4" s="1"/>
  <c r="M19" i="4" s="1"/>
  <c r="H20" i="4"/>
  <c r="I20" i="4" s="1"/>
  <c r="M20" i="4" s="1"/>
  <c r="H21" i="4"/>
  <c r="I21" i="4" s="1"/>
  <c r="M21" i="4" s="1"/>
  <c r="H22" i="4"/>
  <c r="I22" i="4" s="1"/>
  <c r="M22" i="4" s="1"/>
  <c r="H23" i="4"/>
  <c r="I23" i="4" s="1"/>
  <c r="M23" i="4" s="1"/>
  <c r="H24" i="4"/>
  <c r="I24" i="4" s="1"/>
  <c r="M24" i="4" s="1"/>
  <c r="H25" i="4"/>
  <c r="I25" i="4" s="1"/>
  <c r="M25" i="4" s="1"/>
  <c r="H26" i="4"/>
  <c r="I26" i="4" s="1"/>
  <c r="M26" i="4" s="1"/>
  <c r="AA7" i="3"/>
  <c r="K7" i="3"/>
  <c r="H7" i="3"/>
  <c r="I7" i="3" s="1"/>
  <c r="AA8" i="3"/>
  <c r="H8" i="3"/>
  <c r="I8" i="3" s="1"/>
  <c r="M8" i="3" s="1"/>
  <c r="AA9" i="3"/>
  <c r="H9" i="3"/>
  <c r="I9" i="3" s="1"/>
  <c r="M9" i="3" s="1"/>
  <c r="AA10" i="3"/>
  <c r="H10" i="3"/>
  <c r="I10" i="3" s="1"/>
  <c r="M10" i="3" s="1"/>
  <c r="AA11" i="3"/>
  <c r="H11" i="3"/>
  <c r="I11" i="3" s="1"/>
  <c r="M11" i="3" s="1"/>
  <c r="AA12" i="3"/>
  <c r="H12" i="3"/>
  <c r="I12" i="3" s="1"/>
  <c r="M12" i="3" s="1"/>
  <c r="AA13" i="3"/>
  <c r="H13" i="3"/>
  <c r="I13" i="3" s="1"/>
  <c r="M13" i="3" s="1"/>
  <c r="AA14" i="3"/>
  <c r="H14" i="3"/>
  <c r="I14" i="3" s="1"/>
  <c r="M14" i="3" s="1"/>
  <c r="AA15" i="3"/>
  <c r="H15" i="3"/>
  <c r="I15" i="3" s="1"/>
  <c r="M15" i="3" s="1"/>
  <c r="AA16" i="3"/>
  <c r="H16" i="3"/>
  <c r="I16" i="3" s="1"/>
  <c r="M16" i="3" s="1"/>
  <c r="AA17" i="3"/>
  <c r="H17" i="3"/>
  <c r="I17" i="3" s="1"/>
  <c r="M17" i="3" s="1"/>
  <c r="AA18" i="3"/>
  <c r="H18" i="3"/>
  <c r="I18" i="3" s="1"/>
  <c r="M18" i="3" s="1"/>
  <c r="AA19" i="3"/>
  <c r="H19" i="3"/>
  <c r="I19" i="3" s="1"/>
  <c r="M19" i="3" s="1"/>
  <c r="AA20" i="3"/>
  <c r="H20" i="3"/>
  <c r="I20" i="3" s="1"/>
  <c r="M20" i="3" s="1"/>
  <c r="AA21" i="3"/>
  <c r="H21" i="3"/>
  <c r="I21" i="3" s="1"/>
  <c r="M21" i="3" s="1"/>
  <c r="AA22" i="3"/>
  <c r="H22" i="3"/>
  <c r="I22" i="3" s="1"/>
  <c r="M22" i="3" s="1"/>
  <c r="AA23" i="3"/>
  <c r="H23" i="3"/>
  <c r="I23" i="3" s="1"/>
  <c r="M23" i="3" s="1"/>
  <c r="AA24" i="3"/>
  <c r="H24" i="3"/>
  <c r="I24" i="3" s="1"/>
  <c r="M24" i="3" s="1"/>
  <c r="AA25" i="3"/>
  <c r="H25" i="3"/>
  <c r="I25" i="3" s="1"/>
  <c r="M25" i="3" s="1"/>
  <c r="AA26" i="3"/>
  <c r="H26" i="3"/>
  <c r="I26" i="3" s="1"/>
  <c r="M26" i="3" s="1"/>
  <c r="AA27" i="3"/>
  <c r="H27" i="3"/>
  <c r="I27" i="3" s="1"/>
  <c r="M27" i="3" s="1"/>
  <c r="AA28" i="3"/>
  <c r="H28" i="3"/>
  <c r="I28" i="3" s="1"/>
  <c r="M28" i="3" s="1"/>
  <c r="AA29" i="3"/>
  <c r="H29" i="3"/>
  <c r="I29" i="3" s="1"/>
  <c r="M29" i="3" s="1"/>
  <c r="AA30" i="3"/>
  <c r="H30" i="3"/>
  <c r="I30" i="3" s="1"/>
  <c r="M30" i="3" s="1"/>
  <c r="AA31" i="3"/>
  <c r="H31" i="3"/>
  <c r="I31" i="3" s="1"/>
  <c r="M31" i="3" s="1"/>
  <c r="AA32" i="3"/>
  <c r="H32" i="3"/>
  <c r="I32" i="3" s="1"/>
  <c r="M32" i="3" s="1"/>
  <c r="H33" i="3"/>
  <c r="I33" i="3" s="1"/>
  <c r="M33" i="3" s="1"/>
  <c r="H34" i="3"/>
  <c r="I34" i="3" s="1"/>
  <c r="M34" i="3" s="1"/>
  <c r="H35" i="3"/>
  <c r="I35" i="3" s="1"/>
  <c r="M35" i="3" s="1"/>
  <c r="H36" i="3"/>
  <c r="I36" i="3" s="1"/>
  <c r="M36" i="3" s="1"/>
  <c r="H37" i="3"/>
  <c r="I37" i="3" s="1"/>
  <c r="M37" i="3" s="1"/>
  <c r="H38" i="3"/>
  <c r="I38" i="3" s="1"/>
  <c r="M38" i="3" s="1"/>
  <c r="H39" i="3"/>
  <c r="I39" i="3" s="1"/>
  <c r="M39" i="3" s="1"/>
  <c r="H40" i="3"/>
  <c r="I40" i="3" s="1"/>
  <c r="M40" i="3" s="1"/>
  <c r="H41" i="3"/>
  <c r="I41" i="3" s="1"/>
  <c r="M41" i="3" s="1"/>
  <c r="H42" i="3"/>
  <c r="I42" i="3" s="1"/>
  <c r="M42" i="3" s="1"/>
  <c r="H43" i="3"/>
  <c r="I43" i="3" s="1"/>
  <c r="M43" i="3" s="1"/>
  <c r="M7" i="3" l="1"/>
  <c r="M29" i="4"/>
  <c r="T31" i="4" s="1"/>
  <c r="M47" i="3"/>
  <c r="P7" i="3"/>
  <c r="T7" i="3" s="1"/>
  <c r="P11" i="3"/>
  <c r="T11" i="3" s="1"/>
  <c r="P10" i="3"/>
  <c r="T10" i="3" s="1"/>
  <c r="P8" i="3"/>
  <c r="T8" i="3" s="1"/>
  <c r="AA45" i="3"/>
  <c r="AA46" i="3" s="1"/>
  <c r="T47" i="3" l="1"/>
  <c r="T49" i="3" s="1"/>
  <c r="N6" i="1" l="1"/>
  <c r="AA24" i="1" l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Z10" i="1" s="1"/>
  <c r="G43" i="1"/>
  <c r="H43" i="1" s="1"/>
  <c r="I43" i="1" s="1"/>
  <c r="M43" i="1" s="1"/>
  <c r="G42" i="1"/>
  <c r="H42" i="1" s="1"/>
  <c r="I42" i="1" s="1"/>
  <c r="M42" i="1" s="1"/>
  <c r="G41" i="1"/>
  <c r="H41" i="1" s="1"/>
  <c r="I41" i="1" s="1"/>
  <c r="M41" i="1" s="1"/>
  <c r="G40" i="1"/>
  <c r="H40" i="1" s="1"/>
  <c r="I40" i="1" s="1"/>
  <c r="M40" i="1" s="1"/>
  <c r="G39" i="1"/>
  <c r="H39" i="1" s="1"/>
  <c r="I39" i="1" s="1"/>
  <c r="M39" i="1" s="1"/>
  <c r="G38" i="1"/>
  <c r="H38" i="1" s="1"/>
  <c r="I38" i="1" s="1"/>
  <c r="M38" i="1" s="1"/>
  <c r="G37" i="1"/>
  <c r="H37" i="1" s="1"/>
  <c r="I37" i="1" s="1"/>
  <c r="M37" i="1" s="1"/>
  <c r="G36" i="1"/>
  <c r="H36" i="1" s="1"/>
  <c r="I36" i="1" s="1"/>
  <c r="M36" i="1" s="1"/>
  <c r="G35" i="1"/>
  <c r="H35" i="1" s="1"/>
  <c r="I35" i="1" s="1"/>
  <c r="M35" i="1" s="1"/>
  <c r="G34" i="1"/>
  <c r="H34" i="1" s="1"/>
  <c r="I34" i="1" s="1"/>
  <c r="M34" i="1" s="1"/>
  <c r="G33" i="1"/>
  <c r="H33" i="1" s="1"/>
  <c r="I33" i="1" s="1"/>
  <c r="M33" i="1" s="1"/>
  <c r="G32" i="1"/>
  <c r="H32" i="1" s="1"/>
  <c r="I32" i="1" s="1"/>
  <c r="M32" i="1" s="1"/>
  <c r="G31" i="1"/>
  <c r="H31" i="1" s="1"/>
  <c r="I31" i="1" s="1"/>
  <c r="M31" i="1" s="1"/>
  <c r="G30" i="1"/>
  <c r="H30" i="1" s="1"/>
  <c r="I30" i="1" s="1"/>
  <c r="M30" i="1" s="1"/>
  <c r="G29" i="1"/>
  <c r="H29" i="1" s="1"/>
  <c r="I29" i="1" s="1"/>
  <c r="M29" i="1" s="1"/>
  <c r="G28" i="1" l="1"/>
  <c r="H28" i="1" s="1"/>
  <c r="I28" i="1" s="1"/>
  <c r="M28" i="1" s="1"/>
  <c r="G27" i="1"/>
  <c r="H27" i="1" s="1"/>
  <c r="I27" i="1" s="1"/>
  <c r="M27" i="1" s="1"/>
  <c r="G26" i="1"/>
  <c r="H26" i="1" s="1"/>
  <c r="I26" i="1" s="1"/>
  <c r="M26" i="1" s="1"/>
  <c r="G25" i="1"/>
  <c r="H25" i="1" s="1"/>
  <c r="I25" i="1" s="1"/>
  <c r="M25" i="1" s="1"/>
  <c r="AA49" i="1" l="1"/>
  <c r="T52" i="1" l="1"/>
  <c r="AA50" i="1"/>
  <c r="G16" i="1"/>
  <c r="G15" i="1"/>
  <c r="H15" i="1" s="1"/>
  <c r="I15" i="1" s="1"/>
  <c r="M15" i="1" s="1"/>
  <c r="G14" i="1"/>
  <c r="G12" i="1"/>
  <c r="G11" i="1"/>
  <c r="H11" i="1" s="1"/>
  <c r="I11" i="1" s="1"/>
  <c r="M11" i="1" s="1"/>
  <c r="G10" i="1"/>
  <c r="G24" i="1"/>
  <c r="G23" i="1"/>
  <c r="H23" i="1" s="1"/>
  <c r="I23" i="1" s="1"/>
  <c r="M23" i="1" s="1"/>
  <c r="G21" i="1"/>
  <c r="H21" i="1" s="1"/>
  <c r="I21" i="1" s="1"/>
  <c r="M21" i="1" s="1"/>
  <c r="G20" i="1"/>
  <c r="H20" i="1" s="1"/>
  <c r="G19" i="1"/>
  <c r="H19" i="1" s="1"/>
  <c r="I19" i="1" s="1"/>
  <c r="M19" i="1" s="1"/>
  <c r="G17" i="1"/>
  <c r="H17" i="1" s="1"/>
  <c r="I17" i="1" s="1"/>
  <c r="M17" i="1" s="1"/>
  <c r="G13" i="1"/>
  <c r="H13" i="1" s="1"/>
  <c r="I13" i="1" s="1"/>
  <c r="M13" i="1" s="1"/>
  <c r="G22" i="1"/>
  <c r="H22" i="1" s="1"/>
  <c r="G18" i="1"/>
  <c r="T14" i="1"/>
  <c r="T13" i="1"/>
  <c r="T11" i="1"/>
  <c r="T10" i="1"/>
  <c r="T8" i="1"/>
  <c r="AD5" i="1"/>
  <c r="AE5" i="1" s="1"/>
  <c r="AF5" i="1" s="1"/>
  <c r="H10" i="1" l="1"/>
  <c r="I10" i="1" s="1"/>
  <c r="M10" i="1" s="1"/>
  <c r="H14" i="1"/>
  <c r="I14" i="1" s="1"/>
  <c r="M14" i="1" s="1"/>
  <c r="H18" i="1"/>
  <c r="I18" i="1" s="1"/>
  <c r="M18" i="1" s="1"/>
  <c r="H24" i="1"/>
  <c r="I24" i="1" s="1"/>
  <c r="M24" i="1" s="1"/>
  <c r="I20" i="1"/>
  <c r="M20" i="1" s="1"/>
  <c r="I22" i="1"/>
  <c r="M22" i="1" s="1"/>
  <c r="H12" i="1"/>
  <c r="I12" i="1" s="1"/>
  <c r="M12" i="1" s="1"/>
  <c r="H16" i="1"/>
  <c r="I16" i="1" s="1"/>
  <c r="M16" i="1" s="1"/>
  <c r="G8" i="1"/>
  <c r="H8" i="1" s="1"/>
  <c r="T9" i="1" l="1"/>
  <c r="G9" i="1"/>
  <c r="H9" i="1" s="1"/>
  <c r="T7" i="1"/>
  <c r="I8" i="1"/>
  <c r="G7" i="1"/>
  <c r="H7" i="1" s="1"/>
  <c r="K7" i="1" l="1"/>
  <c r="I9" i="1"/>
  <c r="M9" i="1" s="1"/>
  <c r="M8" i="1"/>
  <c r="I7" i="1" l="1"/>
  <c r="M7" i="1" s="1"/>
  <c r="M51" i="1" s="1"/>
  <c r="T51" i="1"/>
  <c r="T53" i="1" l="1"/>
</calcChain>
</file>

<file path=xl/sharedStrings.xml><?xml version="1.0" encoding="utf-8"?>
<sst xmlns="http://schemas.openxmlformats.org/spreadsheetml/2006/main" count="518" uniqueCount="176">
  <si>
    <t>Invoice Reconcilation</t>
  </si>
  <si>
    <t>Invoice Details</t>
  </si>
  <si>
    <t>Invoice Date</t>
  </si>
  <si>
    <t>Invoice No</t>
  </si>
  <si>
    <t>Basic Amt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</si>
  <si>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</si>
  <si>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</si>
  <si>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</si>
  <si>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</si>
  <si>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</si>
  <si>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</si>
  <si>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</si>
  <si>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Advance paid</t>
  </si>
  <si>
    <t>TDS Amount @ 1% on BASIC AMOUNT</t>
  </si>
  <si>
    <t xml:space="preserve">Debit </t>
  </si>
  <si>
    <t>After Debit Amt</t>
  </si>
  <si>
    <t>Shamli UP</t>
  </si>
  <si>
    <t>Pea Gravel Material Supplier</t>
  </si>
  <si>
    <t>Qty.</t>
  </si>
  <si>
    <t>Unit</t>
  </si>
  <si>
    <t>Rate</t>
  </si>
  <si>
    <t>MT</t>
  </si>
  <si>
    <t>GST 5%</t>
  </si>
  <si>
    <t>Total Amount Inclusive of GST</t>
  </si>
  <si>
    <t>Pea Gravel (Bajri 6mm) Sanaala Village</t>
  </si>
  <si>
    <t>5% GST</t>
  </si>
  <si>
    <t>Pea Gravel (Bajri 6mm) Khanpur Village</t>
  </si>
  <si>
    <t>Pea Gravel (Bajri 6mm) Rasoolpur Village</t>
  </si>
  <si>
    <t>Pea Gravel (Bajri 6mm) Aadampur Village</t>
  </si>
  <si>
    <t>Pea Gravel (Bajri 6mm) Khedagadai Village</t>
  </si>
  <si>
    <t>Pea Gravel (Bajri 6mm) Jafarpur Umerpur Village</t>
  </si>
  <si>
    <t>Pea Gravel (Bajri 6mm) Umerpur Village</t>
  </si>
  <si>
    <t>Pea Gravel (Bajri 6mm) Lohripur Village</t>
  </si>
  <si>
    <t>Balance Qty. -</t>
  </si>
  <si>
    <t>Pea Gravel (Bajri 6mm) Gandharv Village</t>
  </si>
  <si>
    <t>Pea Gravel (Bajri 6mm) Rajhar Village</t>
  </si>
  <si>
    <t>Pea Gravel (Bajri 6mm) Kedki Village</t>
  </si>
  <si>
    <t>Pea Gravel (Bajri 6mm) Kalamajra Village</t>
  </si>
  <si>
    <t>TDS (1%)</t>
  </si>
  <si>
    <t>Kanav Gravels</t>
  </si>
  <si>
    <t>P.O. No. : SHAMLI/KANAV/GRAVEL/18894/2021-22 Date : 11-02-2022</t>
  </si>
  <si>
    <t>21-02-2022 NEFT/AXISP00264592652/RIUP0103/KANAV GARVELS 899640.00</t>
  </si>
  <si>
    <t>RIUP0103</t>
  </si>
  <si>
    <t>Total Payable Amount Rs. -</t>
  </si>
  <si>
    <t>Total Paid Amount Rs. -</t>
  </si>
  <si>
    <t>Balance Payable Amount Rs. -</t>
  </si>
  <si>
    <t>30-06-2022 NEFT/AXISP00299295557/RIUP22/276/KANAV GARVELS 279081.00</t>
  </si>
  <si>
    <t>RIUP22/276</t>
  </si>
  <si>
    <t>02-08-2022 NEFT/AXISP00308594191/RIUP22/316/KANAV GARVELS 81923.00</t>
  </si>
  <si>
    <t>02-08-2022 NEFT/AXISP00308594190/RIUP22/317/KANAV GARVELS 231352.00</t>
  </si>
  <si>
    <t>RIUP22/316</t>
  </si>
  <si>
    <t>RIUP22/317</t>
  </si>
  <si>
    <t>GRN No.</t>
  </si>
  <si>
    <t>02-08-2022 NEFT/AXISP00308594192/RIUP22/427/KANAV GARVELS 158634.00</t>
  </si>
  <si>
    <t>RIUP22/427</t>
  </si>
  <si>
    <t>2864/2021-22</t>
  </si>
  <si>
    <t>2976/2021-22</t>
  </si>
  <si>
    <t>2868/2021-22</t>
  </si>
  <si>
    <t>194/22-23</t>
  </si>
  <si>
    <t>176/22-23</t>
  </si>
  <si>
    <t>3239/21-22</t>
  </si>
  <si>
    <t>105/22-23</t>
  </si>
  <si>
    <t>164/22-23</t>
  </si>
  <si>
    <t>147/22-23</t>
  </si>
  <si>
    <t>152/22-23</t>
  </si>
  <si>
    <t>36/22-23</t>
  </si>
  <si>
    <t>38/22-23</t>
  </si>
  <si>
    <t>3260/21-22</t>
  </si>
  <si>
    <t>3261/21-22</t>
  </si>
  <si>
    <t>3134/21-22</t>
  </si>
  <si>
    <t>3213/21-22</t>
  </si>
  <si>
    <t>3110/21-22</t>
  </si>
  <si>
    <t>3017/21-22</t>
  </si>
  <si>
    <t>646/22-23</t>
  </si>
  <si>
    <t>613/22-23</t>
  </si>
  <si>
    <t>625/22-23</t>
  </si>
  <si>
    <t>645/22-23</t>
  </si>
  <si>
    <t>693/22-23</t>
  </si>
  <si>
    <t>683/22-23</t>
  </si>
  <si>
    <t>739/22-23</t>
  </si>
  <si>
    <t>749/22-23</t>
  </si>
  <si>
    <t>733/22-23</t>
  </si>
  <si>
    <t>734/22-23</t>
  </si>
  <si>
    <t>277/22-23</t>
  </si>
  <si>
    <t>2992/21-22</t>
  </si>
  <si>
    <t>329/22-23</t>
  </si>
  <si>
    <t>875/22-23</t>
  </si>
  <si>
    <t>829/22-23</t>
  </si>
  <si>
    <t>1012/22-23</t>
  </si>
  <si>
    <t>1026/22-23</t>
  </si>
  <si>
    <t>1017/22-23</t>
  </si>
  <si>
    <t>1016/22-23</t>
  </si>
  <si>
    <t>20-09-2022 NEFT/AXISP00321228702/RIUP22/774/KANAV GARVELS 195451.00</t>
  </si>
  <si>
    <t>RIUP22/774</t>
  </si>
  <si>
    <t>Shivalik Enterprises</t>
  </si>
  <si>
    <t>RIUP00101</t>
  </si>
  <si>
    <t>18-05-2022 NEFT/AXISP00289197504/RIUP00101/SHIVALIK ENTERPRI 548468.00</t>
  </si>
  <si>
    <t>RIUP2223/122</t>
  </si>
  <si>
    <t>27-05-2022 NEFT/AXISP00290998790/RIUP2223/122/SHIVALIK ENTER 127108.00</t>
  </si>
  <si>
    <t>RIUP22/169</t>
  </si>
  <si>
    <t>15-06-2022 NEFT/AXISP00296202190/RIUP22/169/SHIVALIK ENTERPR 300000.00</t>
  </si>
  <si>
    <t>RIUP22/318</t>
  </si>
  <si>
    <t>11-07-2022 NEFT/AXISP00302944576/RIUP22/318/SHIVALIK ENTERPR 94669.00</t>
  </si>
  <si>
    <t>RIUP22/319</t>
  </si>
  <si>
    <t>11-07-2022 NEFT/AXISP00302944575/RIUP22/319/SHIVALIK ENTERPR 764928.00</t>
  </si>
  <si>
    <t>Janta Boing Engineering Works</t>
  </si>
  <si>
    <t>P.O. No. : SHAMLI/JANTA/PEA GRAVEL/19331/2022-23 Date : 11-06-2022</t>
  </si>
  <si>
    <t>TDS (10%)</t>
  </si>
  <si>
    <t>RIUP22/217</t>
  </si>
  <si>
    <t>16-06-2022 NEFT/AXISP00296499307/RIUP22/217/JANTA BORING EN 196189.00</t>
  </si>
  <si>
    <t>RIUP22/241</t>
  </si>
  <si>
    <t>22-06-2022 NEFT/AXISP00297763462/RIUP22/241/JANTA BORING EN 123132.00</t>
  </si>
  <si>
    <t>RIUP22/283</t>
  </si>
  <si>
    <t>05-07-2022 NEFT/AXISP00301233466/RIUP22/283/JANTA BORING EN 258330.00</t>
  </si>
  <si>
    <t>RIUP22/346</t>
  </si>
  <si>
    <t>18-07-2022 NEFT/AXISP00304601942/RIUP22/346/JANTABORING EN 224980.00</t>
  </si>
  <si>
    <t>RIUP22/398</t>
  </si>
  <si>
    <t>27-07-2022 NEFT/AXISP00306370382/RIUP22/398/JANTA BORING EN 202751.00</t>
  </si>
  <si>
    <t>RIUP22/474</t>
  </si>
  <si>
    <t>09-08-2022 NEFT/AXISP00310655293/RIUP22/474/JANTA BORING EN 203208.00</t>
  </si>
  <si>
    <t>RIUP22/570</t>
  </si>
  <si>
    <t>29-08-2022 NEFT/AXISP00314711517/RIUP22/570/JANTA BORING EN 65315.00</t>
  </si>
  <si>
    <t>Pea Gravel ( 1.6 mm to 4.80 mm )</t>
  </si>
  <si>
    <t xml:space="preserve"> 2-Aug-22</t>
  </si>
  <si>
    <t>All Village, Shamli</t>
  </si>
  <si>
    <t>RIUP22/632</t>
  </si>
  <si>
    <t>RIUP22/905</t>
  </si>
  <si>
    <t>RIUP22/997</t>
  </si>
  <si>
    <t>RIUP22/1351</t>
  </si>
  <si>
    <t>RIUP22/1879</t>
  </si>
  <si>
    <t>RIUP22/2388</t>
  </si>
  <si>
    <t>SPUP23/0138</t>
  </si>
  <si>
    <t>SPUP23/0315</t>
  </si>
  <si>
    <t>RIUP23/566</t>
  </si>
  <si>
    <t>03-09-2022 NEFT/AXISP00317096341/RIUP22/632/JB CONSTRUCTION 1580157.00</t>
  </si>
  <si>
    <t>06-10-2022 NEFT/AXISP00325907757/RIUP22/905/JB CONSTRUCTION 1414677.00</t>
  </si>
  <si>
    <t>15-10-2022 NEFT/AXISP00328688446/RIUP22/997/JB CONSTRUCTION 509352.00</t>
  </si>
  <si>
    <t>29-11-2022 NEFT/AXISP00341027431/RIUP22/1351/JB CONSTRUCTION 1178537.00</t>
  </si>
  <si>
    <t>17-01-2023 NEFT/AXISP00355565995/RIUP22/1879/JB CONSTRUCTION 1220727.00</t>
  </si>
  <si>
    <t>01-03-2023 NEFT/AXISP00367214841/RIUP22/2388/JB CONSTRUCTION 1126961.00</t>
  </si>
  <si>
    <t>19-04-2023 19-04-2023 NEFT/AXISP00382928303/SPUP23/0138/JB CONSTRUCTION 771938.00</t>
  </si>
  <si>
    <t>03-05-2023 NEFT/AXISP00386899991/SPUP23/0315/JB CONSTRUCTION 1376490.00</t>
  </si>
  <si>
    <t>09-06-2023 NEFT/AXISP00397387015/RIUP23/566/JB CONSTRUCTION 1502196.00</t>
  </si>
  <si>
    <t>25-07-2023 NEFT/AXISP00409091577/RIUP23/1208/JB CONSTRUCTION 1475551.00</t>
  </si>
  <si>
    <t>28-09-2023 NEFT/AXISP00428160235/RIUP23/2345/JB CONSTRUCTION/PUNB0090010 1000000.00</t>
  </si>
  <si>
    <t>11-10-2023 NEFT/AXISP00433203139/RIUP23/2624/JB CONSTRUCTION/PUNB0090010 286108.00</t>
  </si>
  <si>
    <t>Total</t>
  </si>
  <si>
    <t>RIUP23/1208</t>
  </si>
  <si>
    <t>RIUP23/2345</t>
  </si>
  <si>
    <t>RIUP23/2624</t>
  </si>
  <si>
    <t>Difference</t>
  </si>
  <si>
    <t>30-06-2023 NEFT/AXISP00402149244/RIUP23/948/JB CONSTRUCTION 2588698.00</t>
  </si>
  <si>
    <t>28-11-2023 NEFT/AXISP00446984646/RIUP23/2582/JB CONSTRUCTION/PUNB0090010 1000000.00</t>
  </si>
  <si>
    <t>18-12-2023 NEFT/AXISP00453696667/RIUP23/3825/JB CONSTRUCTION/PUNB0090010 ₹ 3,00,000.00</t>
  </si>
  <si>
    <t>16-02-2024 NEFT/AXISP00472105182/RIUP23/4731/JB CONSTRUCTION/PUNB0090010 400000.00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</si>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</sst>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.000_);_(* \(#,##0.000\);_(* &quot;-&quot;??_);_(@_)"/>
    <numFmt numFmtId="167" formatCode="mm/d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0"/>
      <name val="Comic Sans MS"/>
      <family val="4"/>
    </font>
    <font>
      <sz val="11"/>
      <color theme="3" tint="0.3999755851924192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b/>
      <sz val="11"/>
      <name val="Comic Sans MS"/>
      <family val="4"/>
    </font>
    <font>
      <sz val="11"/>
      <color rgb="FF333333"/>
      <name val="Verdana"/>
      <family val="2"/>
    </font>
    <font>
      <sz val="11"/>
      <color theme="0"/>
      <name val="Comic Sans MS"/>
      <family val="4"/>
    </font>
    <font>
      <sz val="9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8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9" fontId="3" fillId="2" borderId="11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6" fillId="2" borderId="31" xfId="1" applyNumberFormat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35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43" fontId="0" fillId="2" borderId="0" xfId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43" fontId="7" fillId="2" borderId="0" xfId="1" applyFont="1" applyFill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0" fillId="2" borderId="0" xfId="1" applyFont="1" applyFill="1" applyBorder="1" applyAlignment="1">
      <alignment vertical="center"/>
    </xf>
    <xf numFmtId="43" fontId="0" fillId="0" borderId="13" xfId="1" applyFont="1" applyBorder="1" applyAlignment="1">
      <alignment vertical="center"/>
    </xf>
    <xf numFmtId="0" fontId="0" fillId="0" borderId="21" xfId="0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13" xfId="1" applyNumberFormat="1" applyFont="1" applyBorder="1" applyAlignment="1">
      <alignment vertical="center"/>
    </xf>
    <xf numFmtId="166" fontId="0" fillId="0" borderId="13" xfId="1" applyNumberFormat="1" applyFont="1" applyFill="1" applyBorder="1" applyAlignment="1">
      <alignment vertical="center"/>
    </xf>
    <xf numFmtId="43" fontId="0" fillId="0" borderId="0" xfId="1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 wrapText="1"/>
    </xf>
    <xf numFmtId="15" fontId="8" fillId="2" borderId="20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164" fontId="8" fillId="2" borderId="34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8" fillId="2" borderId="28" xfId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164" fontId="8" fillId="2" borderId="29" xfId="1" applyNumberFormat="1" applyFont="1" applyFill="1" applyBorder="1" applyAlignment="1">
      <alignment vertical="center"/>
    </xf>
    <xf numFmtId="164" fontId="8" fillId="2" borderId="6" xfId="1" applyNumberFormat="1" applyFont="1" applyFill="1" applyBorder="1" applyAlignment="1">
      <alignment vertical="center"/>
    </xf>
    <xf numFmtId="164" fontId="8" fillId="2" borderId="9" xfId="1" applyNumberFormat="1" applyFont="1" applyFill="1" applyBorder="1" applyAlignment="1">
      <alignment vertical="center"/>
    </xf>
    <xf numFmtId="164" fontId="8" fillId="2" borderId="8" xfId="1" applyNumberFormat="1" applyFont="1" applyFill="1" applyBorder="1" applyAlignment="1">
      <alignment vertical="center"/>
    </xf>
    <xf numFmtId="164" fontId="8" fillId="0" borderId="8" xfId="1" applyNumberFormat="1" applyFont="1" applyFill="1" applyBorder="1" applyAlignment="1">
      <alignment vertical="center"/>
    </xf>
    <xf numFmtId="164" fontId="8" fillId="2" borderId="21" xfId="1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8" fillId="2" borderId="13" xfId="1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164" fontId="8" fillId="0" borderId="11" xfId="1" applyNumberFormat="1" applyFont="1" applyFill="1" applyBorder="1" applyAlignment="1">
      <alignment horizontal="center" vertical="center"/>
    </xf>
    <xf numFmtId="164" fontId="8" fillId="2" borderId="13" xfId="1" applyNumberFormat="1" applyFont="1" applyFill="1" applyBorder="1" applyAlignment="1">
      <alignment vertical="center"/>
    </xf>
    <xf numFmtId="164" fontId="8" fillId="2" borderId="25" xfId="1" applyNumberFormat="1" applyFont="1" applyFill="1" applyBorder="1" applyAlignment="1">
      <alignment vertical="center"/>
    </xf>
    <xf numFmtId="164" fontId="8" fillId="2" borderId="36" xfId="1" applyNumberFormat="1" applyFont="1" applyFill="1" applyBorder="1" applyAlignment="1">
      <alignment vertical="center"/>
    </xf>
    <xf numFmtId="164" fontId="8" fillId="2" borderId="37" xfId="1" applyNumberFormat="1" applyFont="1" applyFill="1" applyBorder="1" applyAlignment="1">
      <alignment vertical="center"/>
    </xf>
    <xf numFmtId="164" fontId="8" fillId="2" borderId="38" xfId="1" applyNumberFormat="1" applyFont="1" applyFill="1" applyBorder="1" applyAlignment="1">
      <alignment vertical="center"/>
    </xf>
    <xf numFmtId="165" fontId="9" fillId="0" borderId="13" xfId="1" applyNumberFormat="1" applyFont="1" applyBorder="1" applyAlignment="1">
      <alignment horizontal="center" vertical="center"/>
    </xf>
    <xf numFmtId="164" fontId="8" fillId="2" borderId="17" xfId="1" applyNumberFormat="1" applyFont="1" applyFill="1" applyBorder="1" applyAlignment="1">
      <alignment vertical="center"/>
    </xf>
    <xf numFmtId="164" fontId="8" fillId="2" borderId="34" xfId="1" applyNumberFormat="1" applyFont="1" applyFill="1" applyBorder="1" applyAlignment="1">
      <alignment vertical="center"/>
    </xf>
    <xf numFmtId="164" fontId="8" fillId="2" borderId="11" xfId="1" applyNumberFormat="1" applyFont="1" applyFill="1" applyBorder="1" applyAlignment="1">
      <alignment vertical="center"/>
    </xf>
    <xf numFmtId="164" fontId="8" fillId="2" borderId="21" xfId="1" applyNumberFormat="1" applyFont="1" applyFill="1" applyBorder="1" applyAlignment="1">
      <alignment vertical="center"/>
    </xf>
    <xf numFmtId="164" fontId="8" fillId="2" borderId="28" xfId="1" applyNumberFormat="1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164" fontId="8" fillId="2" borderId="24" xfId="1" applyNumberFormat="1" applyFont="1" applyFill="1" applyBorder="1" applyAlignment="1">
      <alignment horizontal="right" vertical="center"/>
    </xf>
    <xf numFmtId="164" fontId="8" fillId="2" borderId="32" xfId="1" applyNumberFormat="1" applyFont="1" applyFill="1" applyBorder="1" applyAlignment="1">
      <alignment vertical="center"/>
    </xf>
    <xf numFmtId="164" fontId="8" fillId="2" borderId="19" xfId="1" applyNumberFormat="1" applyFont="1" applyFill="1" applyBorder="1" applyAlignment="1">
      <alignment vertical="center"/>
    </xf>
    <xf numFmtId="164" fontId="8" fillId="2" borderId="23" xfId="1" applyNumberFormat="1" applyFont="1" applyFill="1" applyBorder="1" applyAlignment="1">
      <alignment vertical="center"/>
    </xf>
    <xf numFmtId="164" fontId="8" fillId="2" borderId="30" xfId="1" applyNumberFormat="1" applyFont="1" applyFill="1" applyBorder="1" applyAlignment="1">
      <alignment vertical="center"/>
    </xf>
    <xf numFmtId="164" fontId="8" fillId="2" borderId="15" xfId="1" applyNumberFormat="1" applyFont="1" applyFill="1" applyBorder="1" applyAlignment="1">
      <alignment vertical="center"/>
    </xf>
    <xf numFmtId="164" fontId="8" fillId="2" borderId="26" xfId="1" applyNumberFormat="1" applyFont="1" applyFill="1" applyBorder="1" applyAlignment="1">
      <alignment vertical="center"/>
    </xf>
    <xf numFmtId="164" fontId="10" fillId="2" borderId="6" xfId="1" applyNumberFormat="1" applyFont="1" applyFill="1" applyBorder="1" applyAlignment="1">
      <alignment vertical="center"/>
    </xf>
    <xf numFmtId="164" fontId="10" fillId="2" borderId="9" xfId="1" applyNumberFormat="1" applyFont="1" applyFill="1" applyBorder="1" applyAlignment="1">
      <alignment vertical="center"/>
    </xf>
    <xf numFmtId="164" fontId="11" fillId="2" borderId="9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12" xfId="1" applyNumberFormat="1" applyFont="1" applyFill="1" applyBorder="1" applyAlignment="1">
      <alignment vertical="center"/>
    </xf>
    <xf numFmtId="164" fontId="3" fillId="3" borderId="20" xfId="1" applyNumberFormat="1" applyFont="1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164" fontId="3" fillId="3" borderId="34" xfId="1" applyNumberFormat="1" applyFont="1" applyFill="1" applyBorder="1" applyAlignment="1">
      <alignment vertical="center"/>
    </xf>
    <xf numFmtId="164" fontId="3" fillId="3" borderId="33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164" fontId="3" fillId="3" borderId="11" xfId="1" applyNumberFormat="1" applyFont="1" applyFill="1" applyBorder="1" applyAlignment="1">
      <alignment vertical="center"/>
    </xf>
    <xf numFmtId="9" fontId="3" fillId="3" borderId="11" xfId="1" applyNumberFormat="1" applyFont="1" applyFill="1" applyBorder="1" applyAlignment="1">
      <alignment vertical="center"/>
    </xf>
    <xf numFmtId="9" fontId="3" fillId="3" borderId="28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43" fontId="0" fillId="3" borderId="0" xfId="1" applyFont="1" applyFill="1" applyAlignment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164" fontId="8" fillId="2" borderId="17" xfId="1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164" fontId="0" fillId="2" borderId="13" xfId="1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64" fontId="12" fillId="2" borderId="13" xfId="1" applyNumberFormat="1" applyFont="1" applyFill="1" applyBorder="1" applyAlignment="1">
      <alignment vertical="center"/>
    </xf>
    <xf numFmtId="164" fontId="13" fillId="2" borderId="13" xfId="1" applyNumberFormat="1" applyFont="1" applyFill="1" applyBorder="1" applyAlignment="1">
      <alignment horizontal="center" vertical="center"/>
    </xf>
    <xf numFmtId="164" fontId="13" fillId="2" borderId="13" xfId="1" applyNumberFormat="1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0" fillId="2" borderId="37" xfId="0" applyFont="1" applyFill="1" applyBorder="1" applyAlignment="1">
      <alignment vertical="center"/>
    </xf>
    <xf numFmtId="0" fontId="14" fillId="2" borderId="37" xfId="0" applyFont="1" applyFill="1" applyBorder="1" applyAlignment="1">
      <alignment vertical="center"/>
    </xf>
    <xf numFmtId="164" fontId="14" fillId="2" borderId="37" xfId="1" applyNumberFormat="1" applyFont="1" applyFill="1" applyBorder="1" applyAlignment="1">
      <alignment vertical="center"/>
    </xf>
    <xf numFmtId="0" fontId="15" fillId="2" borderId="37" xfId="0" applyFont="1" applyFill="1" applyBorder="1" applyAlignment="1">
      <alignment vertical="center"/>
    </xf>
    <xf numFmtId="0" fontId="0" fillId="0" borderId="13" xfId="0" applyFont="1" applyBorder="1"/>
    <xf numFmtId="0" fontId="0" fillId="2" borderId="35" xfId="0" applyFont="1" applyFill="1" applyBorder="1" applyAlignment="1">
      <alignment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 wrapText="1"/>
    </xf>
    <xf numFmtId="164" fontId="16" fillId="2" borderId="39" xfId="1" applyNumberFormat="1" applyFont="1" applyFill="1" applyBorder="1" applyAlignment="1">
      <alignment horizontal="center" vertical="center"/>
    </xf>
    <xf numFmtId="164" fontId="13" fillId="2" borderId="39" xfId="1" applyNumberFormat="1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164" fontId="14" fillId="2" borderId="13" xfId="1" applyNumberFormat="1" applyFont="1" applyFill="1" applyBorder="1" applyAlignment="1">
      <alignment vertical="center"/>
    </xf>
    <xf numFmtId="9" fontId="14" fillId="2" borderId="13" xfId="1" applyNumberFormat="1" applyFont="1" applyFill="1" applyBorder="1" applyAlignment="1">
      <alignment vertical="center"/>
    </xf>
    <xf numFmtId="164" fontId="14" fillId="2" borderId="25" xfId="1" applyNumberFormat="1" applyFont="1" applyFill="1" applyBorder="1" applyAlignment="1">
      <alignment vertical="center"/>
    </xf>
    <xf numFmtId="164" fontId="14" fillId="2" borderId="29" xfId="1" applyNumberFormat="1" applyFont="1" applyFill="1" applyBorder="1" applyAlignment="1">
      <alignment vertical="center"/>
    </xf>
    <xf numFmtId="43" fontId="0" fillId="2" borderId="13" xfId="1" applyFont="1" applyFill="1" applyBorder="1" applyAlignment="1">
      <alignment vertical="center"/>
    </xf>
    <xf numFmtId="0" fontId="0" fillId="3" borderId="29" xfId="0" applyFont="1" applyFill="1" applyBorder="1" applyAlignment="1">
      <alignment vertical="center"/>
    </xf>
    <xf numFmtId="164" fontId="14" fillId="3" borderId="13" xfId="1" applyNumberFormat="1" applyFont="1" applyFill="1" applyBorder="1" applyAlignment="1">
      <alignment vertical="center"/>
    </xf>
    <xf numFmtId="9" fontId="14" fillId="3" borderId="13" xfId="1" applyNumberFormat="1" applyFont="1" applyFill="1" applyBorder="1" applyAlignment="1">
      <alignment vertical="center"/>
    </xf>
    <xf numFmtId="164" fontId="14" fillId="3" borderId="25" xfId="1" applyNumberFormat="1" applyFont="1" applyFill="1" applyBorder="1" applyAlignment="1">
      <alignment vertical="center"/>
    </xf>
    <xf numFmtId="0" fontId="13" fillId="4" borderId="16" xfId="0" applyFont="1" applyFill="1" applyBorder="1" applyAlignment="1">
      <alignment horizontal="center" vertical="center" wrapText="1"/>
    </xf>
    <xf numFmtId="164" fontId="14" fillId="3" borderId="29" xfId="1" applyNumberFormat="1" applyFont="1" applyFill="1" applyBorder="1" applyAlignment="1">
      <alignment vertical="center"/>
    </xf>
    <xf numFmtId="0" fontId="0" fillId="3" borderId="17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43" fontId="0" fillId="3" borderId="13" xfId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 wrapText="1"/>
    </xf>
    <xf numFmtId="15" fontId="14" fillId="2" borderId="13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0" fillId="0" borderId="25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15" fontId="14" fillId="2" borderId="13" xfId="1" applyNumberFormat="1" applyFont="1" applyFill="1" applyBorder="1" applyAlignment="1">
      <alignment vertical="center"/>
    </xf>
    <xf numFmtId="165" fontId="14" fillId="2" borderId="13" xfId="1" applyNumberFormat="1" applyFont="1" applyFill="1" applyBorder="1" applyAlignment="1">
      <alignment vertical="center"/>
    </xf>
    <xf numFmtId="164" fontId="14" fillId="2" borderId="13" xfId="1" applyNumberFormat="1" applyFont="1" applyFill="1" applyBorder="1" applyAlignment="1">
      <alignment horizontal="right" vertical="center"/>
    </xf>
    <xf numFmtId="164" fontId="14" fillId="2" borderId="16" xfId="1" applyNumberFormat="1" applyFont="1" applyFill="1" applyBorder="1" applyAlignment="1">
      <alignment vertical="center"/>
    </xf>
    <xf numFmtId="164" fontId="0" fillId="2" borderId="13" xfId="0" applyNumberFormat="1" applyFont="1" applyFill="1" applyBorder="1" applyAlignment="1">
      <alignment vertical="center"/>
    </xf>
    <xf numFmtId="164" fontId="14" fillId="2" borderId="36" xfId="1" applyNumberFormat="1" applyFont="1" applyFill="1" applyBorder="1" applyAlignment="1">
      <alignment vertical="center"/>
    </xf>
    <xf numFmtId="164" fontId="14" fillId="2" borderId="38" xfId="1" applyNumberFormat="1" applyFont="1" applyFill="1" applyBorder="1" applyAlignment="1">
      <alignment vertical="center"/>
    </xf>
    <xf numFmtId="0" fontId="7" fillId="2" borderId="13" xfId="0" applyFont="1" applyFill="1" applyBorder="1" applyAlignment="1">
      <alignment horizontal="right" vertical="center"/>
    </xf>
    <xf numFmtId="164" fontId="7" fillId="2" borderId="13" xfId="0" applyNumberFormat="1" applyFont="1" applyFill="1" applyBorder="1" applyAlignment="1">
      <alignment vertical="center"/>
    </xf>
    <xf numFmtId="43" fontId="7" fillId="2" borderId="13" xfId="1" applyFont="1" applyFill="1" applyBorder="1" applyAlignment="1">
      <alignment vertical="center"/>
    </xf>
    <xf numFmtId="164" fontId="14" fillId="2" borderId="1" xfId="1" applyNumberFormat="1" applyFont="1" applyFill="1" applyBorder="1" applyAlignment="1">
      <alignment vertical="center"/>
    </xf>
    <xf numFmtId="164" fontId="14" fillId="2" borderId="41" xfId="1" applyNumberFormat="1" applyFont="1" applyFill="1" applyBorder="1" applyAlignment="1">
      <alignment vertical="center"/>
    </xf>
    <xf numFmtId="164" fontId="13" fillId="2" borderId="42" xfId="1" applyNumberFormat="1" applyFont="1" applyFill="1" applyBorder="1" applyAlignment="1">
      <alignment vertical="center"/>
    </xf>
    <xf numFmtId="164" fontId="13" fillId="2" borderId="41" xfId="1" applyNumberFormat="1" applyFont="1" applyFill="1" applyBorder="1" applyAlignment="1">
      <alignment vertical="center"/>
    </xf>
    <xf numFmtId="164" fontId="14" fillId="2" borderId="42" xfId="1" applyNumberFormat="1" applyFont="1" applyFill="1" applyBorder="1" applyAlignment="1">
      <alignment vertical="center"/>
    </xf>
    <xf numFmtId="164" fontId="14" fillId="2" borderId="43" xfId="1" applyNumberFormat="1" applyFont="1" applyFill="1" applyBorder="1" applyAlignment="1">
      <alignment vertical="center"/>
    </xf>
    <xf numFmtId="164" fontId="14" fillId="2" borderId="44" xfId="1" applyNumberFormat="1" applyFont="1" applyFill="1" applyBorder="1" applyAlignment="1">
      <alignment vertical="center"/>
    </xf>
    <xf numFmtId="164" fontId="14" fillId="2" borderId="45" xfId="1" applyNumberFormat="1" applyFont="1" applyFill="1" applyBorder="1" applyAlignment="1">
      <alignment vertical="center"/>
    </xf>
    <xf numFmtId="164" fontId="14" fillId="2" borderId="46" xfId="1" applyNumberFormat="1" applyFont="1" applyFill="1" applyBorder="1" applyAlignment="1">
      <alignment vertical="center"/>
    </xf>
    <xf numFmtId="164" fontId="14" fillId="2" borderId="47" xfId="1" applyNumberFormat="1" applyFont="1" applyFill="1" applyBorder="1" applyAlignment="1">
      <alignment vertical="center"/>
    </xf>
    <xf numFmtId="164" fontId="18" fillId="2" borderId="47" xfId="1" applyNumberFormat="1" applyFont="1" applyFill="1" applyBorder="1" applyAlignment="1">
      <alignment vertical="center"/>
    </xf>
    <xf numFmtId="164" fontId="14" fillId="2" borderId="48" xfId="1" applyNumberFormat="1" applyFont="1" applyFill="1" applyBorder="1" applyAlignment="1">
      <alignment vertical="center"/>
    </xf>
    <xf numFmtId="164" fontId="14" fillId="2" borderId="6" xfId="1" applyNumberFormat="1" applyFont="1" applyFill="1" applyBorder="1" applyAlignment="1">
      <alignment vertical="center"/>
    </xf>
    <xf numFmtId="164" fontId="14" fillId="2" borderId="49" xfId="1" applyNumberFormat="1" applyFont="1" applyFill="1" applyBorder="1" applyAlignment="1">
      <alignment vertical="center"/>
    </xf>
    <xf numFmtId="164" fontId="14" fillId="2" borderId="0" xfId="1" applyNumberFormat="1" applyFont="1" applyFill="1" applyBorder="1" applyAlignment="1">
      <alignment vertical="center"/>
    </xf>
    <xf numFmtId="0" fontId="0" fillId="2" borderId="35" xfId="0" applyFont="1" applyFill="1" applyBorder="1" applyAlignment="1">
      <alignment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/>
    </xf>
    <xf numFmtId="164" fontId="19" fillId="2" borderId="18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64" fontId="0" fillId="2" borderId="5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7" xfId="0" applyBorder="1"/>
    <xf numFmtId="0" fontId="7" fillId="0" borderId="4" xfId="0" applyFont="1" applyBorder="1"/>
    <xf numFmtId="164" fontId="0" fillId="0" borderId="4" xfId="0" applyNumberFormat="1" applyBorder="1"/>
    <xf numFmtId="0" fontId="19" fillId="2" borderId="20" xfId="0" applyFont="1" applyFill="1" applyBorder="1" applyAlignment="1">
      <alignment horizontal="center" vertical="center" wrapText="1"/>
    </xf>
    <xf numFmtId="164" fontId="14" fillId="3" borderId="49" xfId="1" applyNumberFormat="1" applyFont="1" applyFill="1" applyBorder="1" applyAlignment="1">
      <alignment vertical="center"/>
    </xf>
    <xf numFmtId="164" fontId="3" fillId="2" borderId="50" xfId="1" applyNumberFormat="1" applyFont="1" applyFill="1" applyBorder="1" applyAlignment="1">
      <alignment vertical="center"/>
    </xf>
    <xf numFmtId="164" fontId="14" fillId="2" borderId="18" xfId="1" applyNumberFormat="1" applyFont="1" applyFill="1" applyBorder="1" applyAlignment="1">
      <alignment vertical="center"/>
    </xf>
    <xf numFmtId="164" fontId="14" fillId="3" borderId="18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7" fillId="0" borderId="0" xfId="0" applyFont="1"/>
    <xf numFmtId="0" fontId="0" fillId="0" borderId="0" xfId="0" applyFont="1"/>
    <xf numFmtId="0" fontId="7" fillId="2" borderId="51" xfId="0" applyFont="1" applyFill="1" applyBorder="1" applyAlignment="1">
      <alignment vertical="center"/>
    </xf>
    <xf numFmtId="0" fontId="7" fillId="2" borderId="51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/>
    </xf>
    <xf numFmtId="164" fontId="21" fillId="2" borderId="51" xfId="1" applyNumberFormat="1" applyFont="1" applyFill="1" applyBorder="1" applyAlignment="1">
      <alignment horizontal="center" vertical="center"/>
    </xf>
    <xf numFmtId="164" fontId="7" fillId="2" borderId="51" xfId="1" applyNumberFormat="1" applyFont="1" applyFill="1" applyBorder="1" applyAlignment="1">
      <alignment horizontal="center" vertical="center"/>
    </xf>
    <xf numFmtId="167" fontId="0" fillId="0" borderId="0" xfId="0" applyNumberFormat="1" applyFont="1"/>
    <xf numFmtId="167" fontId="7" fillId="2" borderId="51" xfId="0" applyNumberFormat="1" applyFont="1" applyFill="1" applyBorder="1" applyAlignment="1">
      <alignment horizontal="center" vertical="center"/>
    </xf>
    <xf numFmtId="167" fontId="14" fillId="2" borderId="13" xfId="1" applyNumberFormat="1" applyFont="1" applyFill="1" applyBorder="1" applyAlignment="1">
      <alignment vertical="center"/>
    </xf>
    <xf numFmtId="167" fontId="14" fillId="3" borderId="13" xfId="1" applyNumberFormat="1" applyFont="1" applyFill="1" applyBorder="1" applyAlignment="1">
      <alignment vertical="center"/>
    </xf>
    <xf numFmtId="167" fontId="19" fillId="2" borderId="18" xfId="0" applyNumberFormat="1" applyFont="1" applyFill="1" applyBorder="1" applyAlignment="1">
      <alignment horizontal="center" vertical="center"/>
    </xf>
    <xf numFmtId="167" fontId="0" fillId="2" borderId="5" xfId="0" applyNumberFormat="1" applyFill="1" applyBorder="1" applyAlignment="1">
      <alignment vertical="center"/>
    </xf>
    <xf numFmtId="167" fontId="0" fillId="0" borderId="4" xfId="0" applyNumberFormat="1" applyBorder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5"/>
  <sheetViews>
    <sheetView topLeftCell="H13" zoomScale="70" zoomScaleNormal="70" workbookViewId="0">
      <selection activeCell="D2" sqref="D2"/>
    </sheetView>
  </sheetViews>
  <sheetFormatPr defaultColWidth="9" defaultRowHeight="14.4" x14ac:dyDescent="0.3"/>
  <cols>
    <col min="1" max="1" width="9.5546875" style="121" customWidth="1"/>
    <col min="2" max="2" width="28.109375" style="121" bestFit="1" customWidth="1"/>
    <col min="3" max="3" width="15.88671875" style="121" bestFit="1" customWidth="1"/>
    <col min="4" max="4" width="17.44140625" style="121" customWidth="1"/>
    <col min="5" max="5" width="13" style="121" bestFit="1" customWidth="1"/>
    <col min="6" max="6" width="8.33203125" style="121" bestFit="1" customWidth="1"/>
    <col min="7" max="7" width="12.5546875" style="121" bestFit="1" customWidth="1"/>
    <col min="8" max="8" width="12" style="11" bestFit="1" customWidth="1"/>
    <col min="9" max="9" width="21.6640625" style="11" customWidth="1"/>
    <col min="10" max="10" width="7.88671875" style="121" bestFit="1" customWidth="1"/>
    <col min="11" max="11" width="10.6640625" style="121" bestFit="1" customWidth="1"/>
    <col min="12" max="12" width="10.5546875" style="121" bestFit="1" customWidth="1"/>
    <col min="13" max="13" width="18.109375" style="121" bestFit="1" customWidth="1"/>
    <col min="14" max="14" width="10" style="121" customWidth="1"/>
    <col min="15" max="15" width="20.109375" style="121" bestFit="1" customWidth="1"/>
    <col min="16" max="16" width="14.44140625" style="121" bestFit="1" customWidth="1"/>
    <col min="17" max="17" width="23.44140625" style="121" bestFit="1" customWidth="1"/>
    <col min="18" max="18" width="10.6640625" style="121" bestFit="1" customWidth="1"/>
    <col min="19" max="19" width="11.6640625" style="121" bestFit="1" customWidth="1"/>
    <col min="20" max="20" width="18.109375" style="121" bestFit="1" customWidth="1"/>
    <col min="21" max="21" width="94.33203125" style="121" bestFit="1" customWidth="1"/>
    <col min="22" max="25" width="9" style="121"/>
    <col min="26" max="26" width="18.5546875" style="121" bestFit="1" customWidth="1"/>
    <col min="27" max="27" width="73.5546875" style="121" bestFit="1" customWidth="1"/>
    <col min="28" max="28" width="6.6640625" style="121" bestFit="1" customWidth="1"/>
    <col min="29" max="29" width="10.6640625" style="121" bestFit="1" customWidth="1"/>
    <col min="30" max="30" width="15" style="121" bestFit="1" customWidth="1"/>
    <col min="31" max="31" width="13.88671875" style="121" bestFit="1" customWidth="1"/>
    <col min="32" max="32" width="30" style="121" bestFit="1" customWidth="1"/>
    <col min="33" max="16384" width="9" style="121"/>
  </cols>
  <sheetData>
    <row r="1" spans="1:35" x14ac:dyDescent="0.3">
      <c r="A1" s="117"/>
      <c r="B1" s="118" t="s">
        <v>16</v>
      </c>
      <c r="C1" s="117"/>
      <c r="D1" s="117"/>
      <c r="E1" s="119"/>
      <c r="F1" s="119"/>
      <c r="G1" s="119"/>
      <c r="H1" s="120"/>
      <c r="I1" s="120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6.2" x14ac:dyDescent="0.3">
      <c r="A2" s="117"/>
      <c r="B2" s="122" t="s">
        <v>0</v>
      </c>
      <c r="C2" s="122"/>
      <c r="D2" s="122" t="s">
        <v>105</v>
      </c>
      <c r="E2" s="117"/>
      <c r="F2" s="117"/>
      <c r="G2" s="117"/>
      <c r="H2" s="123"/>
      <c r="I2" s="124" t="s">
        <v>17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</row>
    <row r="3" spans="1:35" ht="16.8" thickBot="1" x14ac:dyDescent="0.35">
      <c r="A3" s="126"/>
      <c r="B3" s="127"/>
      <c r="C3" s="127"/>
      <c r="D3" s="127"/>
      <c r="E3" s="127"/>
      <c r="F3" s="127"/>
      <c r="G3" s="127"/>
      <c r="H3" s="128"/>
      <c r="I3" s="128"/>
      <c r="J3" s="127"/>
      <c r="K3" s="127"/>
      <c r="L3" s="126"/>
      <c r="M3" s="126"/>
      <c r="N3" s="117"/>
      <c r="O3" s="127"/>
      <c r="P3" s="129"/>
      <c r="Q3" s="129"/>
      <c r="R3" s="129"/>
      <c r="S3" s="129"/>
      <c r="T3" s="129"/>
      <c r="U3" s="129"/>
      <c r="V3" s="117"/>
      <c r="W3" s="117"/>
      <c r="X3" s="117"/>
      <c r="Y3" s="117"/>
      <c r="Z3" s="117"/>
      <c r="AA3" s="130" t="s">
        <v>106</v>
      </c>
      <c r="AB3" s="117"/>
      <c r="AC3" s="117"/>
      <c r="AD3" s="117"/>
      <c r="AE3" s="117"/>
      <c r="AF3" s="117"/>
      <c r="AG3" s="117"/>
      <c r="AH3" s="117"/>
      <c r="AI3" s="117"/>
    </row>
    <row r="4" spans="1:35" ht="43.95" customHeight="1" x14ac:dyDescent="0.3">
      <c r="A4" s="131"/>
      <c r="B4" s="132" t="s">
        <v>1</v>
      </c>
      <c r="C4" s="132" t="s">
        <v>2</v>
      </c>
      <c r="D4" s="132" t="s">
        <v>3</v>
      </c>
      <c r="E4" s="132" t="s">
        <v>4</v>
      </c>
      <c r="F4" s="132" t="s">
        <v>14</v>
      </c>
      <c r="G4" s="133" t="s">
        <v>15</v>
      </c>
      <c r="H4" s="134" t="s">
        <v>25</v>
      </c>
      <c r="I4" s="135" t="s">
        <v>5</v>
      </c>
      <c r="J4" s="133" t="s">
        <v>107</v>
      </c>
      <c r="K4" s="133" t="s">
        <v>11</v>
      </c>
      <c r="L4" s="133" t="s">
        <v>6</v>
      </c>
      <c r="M4" s="136" t="s">
        <v>7</v>
      </c>
      <c r="N4" s="137"/>
      <c r="O4" s="138" t="s">
        <v>8</v>
      </c>
      <c r="P4" s="133" t="s">
        <v>5</v>
      </c>
      <c r="Q4" s="133" t="s">
        <v>13</v>
      </c>
      <c r="R4" s="133" t="s">
        <v>11</v>
      </c>
      <c r="S4" s="133" t="s">
        <v>12</v>
      </c>
      <c r="T4" s="133" t="s">
        <v>9</v>
      </c>
      <c r="U4" s="136" t="s">
        <v>10</v>
      </c>
      <c r="V4" s="139"/>
      <c r="W4" s="117"/>
      <c r="X4" s="117"/>
      <c r="Y4" s="117"/>
      <c r="Z4" s="117"/>
      <c r="AA4" s="117" t="s">
        <v>18</v>
      </c>
      <c r="AB4" s="117" t="s">
        <v>19</v>
      </c>
      <c r="AC4" s="117" t="s">
        <v>20</v>
      </c>
      <c r="AD4" s="117" t="s">
        <v>5</v>
      </c>
      <c r="AE4" s="117" t="s">
        <v>22</v>
      </c>
      <c r="AF4" s="117" t="s">
        <v>23</v>
      </c>
      <c r="AG4" s="117"/>
      <c r="AH4" s="117"/>
      <c r="AI4" s="117"/>
    </row>
    <row r="5" spans="1:35" ht="16.2" x14ac:dyDescent="0.3">
      <c r="A5" s="140"/>
      <c r="B5" s="141"/>
      <c r="C5" s="141"/>
      <c r="D5" s="141"/>
      <c r="E5" s="141"/>
      <c r="F5" s="141"/>
      <c r="G5" s="141"/>
      <c r="H5" s="142">
        <v>0.05</v>
      </c>
      <c r="I5" s="141"/>
      <c r="J5" s="142">
        <v>0.01</v>
      </c>
      <c r="K5" s="142">
        <v>0</v>
      </c>
      <c r="L5" s="141"/>
      <c r="M5" s="143"/>
      <c r="N5" s="137"/>
      <c r="O5" s="144"/>
      <c r="P5" s="141"/>
      <c r="Q5" s="142">
        <v>0.01</v>
      </c>
      <c r="R5" s="142">
        <v>0.05</v>
      </c>
      <c r="S5" s="141"/>
      <c r="T5" s="141"/>
      <c r="U5" s="143"/>
      <c r="V5" s="139"/>
      <c r="W5" s="117"/>
      <c r="X5" s="117"/>
      <c r="Y5" s="117"/>
      <c r="Z5" s="117"/>
      <c r="AA5" s="145">
        <v>1980</v>
      </c>
      <c r="AB5" s="145" t="s">
        <v>21</v>
      </c>
      <c r="AC5" s="145">
        <v>1450</v>
      </c>
      <c r="AD5" s="145">
        <f>AC5*AA5</f>
        <v>2871000</v>
      </c>
      <c r="AE5" s="145">
        <f>AD5*5%</f>
        <v>143550</v>
      </c>
      <c r="AF5" s="145">
        <f>AE5+AD5</f>
        <v>3014550</v>
      </c>
      <c r="AG5" s="117"/>
      <c r="AH5" s="117"/>
      <c r="AI5" s="117"/>
    </row>
    <row r="6" spans="1:35" s="155" customFormat="1" ht="24.75" customHeight="1" x14ac:dyDescent="0.3">
      <c r="A6" s="146"/>
      <c r="B6" s="147"/>
      <c r="C6" s="147"/>
      <c r="D6" s="147"/>
      <c r="E6" s="147"/>
      <c r="F6" s="147"/>
      <c r="G6" s="147"/>
      <c r="H6" s="148"/>
      <c r="I6" s="147"/>
      <c r="J6" s="148"/>
      <c r="K6" s="148"/>
      <c r="L6" s="147"/>
      <c r="M6" s="149"/>
      <c r="N6" s="150">
        <f>A7</f>
        <v>51216</v>
      </c>
      <c r="O6" s="151"/>
      <c r="P6" s="147"/>
      <c r="Q6" s="148"/>
      <c r="R6" s="148"/>
      <c r="S6" s="147"/>
      <c r="T6" s="147"/>
      <c r="U6" s="149"/>
      <c r="V6" s="152"/>
      <c r="W6" s="153"/>
      <c r="X6" s="153"/>
      <c r="Y6" s="153"/>
      <c r="Z6" s="153"/>
      <c r="AA6" s="154"/>
      <c r="AB6" s="154"/>
      <c r="AC6" s="154"/>
      <c r="AD6" s="154"/>
      <c r="AE6" s="154"/>
      <c r="AF6" s="154"/>
      <c r="AG6" s="153"/>
      <c r="AH6" s="153"/>
      <c r="AI6" s="153"/>
    </row>
    <row r="7" spans="1:35" ht="31.2" x14ac:dyDescent="0.3">
      <c r="A7" s="140">
        <v>51216</v>
      </c>
      <c r="B7" s="156" t="s">
        <v>24</v>
      </c>
      <c r="C7" s="157">
        <v>44721</v>
      </c>
      <c r="D7" s="158">
        <v>6</v>
      </c>
      <c r="E7" s="141">
        <f>43.04*1450</f>
        <v>62408</v>
      </c>
      <c r="F7" s="141">
        <v>0</v>
      </c>
      <c r="G7" s="141">
        <f>E7-F7</f>
        <v>62408</v>
      </c>
      <c r="H7" s="141">
        <f>$H$5*G7</f>
        <v>3120.4</v>
      </c>
      <c r="I7" s="141">
        <f>G7+H7</f>
        <v>65528.4</v>
      </c>
      <c r="J7" s="141">
        <v>0</v>
      </c>
      <c r="K7" s="141">
        <f>G7*K5</f>
        <v>0</v>
      </c>
      <c r="L7" s="141"/>
      <c r="M7" s="143">
        <f>I7-SUM(J7:L7)</f>
        <v>65528.4</v>
      </c>
      <c r="N7" s="137"/>
      <c r="O7" s="144" t="s">
        <v>108</v>
      </c>
      <c r="P7" s="141">
        <v>196189</v>
      </c>
      <c r="Q7" s="141">
        <v>0</v>
      </c>
      <c r="R7" s="141">
        <v>0</v>
      </c>
      <c r="S7" s="141">
        <v>0</v>
      </c>
      <c r="T7" s="141">
        <f t="shared" ref="T7:T14" si="0">P7-Q7</f>
        <v>196189</v>
      </c>
      <c r="U7" s="159" t="s">
        <v>109</v>
      </c>
      <c r="V7" s="139"/>
      <c r="W7" s="117"/>
      <c r="X7" s="117"/>
      <c r="Y7" s="117"/>
      <c r="Z7" s="141">
        <f>43.04</f>
        <v>43.04</v>
      </c>
      <c r="AA7" s="117"/>
      <c r="AB7" s="145" t="s">
        <v>21</v>
      </c>
      <c r="AC7" s="117"/>
      <c r="AD7" s="117"/>
      <c r="AE7" s="117"/>
      <c r="AF7" s="117"/>
      <c r="AG7" s="117"/>
      <c r="AH7" s="117"/>
      <c r="AI7" s="117"/>
    </row>
    <row r="8" spans="1:35" ht="31.2" x14ac:dyDescent="0.3">
      <c r="A8" s="140"/>
      <c r="B8" s="156" t="s">
        <v>29</v>
      </c>
      <c r="C8" s="157">
        <v>44719</v>
      </c>
      <c r="D8" s="158">
        <v>5</v>
      </c>
      <c r="E8" s="141">
        <f>43.545*1450</f>
        <v>63140.25</v>
      </c>
      <c r="F8" s="141">
        <v>0</v>
      </c>
      <c r="G8" s="141">
        <f>E8-F8</f>
        <v>63140.25</v>
      </c>
      <c r="H8" s="141">
        <f>$H$5*G8</f>
        <v>3157.0125000000003</v>
      </c>
      <c r="I8" s="141">
        <f>G8+H8</f>
        <v>66297.262499999997</v>
      </c>
      <c r="J8" s="141">
        <v>0</v>
      </c>
      <c r="K8" s="141">
        <v>0</v>
      </c>
      <c r="L8" s="141"/>
      <c r="M8" s="143">
        <f>I8-SUM(J8:L8)</f>
        <v>66297.262499999997</v>
      </c>
      <c r="N8" s="137"/>
      <c r="O8" s="144" t="s">
        <v>110</v>
      </c>
      <c r="P8" s="141">
        <v>123132</v>
      </c>
      <c r="Q8" s="141">
        <v>0</v>
      </c>
      <c r="R8" s="141">
        <v>0</v>
      </c>
      <c r="S8" s="141">
        <v>0</v>
      </c>
      <c r="T8" s="141">
        <f t="shared" si="0"/>
        <v>123132</v>
      </c>
      <c r="U8" s="159" t="s">
        <v>111</v>
      </c>
      <c r="V8" s="139"/>
      <c r="W8" s="117"/>
      <c r="X8" s="117"/>
      <c r="Y8" s="117"/>
      <c r="Z8" s="141">
        <f>43.545</f>
        <v>43.545000000000002</v>
      </c>
      <c r="AA8" s="117"/>
      <c r="AB8" s="145" t="s">
        <v>21</v>
      </c>
      <c r="AC8" s="117"/>
      <c r="AD8" s="117"/>
      <c r="AE8" s="117"/>
      <c r="AF8" s="117"/>
      <c r="AG8" s="117"/>
      <c r="AH8" s="117"/>
      <c r="AI8" s="117"/>
    </row>
    <row r="9" spans="1:35" ht="31.2" x14ac:dyDescent="0.3">
      <c r="A9" s="140"/>
      <c r="B9" s="156" t="s">
        <v>26</v>
      </c>
      <c r="C9" s="157">
        <v>44718</v>
      </c>
      <c r="D9" s="158">
        <v>4</v>
      </c>
      <c r="E9" s="141">
        <f>42.275*1450</f>
        <v>61298.75</v>
      </c>
      <c r="F9" s="141">
        <v>0</v>
      </c>
      <c r="G9" s="141">
        <f>E9-F9</f>
        <v>61298.75</v>
      </c>
      <c r="H9" s="141">
        <f>$H$5*G9</f>
        <v>3064.9375</v>
      </c>
      <c r="I9" s="141">
        <f>G9+H9</f>
        <v>64363.6875</v>
      </c>
      <c r="J9" s="141">
        <v>0</v>
      </c>
      <c r="K9" s="141"/>
      <c r="L9" s="141"/>
      <c r="M9" s="143">
        <f>I9-SUM(J9:L9)</f>
        <v>64363.6875</v>
      </c>
      <c r="N9" s="137"/>
      <c r="O9" s="144" t="s">
        <v>112</v>
      </c>
      <c r="P9" s="141">
        <v>258330</v>
      </c>
      <c r="Q9" s="141">
        <v>0</v>
      </c>
      <c r="R9" s="141">
        <v>0</v>
      </c>
      <c r="S9" s="141">
        <v>0</v>
      </c>
      <c r="T9" s="141">
        <f t="shared" si="0"/>
        <v>258330</v>
      </c>
      <c r="U9" s="159" t="s">
        <v>113</v>
      </c>
      <c r="V9" s="139"/>
      <c r="W9" s="117"/>
      <c r="X9" s="117"/>
      <c r="Y9" s="117"/>
      <c r="Z9" s="141">
        <f>42.275</f>
        <v>42.274999999999999</v>
      </c>
      <c r="AA9" s="117"/>
      <c r="AB9" s="145" t="s">
        <v>21</v>
      </c>
      <c r="AC9" s="117"/>
      <c r="AD9" s="117"/>
      <c r="AE9" s="117"/>
      <c r="AF9" s="117"/>
      <c r="AG9" s="117"/>
      <c r="AH9" s="117"/>
      <c r="AI9" s="117"/>
    </row>
    <row r="10" spans="1:35" ht="31.2" x14ac:dyDescent="0.3">
      <c r="A10" s="140"/>
      <c r="B10" s="156" t="s">
        <v>27</v>
      </c>
      <c r="C10" s="157">
        <v>44725</v>
      </c>
      <c r="D10" s="158">
        <v>7</v>
      </c>
      <c r="E10" s="141">
        <f>39.81*1450</f>
        <v>57724.5</v>
      </c>
      <c r="F10" s="141">
        <v>0</v>
      </c>
      <c r="G10" s="141">
        <f t="shared" ref="G10:G26" si="1">E10-F10</f>
        <v>57724.5</v>
      </c>
      <c r="H10" s="141">
        <f t="shared" ref="H10:H26" si="2">$H$5*G10</f>
        <v>2886.2250000000004</v>
      </c>
      <c r="I10" s="141">
        <f t="shared" ref="I10:I26" si="3">G10+H10</f>
        <v>60610.724999999999</v>
      </c>
      <c r="J10" s="141">
        <v>0</v>
      </c>
      <c r="K10" s="141"/>
      <c r="L10" s="141"/>
      <c r="M10" s="143">
        <f t="shared" ref="M10:M26" si="4">I10-SUM(J10:L10)</f>
        <v>60610.724999999999</v>
      </c>
      <c r="N10" s="137"/>
      <c r="O10" s="144" t="s">
        <v>114</v>
      </c>
      <c r="P10" s="141">
        <v>224980</v>
      </c>
      <c r="Q10" s="141">
        <v>0</v>
      </c>
      <c r="R10" s="141">
        <v>0</v>
      </c>
      <c r="S10" s="141">
        <v>0</v>
      </c>
      <c r="T10" s="141">
        <f t="shared" si="0"/>
        <v>224980</v>
      </c>
      <c r="U10" s="160" t="s">
        <v>115</v>
      </c>
      <c r="V10" s="139"/>
      <c r="W10" s="117"/>
      <c r="X10" s="117"/>
      <c r="Y10" s="117"/>
      <c r="Z10" s="141">
        <f>39.81</f>
        <v>39.81</v>
      </c>
      <c r="AA10" s="117"/>
      <c r="AB10" s="145" t="s">
        <v>21</v>
      </c>
      <c r="AC10" s="117"/>
      <c r="AD10" s="117"/>
      <c r="AE10" s="117"/>
      <c r="AF10" s="117"/>
      <c r="AG10" s="117"/>
      <c r="AH10" s="117"/>
      <c r="AI10" s="117"/>
    </row>
    <row r="11" spans="1:35" ht="31.2" x14ac:dyDescent="0.3">
      <c r="A11" s="140"/>
      <c r="B11" s="156" t="s">
        <v>27</v>
      </c>
      <c r="C11" s="157">
        <v>44727</v>
      </c>
      <c r="D11" s="158">
        <v>8</v>
      </c>
      <c r="E11" s="141">
        <f>41.065*1450</f>
        <v>59544.25</v>
      </c>
      <c r="F11" s="141">
        <v>0</v>
      </c>
      <c r="G11" s="141">
        <f t="shared" si="1"/>
        <v>59544.25</v>
      </c>
      <c r="H11" s="141">
        <f t="shared" si="2"/>
        <v>2977.2125000000001</v>
      </c>
      <c r="I11" s="141">
        <f t="shared" si="3"/>
        <v>62521.462500000001</v>
      </c>
      <c r="J11" s="141">
        <v>0</v>
      </c>
      <c r="K11" s="141"/>
      <c r="L11" s="141"/>
      <c r="M11" s="143">
        <f t="shared" si="4"/>
        <v>62521.462500000001</v>
      </c>
      <c r="N11" s="137"/>
      <c r="O11" s="144" t="s">
        <v>116</v>
      </c>
      <c r="P11" s="141">
        <v>202751</v>
      </c>
      <c r="Q11" s="141">
        <v>0</v>
      </c>
      <c r="R11" s="141">
        <v>0</v>
      </c>
      <c r="S11" s="141">
        <v>0</v>
      </c>
      <c r="T11" s="141">
        <f t="shared" si="0"/>
        <v>202751</v>
      </c>
      <c r="U11" s="160" t="s">
        <v>117</v>
      </c>
      <c r="V11" s="139"/>
      <c r="W11" s="117"/>
      <c r="X11" s="117"/>
      <c r="Y11" s="117"/>
      <c r="Z11" s="141">
        <f>41.065</f>
        <v>41.064999999999998</v>
      </c>
      <c r="AA11" s="117"/>
      <c r="AB11" s="145" t="s">
        <v>21</v>
      </c>
      <c r="AC11" s="117"/>
      <c r="AD11" s="117"/>
      <c r="AE11" s="117"/>
      <c r="AF11" s="117"/>
      <c r="AG11" s="117"/>
      <c r="AH11" s="117"/>
      <c r="AI11" s="117"/>
    </row>
    <row r="12" spans="1:35" ht="31.2" x14ac:dyDescent="0.3">
      <c r="A12" s="140"/>
      <c r="B12" s="156" t="s">
        <v>28</v>
      </c>
      <c r="C12" s="157">
        <v>44733</v>
      </c>
      <c r="D12" s="158">
        <v>14</v>
      </c>
      <c r="E12" s="141">
        <f>42.39*1450</f>
        <v>61465.5</v>
      </c>
      <c r="F12" s="141">
        <v>0</v>
      </c>
      <c r="G12" s="141">
        <f t="shared" si="1"/>
        <v>61465.5</v>
      </c>
      <c r="H12" s="141">
        <f t="shared" si="2"/>
        <v>3073.2750000000001</v>
      </c>
      <c r="I12" s="141">
        <f t="shared" si="3"/>
        <v>64538.775000000001</v>
      </c>
      <c r="J12" s="141">
        <v>0</v>
      </c>
      <c r="K12" s="141"/>
      <c r="L12" s="141"/>
      <c r="M12" s="143">
        <f t="shared" si="4"/>
        <v>64538.775000000001</v>
      </c>
      <c r="N12" s="137"/>
      <c r="O12" s="144" t="s">
        <v>118</v>
      </c>
      <c r="P12" s="141">
        <v>203208</v>
      </c>
      <c r="Q12" s="141">
        <v>0</v>
      </c>
      <c r="R12" s="141">
        <v>0</v>
      </c>
      <c r="S12" s="141">
        <v>0</v>
      </c>
      <c r="T12" s="141">
        <f t="shared" si="0"/>
        <v>203208</v>
      </c>
      <c r="U12" s="160" t="s">
        <v>119</v>
      </c>
      <c r="V12" s="139"/>
      <c r="W12" s="117"/>
      <c r="X12" s="117"/>
      <c r="Y12" s="117"/>
      <c r="Z12" s="141">
        <f>42.39</f>
        <v>42.39</v>
      </c>
      <c r="AA12" s="117"/>
      <c r="AB12" s="145" t="s">
        <v>21</v>
      </c>
      <c r="AC12" s="117"/>
      <c r="AD12" s="117"/>
      <c r="AE12" s="117"/>
      <c r="AF12" s="117"/>
      <c r="AG12" s="117"/>
      <c r="AH12" s="117"/>
      <c r="AI12" s="117"/>
    </row>
    <row r="13" spans="1:35" ht="31.2" x14ac:dyDescent="0.3">
      <c r="A13" s="140"/>
      <c r="B13" s="156" t="s">
        <v>30</v>
      </c>
      <c r="C13" s="157">
        <v>44736</v>
      </c>
      <c r="D13" s="158">
        <v>18</v>
      </c>
      <c r="E13" s="141">
        <f>62.6*1450</f>
        <v>90770</v>
      </c>
      <c r="F13" s="141">
        <v>0</v>
      </c>
      <c r="G13" s="141">
        <f t="shared" si="1"/>
        <v>90770</v>
      </c>
      <c r="H13" s="141">
        <f t="shared" si="2"/>
        <v>4538.5</v>
      </c>
      <c r="I13" s="141">
        <f t="shared" si="3"/>
        <v>95308.5</v>
      </c>
      <c r="J13" s="141">
        <v>0</v>
      </c>
      <c r="K13" s="141"/>
      <c r="L13" s="141"/>
      <c r="M13" s="143">
        <f t="shared" si="4"/>
        <v>95308.5</v>
      </c>
      <c r="N13" s="137"/>
      <c r="O13" s="144" t="s">
        <v>120</v>
      </c>
      <c r="P13" s="141">
        <v>65315</v>
      </c>
      <c r="Q13" s="141">
        <v>0</v>
      </c>
      <c r="R13" s="141">
        <v>0</v>
      </c>
      <c r="S13" s="141">
        <v>0</v>
      </c>
      <c r="T13" s="141">
        <f t="shared" si="0"/>
        <v>65315</v>
      </c>
      <c r="U13" s="160" t="s">
        <v>121</v>
      </c>
      <c r="V13" s="139"/>
      <c r="W13" s="117"/>
      <c r="X13" s="117"/>
      <c r="Y13" s="117"/>
      <c r="Z13" s="141">
        <f>62.6</f>
        <v>62.6</v>
      </c>
      <c r="AA13" s="117"/>
      <c r="AB13" s="145" t="s">
        <v>21</v>
      </c>
      <c r="AC13" s="117"/>
      <c r="AD13" s="117"/>
      <c r="AE13" s="117"/>
      <c r="AF13" s="117"/>
      <c r="AG13" s="117"/>
      <c r="AH13" s="117"/>
      <c r="AI13" s="117"/>
    </row>
    <row r="14" spans="1:35" ht="31.2" x14ac:dyDescent="0.3">
      <c r="A14" s="140"/>
      <c r="B14" s="156" t="s">
        <v>31</v>
      </c>
      <c r="C14" s="157">
        <v>44737</v>
      </c>
      <c r="D14" s="158">
        <v>19</v>
      </c>
      <c r="E14" s="141">
        <f>21.105*1450</f>
        <v>30602.25</v>
      </c>
      <c r="F14" s="141">
        <v>0</v>
      </c>
      <c r="G14" s="141">
        <f t="shared" si="1"/>
        <v>30602.25</v>
      </c>
      <c r="H14" s="141">
        <f t="shared" si="2"/>
        <v>1530.1125000000002</v>
      </c>
      <c r="I14" s="141">
        <f t="shared" si="3"/>
        <v>32132.362499999999</v>
      </c>
      <c r="J14" s="141">
        <v>0</v>
      </c>
      <c r="K14" s="141"/>
      <c r="L14" s="141"/>
      <c r="M14" s="143">
        <f t="shared" si="4"/>
        <v>32132.362499999999</v>
      </c>
      <c r="N14" s="137"/>
      <c r="O14" s="144"/>
      <c r="P14" s="141"/>
      <c r="Q14" s="141">
        <v>0</v>
      </c>
      <c r="R14" s="141">
        <v>0</v>
      </c>
      <c r="S14" s="141">
        <v>0</v>
      </c>
      <c r="T14" s="141">
        <f t="shared" si="0"/>
        <v>0</v>
      </c>
      <c r="U14" s="159"/>
      <c r="V14" s="139"/>
      <c r="W14" s="117"/>
      <c r="X14" s="117"/>
      <c r="Y14" s="117"/>
      <c r="Z14" s="141">
        <f>21.105</f>
        <v>21.105</v>
      </c>
      <c r="AA14" s="117"/>
      <c r="AB14" s="145" t="s">
        <v>21</v>
      </c>
      <c r="AC14" s="117"/>
      <c r="AD14" s="117"/>
      <c r="AE14" s="117"/>
      <c r="AF14" s="117"/>
      <c r="AG14" s="117"/>
      <c r="AH14" s="117"/>
      <c r="AI14" s="117"/>
    </row>
    <row r="15" spans="1:35" ht="31.2" x14ac:dyDescent="0.3">
      <c r="A15" s="140"/>
      <c r="B15" s="156" t="s">
        <v>31</v>
      </c>
      <c r="C15" s="157">
        <v>44738</v>
      </c>
      <c r="D15" s="158">
        <v>20</v>
      </c>
      <c r="E15" s="141">
        <f>43.58*1450</f>
        <v>63191</v>
      </c>
      <c r="F15" s="141">
        <v>0</v>
      </c>
      <c r="G15" s="141">
        <f t="shared" si="1"/>
        <v>63191</v>
      </c>
      <c r="H15" s="141">
        <f t="shared" si="2"/>
        <v>3159.55</v>
      </c>
      <c r="I15" s="141">
        <f t="shared" si="3"/>
        <v>66350.55</v>
      </c>
      <c r="J15" s="141">
        <v>0</v>
      </c>
      <c r="K15" s="141"/>
      <c r="L15" s="141"/>
      <c r="M15" s="143">
        <f t="shared" si="4"/>
        <v>66350.55</v>
      </c>
      <c r="N15" s="137"/>
      <c r="O15" s="144"/>
      <c r="P15" s="141"/>
      <c r="Q15" s="141"/>
      <c r="R15" s="141"/>
      <c r="S15" s="141"/>
      <c r="T15" s="141"/>
      <c r="U15" s="159"/>
      <c r="V15" s="139"/>
      <c r="W15" s="117"/>
      <c r="X15" s="117"/>
      <c r="Y15" s="117"/>
      <c r="Z15" s="141">
        <f>43.58</f>
        <v>43.58</v>
      </c>
      <c r="AA15" s="117"/>
      <c r="AB15" s="145" t="s">
        <v>21</v>
      </c>
      <c r="AC15" s="117"/>
      <c r="AD15" s="117"/>
      <c r="AE15" s="117"/>
      <c r="AF15" s="117"/>
      <c r="AG15" s="117"/>
      <c r="AH15" s="117"/>
      <c r="AI15" s="117"/>
    </row>
    <row r="16" spans="1:35" ht="31.2" x14ac:dyDescent="0.3">
      <c r="A16" s="140"/>
      <c r="B16" s="156" t="s">
        <v>32</v>
      </c>
      <c r="C16" s="157">
        <v>44740</v>
      </c>
      <c r="D16" s="158">
        <v>23</v>
      </c>
      <c r="E16" s="141">
        <f>24.21*1450</f>
        <v>35104.5</v>
      </c>
      <c r="F16" s="141">
        <v>0</v>
      </c>
      <c r="G16" s="141">
        <f t="shared" si="1"/>
        <v>35104.5</v>
      </c>
      <c r="H16" s="141">
        <f t="shared" si="2"/>
        <v>1755.2250000000001</v>
      </c>
      <c r="I16" s="141">
        <f t="shared" si="3"/>
        <v>36859.724999999999</v>
      </c>
      <c r="J16" s="141">
        <v>0</v>
      </c>
      <c r="K16" s="141"/>
      <c r="L16" s="141"/>
      <c r="M16" s="143">
        <f t="shared" si="4"/>
        <v>36859.724999999999</v>
      </c>
      <c r="N16" s="137"/>
      <c r="O16" s="144"/>
      <c r="P16" s="141"/>
      <c r="Q16" s="141"/>
      <c r="R16" s="141"/>
      <c r="S16" s="141"/>
      <c r="T16" s="141"/>
      <c r="U16" s="159"/>
      <c r="V16" s="139"/>
      <c r="W16" s="117"/>
      <c r="X16" s="117"/>
      <c r="Y16" s="117"/>
      <c r="Z16" s="141">
        <f>24.21</f>
        <v>24.21</v>
      </c>
      <c r="AA16" s="117"/>
      <c r="AB16" s="145" t="s">
        <v>21</v>
      </c>
      <c r="AC16" s="117"/>
      <c r="AD16" s="117"/>
      <c r="AE16" s="117"/>
      <c r="AF16" s="117"/>
      <c r="AG16" s="117"/>
      <c r="AH16" s="117"/>
      <c r="AI16" s="117"/>
    </row>
    <row r="17" spans="1:35" ht="31.2" x14ac:dyDescent="0.3">
      <c r="A17" s="140"/>
      <c r="B17" s="156" t="s">
        <v>32</v>
      </c>
      <c r="C17" s="157">
        <v>44741</v>
      </c>
      <c r="D17" s="158">
        <v>24</v>
      </c>
      <c r="E17" s="141">
        <f>41.6*1450</f>
        <v>60320</v>
      </c>
      <c r="F17" s="141">
        <v>0</v>
      </c>
      <c r="G17" s="141">
        <f t="shared" si="1"/>
        <v>60320</v>
      </c>
      <c r="H17" s="141">
        <f t="shared" si="2"/>
        <v>3016</v>
      </c>
      <c r="I17" s="141">
        <f t="shared" si="3"/>
        <v>63336</v>
      </c>
      <c r="J17" s="141">
        <v>0</v>
      </c>
      <c r="K17" s="141"/>
      <c r="L17" s="141"/>
      <c r="M17" s="143">
        <f t="shared" si="4"/>
        <v>63336</v>
      </c>
      <c r="N17" s="137"/>
      <c r="O17" s="144"/>
      <c r="P17" s="141"/>
      <c r="Q17" s="141"/>
      <c r="R17" s="141"/>
      <c r="S17" s="141"/>
      <c r="T17" s="141"/>
      <c r="U17" s="159"/>
      <c r="V17" s="139"/>
      <c r="W17" s="117"/>
      <c r="X17" s="117"/>
      <c r="Y17" s="117"/>
      <c r="Z17" s="141">
        <f>41.6</f>
        <v>41.6</v>
      </c>
      <c r="AA17" s="117"/>
      <c r="AB17" s="145" t="s">
        <v>21</v>
      </c>
      <c r="AC17" s="117"/>
      <c r="AD17" s="117"/>
      <c r="AE17" s="117"/>
      <c r="AF17" s="117"/>
      <c r="AG17" s="117"/>
      <c r="AH17" s="117"/>
      <c r="AI17" s="117"/>
    </row>
    <row r="18" spans="1:35" ht="31.2" x14ac:dyDescent="0.3">
      <c r="A18" s="140"/>
      <c r="B18" s="156" t="s">
        <v>34</v>
      </c>
      <c r="C18" s="157">
        <v>44753</v>
      </c>
      <c r="D18" s="158">
        <v>32</v>
      </c>
      <c r="E18" s="141">
        <f>40*1450</f>
        <v>58000</v>
      </c>
      <c r="F18" s="141">
        <v>0</v>
      </c>
      <c r="G18" s="141">
        <f t="shared" si="1"/>
        <v>58000</v>
      </c>
      <c r="H18" s="141">
        <f t="shared" si="2"/>
        <v>2900</v>
      </c>
      <c r="I18" s="141">
        <f t="shared" si="3"/>
        <v>60900</v>
      </c>
      <c r="J18" s="141">
        <v>0</v>
      </c>
      <c r="K18" s="141"/>
      <c r="L18" s="141"/>
      <c r="M18" s="143">
        <f t="shared" si="4"/>
        <v>60900</v>
      </c>
      <c r="N18" s="137"/>
      <c r="O18" s="144"/>
      <c r="P18" s="141"/>
      <c r="Q18" s="141"/>
      <c r="R18" s="141"/>
      <c r="S18" s="141"/>
      <c r="T18" s="141"/>
      <c r="U18" s="159"/>
      <c r="V18" s="139"/>
      <c r="W18" s="117"/>
      <c r="X18" s="117"/>
      <c r="Y18" s="117"/>
      <c r="Z18" s="141">
        <f>40</f>
        <v>40</v>
      </c>
      <c r="AA18" s="117"/>
      <c r="AB18" s="145" t="s">
        <v>21</v>
      </c>
      <c r="AC18" s="117"/>
      <c r="AD18" s="117"/>
      <c r="AE18" s="117"/>
      <c r="AF18" s="117"/>
      <c r="AG18" s="117"/>
      <c r="AH18" s="117"/>
      <c r="AI18" s="117"/>
    </row>
    <row r="19" spans="1:35" ht="31.2" x14ac:dyDescent="0.3">
      <c r="A19" s="140"/>
      <c r="B19" s="156" t="s">
        <v>34</v>
      </c>
      <c r="C19" s="157">
        <v>44755</v>
      </c>
      <c r="D19" s="158">
        <v>33</v>
      </c>
      <c r="E19" s="141">
        <f>41.96*1450</f>
        <v>60842</v>
      </c>
      <c r="F19" s="141">
        <v>0</v>
      </c>
      <c r="G19" s="141">
        <f t="shared" si="1"/>
        <v>60842</v>
      </c>
      <c r="H19" s="141">
        <f t="shared" si="2"/>
        <v>3042.1000000000004</v>
      </c>
      <c r="I19" s="141">
        <f t="shared" si="3"/>
        <v>63884.1</v>
      </c>
      <c r="J19" s="141">
        <v>0</v>
      </c>
      <c r="K19" s="141"/>
      <c r="L19" s="141"/>
      <c r="M19" s="143">
        <f t="shared" si="4"/>
        <v>63884.1</v>
      </c>
      <c r="N19" s="137"/>
      <c r="O19" s="144"/>
      <c r="P19" s="141"/>
      <c r="Q19" s="141"/>
      <c r="R19" s="141"/>
      <c r="S19" s="141"/>
      <c r="T19" s="141"/>
      <c r="U19" s="159"/>
      <c r="V19" s="139"/>
      <c r="W19" s="117"/>
      <c r="X19" s="117"/>
      <c r="Y19" s="117"/>
      <c r="Z19" s="141">
        <f>41.96</f>
        <v>41.96</v>
      </c>
      <c r="AA19" s="117"/>
      <c r="AB19" s="145" t="s">
        <v>21</v>
      </c>
      <c r="AC19" s="117"/>
      <c r="AD19" s="117"/>
      <c r="AE19" s="117"/>
      <c r="AF19" s="117"/>
      <c r="AG19" s="117"/>
      <c r="AH19" s="117"/>
      <c r="AI19" s="117"/>
    </row>
    <row r="20" spans="1:35" ht="31.2" x14ac:dyDescent="0.3">
      <c r="A20" s="140"/>
      <c r="B20" s="156" t="s">
        <v>122</v>
      </c>
      <c r="C20" s="157">
        <v>44756</v>
      </c>
      <c r="D20" s="158">
        <v>34</v>
      </c>
      <c r="E20" s="141">
        <v>63372.25</v>
      </c>
      <c r="F20" s="141">
        <v>0</v>
      </c>
      <c r="G20" s="141">
        <f t="shared" si="1"/>
        <v>63372.25</v>
      </c>
      <c r="H20" s="141">
        <f t="shared" si="2"/>
        <v>3168.6125000000002</v>
      </c>
      <c r="I20" s="141">
        <f t="shared" si="3"/>
        <v>66540.862500000003</v>
      </c>
      <c r="J20" s="141">
        <v>0</v>
      </c>
      <c r="K20" s="141"/>
      <c r="L20" s="141"/>
      <c r="M20" s="143">
        <f t="shared" si="4"/>
        <v>66540.862500000003</v>
      </c>
      <c r="N20" s="137"/>
      <c r="O20" s="144"/>
      <c r="P20" s="141"/>
      <c r="Q20" s="141"/>
      <c r="R20" s="141"/>
      <c r="S20" s="141"/>
      <c r="T20" s="141"/>
      <c r="U20" s="159"/>
      <c r="V20" s="139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</row>
    <row r="21" spans="1:35" ht="31.2" x14ac:dyDescent="0.3">
      <c r="A21" s="140"/>
      <c r="B21" s="156" t="s">
        <v>122</v>
      </c>
      <c r="C21" s="157">
        <v>44757</v>
      </c>
      <c r="D21" s="158">
        <v>35</v>
      </c>
      <c r="E21" s="141">
        <v>63227.25</v>
      </c>
      <c r="F21" s="141">
        <v>0</v>
      </c>
      <c r="G21" s="141">
        <f t="shared" si="1"/>
        <v>63227.25</v>
      </c>
      <c r="H21" s="141">
        <f t="shared" si="2"/>
        <v>3161.3625000000002</v>
      </c>
      <c r="I21" s="141">
        <f t="shared" si="3"/>
        <v>66388.612500000003</v>
      </c>
      <c r="J21" s="141">
        <v>0</v>
      </c>
      <c r="K21" s="141"/>
      <c r="L21" s="141"/>
      <c r="M21" s="143">
        <f t="shared" si="4"/>
        <v>66388.612500000003</v>
      </c>
      <c r="N21" s="137"/>
      <c r="O21" s="144"/>
      <c r="P21" s="141"/>
      <c r="Q21" s="141"/>
      <c r="R21" s="141"/>
      <c r="S21" s="141"/>
      <c r="T21" s="141"/>
      <c r="U21" s="159"/>
      <c r="V21" s="139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</row>
    <row r="22" spans="1:35" ht="31.2" x14ac:dyDescent="0.3">
      <c r="A22" s="140"/>
      <c r="B22" s="156" t="s">
        <v>122</v>
      </c>
      <c r="C22" s="157">
        <v>44759</v>
      </c>
      <c r="D22" s="158">
        <v>36</v>
      </c>
      <c r="E22" s="141">
        <v>66497</v>
      </c>
      <c r="F22" s="141">
        <v>0</v>
      </c>
      <c r="G22" s="141">
        <f t="shared" si="1"/>
        <v>66497</v>
      </c>
      <c r="H22" s="141">
        <f t="shared" si="2"/>
        <v>3324.8500000000004</v>
      </c>
      <c r="I22" s="141">
        <f t="shared" si="3"/>
        <v>69821.850000000006</v>
      </c>
      <c r="J22" s="141">
        <v>0</v>
      </c>
      <c r="K22" s="141"/>
      <c r="L22" s="141"/>
      <c r="M22" s="143">
        <f t="shared" si="4"/>
        <v>69821.850000000006</v>
      </c>
      <c r="N22" s="137"/>
      <c r="O22" s="144"/>
      <c r="P22" s="141"/>
      <c r="Q22" s="141"/>
      <c r="R22" s="141"/>
      <c r="S22" s="141"/>
      <c r="T22" s="141"/>
      <c r="U22" s="159"/>
      <c r="V22" s="139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</row>
    <row r="23" spans="1:35" ht="31.2" x14ac:dyDescent="0.3">
      <c r="A23" s="140"/>
      <c r="B23" s="156" t="s">
        <v>122</v>
      </c>
      <c r="C23" s="157">
        <v>44770</v>
      </c>
      <c r="D23" s="158">
        <v>41</v>
      </c>
      <c r="E23" s="141">
        <v>64880.25</v>
      </c>
      <c r="F23" s="141">
        <v>0</v>
      </c>
      <c r="G23" s="141">
        <f t="shared" si="1"/>
        <v>64880.25</v>
      </c>
      <c r="H23" s="141">
        <f t="shared" si="2"/>
        <v>3244.0125000000003</v>
      </c>
      <c r="I23" s="141">
        <f t="shared" si="3"/>
        <v>68124.262499999997</v>
      </c>
      <c r="J23" s="141">
        <v>0</v>
      </c>
      <c r="K23" s="141"/>
      <c r="L23" s="141"/>
      <c r="M23" s="143">
        <f t="shared" si="4"/>
        <v>68124.262499999997</v>
      </c>
      <c r="N23" s="137"/>
      <c r="O23" s="144"/>
      <c r="P23" s="141"/>
      <c r="Q23" s="141"/>
      <c r="R23" s="141"/>
      <c r="S23" s="141"/>
      <c r="T23" s="141"/>
      <c r="U23" s="159"/>
      <c r="V23" s="139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5" ht="31.2" x14ac:dyDescent="0.3">
      <c r="A24" s="140"/>
      <c r="B24" s="156" t="s">
        <v>122</v>
      </c>
      <c r="C24" s="157">
        <v>44771</v>
      </c>
      <c r="D24" s="158">
        <v>42</v>
      </c>
      <c r="E24" s="141">
        <v>66286.75</v>
      </c>
      <c r="F24" s="141">
        <v>0</v>
      </c>
      <c r="G24" s="141">
        <f t="shared" si="1"/>
        <v>66286.75</v>
      </c>
      <c r="H24" s="141">
        <f t="shared" si="2"/>
        <v>3314.3375000000001</v>
      </c>
      <c r="I24" s="141">
        <f t="shared" si="3"/>
        <v>69601.087499999994</v>
      </c>
      <c r="J24" s="141">
        <v>0</v>
      </c>
      <c r="K24" s="141"/>
      <c r="L24" s="141"/>
      <c r="M24" s="143">
        <f t="shared" si="4"/>
        <v>69601.087499999994</v>
      </c>
      <c r="N24" s="137"/>
      <c r="O24" s="144"/>
      <c r="P24" s="141"/>
      <c r="Q24" s="141"/>
      <c r="R24" s="141"/>
      <c r="S24" s="141"/>
      <c r="T24" s="141"/>
      <c r="U24" s="159"/>
      <c r="V24" s="139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5" ht="31.2" x14ac:dyDescent="0.3">
      <c r="A25" s="140"/>
      <c r="B25" s="156" t="s">
        <v>122</v>
      </c>
      <c r="C25" s="161" t="s">
        <v>123</v>
      </c>
      <c r="D25" s="162">
        <v>43</v>
      </c>
      <c r="E25" s="141">
        <v>62364.5</v>
      </c>
      <c r="F25" s="141">
        <v>0</v>
      </c>
      <c r="G25" s="141">
        <f t="shared" si="1"/>
        <v>62364.5</v>
      </c>
      <c r="H25" s="141">
        <f t="shared" si="2"/>
        <v>3118.2250000000004</v>
      </c>
      <c r="I25" s="141">
        <f t="shared" si="3"/>
        <v>65482.724999999999</v>
      </c>
      <c r="J25" s="141"/>
      <c r="K25" s="141"/>
      <c r="L25" s="141"/>
      <c r="M25" s="143">
        <f t="shared" si="4"/>
        <v>65482.724999999999</v>
      </c>
      <c r="N25" s="137"/>
      <c r="O25" s="144"/>
      <c r="P25" s="141"/>
      <c r="Q25" s="141"/>
      <c r="R25" s="141"/>
      <c r="S25" s="141"/>
      <c r="T25" s="141"/>
      <c r="U25" s="159"/>
      <c r="V25" s="139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5" ht="31.2" x14ac:dyDescent="0.3">
      <c r="A26" s="140"/>
      <c r="B26" s="156" t="s">
        <v>122</v>
      </c>
      <c r="C26" s="157">
        <v>44779</v>
      </c>
      <c r="D26" s="158">
        <v>45</v>
      </c>
      <c r="E26" s="163">
        <v>62205</v>
      </c>
      <c r="F26" s="163"/>
      <c r="G26" s="141">
        <f t="shared" si="1"/>
        <v>62205</v>
      </c>
      <c r="H26" s="141">
        <f t="shared" si="2"/>
        <v>3110.25</v>
      </c>
      <c r="I26" s="141">
        <f t="shared" si="3"/>
        <v>65315.25</v>
      </c>
      <c r="J26" s="141"/>
      <c r="K26" s="141"/>
      <c r="L26" s="141"/>
      <c r="M26" s="143">
        <f t="shared" si="4"/>
        <v>65315.25</v>
      </c>
      <c r="N26" s="137"/>
      <c r="O26" s="144"/>
      <c r="P26" s="141"/>
      <c r="Q26" s="141"/>
      <c r="R26" s="141"/>
      <c r="S26" s="141"/>
      <c r="T26" s="141"/>
      <c r="U26" s="143"/>
      <c r="V26" s="139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5" ht="15.6" x14ac:dyDescent="0.3">
      <c r="A27" s="144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3"/>
      <c r="N27" s="164"/>
      <c r="O27" s="144"/>
      <c r="P27" s="141"/>
      <c r="Q27" s="141"/>
      <c r="R27" s="141"/>
      <c r="S27" s="141"/>
      <c r="T27" s="141"/>
      <c r="U27" s="143"/>
      <c r="V27" s="139"/>
      <c r="W27" s="117"/>
      <c r="X27" s="117"/>
      <c r="Y27" s="117"/>
      <c r="Z27" s="117"/>
      <c r="AA27" s="165">
        <f>SUM(Z7:Z27)</f>
        <v>527.18000000000006</v>
      </c>
      <c r="AB27" s="145" t="s">
        <v>21</v>
      </c>
      <c r="AC27" s="117"/>
      <c r="AD27" s="117"/>
      <c r="AE27" s="117"/>
      <c r="AF27" s="117"/>
      <c r="AG27" s="117"/>
      <c r="AH27" s="117"/>
      <c r="AI27" s="117"/>
    </row>
    <row r="28" spans="1:35" ht="16.2" thickBot="1" x14ac:dyDescent="0.35">
      <c r="A28" s="166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67"/>
      <c r="N28" s="164"/>
      <c r="O28" s="166"/>
      <c r="P28" s="128"/>
      <c r="Q28" s="128"/>
      <c r="R28" s="128"/>
      <c r="S28" s="128"/>
      <c r="T28" s="128"/>
      <c r="U28" s="167"/>
      <c r="V28" s="139"/>
      <c r="W28" s="117"/>
      <c r="X28" s="117"/>
      <c r="Y28" s="117"/>
      <c r="Z28" s="168" t="s">
        <v>33</v>
      </c>
      <c r="AA28" s="169">
        <f>AA5-AA27</f>
        <v>1452.82</v>
      </c>
      <c r="AB28" s="170" t="s">
        <v>21</v>
      </c>
      <c r="AC28" s="117"/>
      <c r="AD28" s="117"/>
      <c r="AE28" s="117"/>
      <c r="AF28" s="117"/>
      <c r="AG28" s="117"/>
      <c r="AH28" s="117"/>
      <c r="AI28" s="117"/>
    </row>
    <row r="29" spans="1:35" ht="16.8" thickBot="1" x14ac:dyDescent="0.35">
      <c r="A29" s="171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3">
        <f>SUM(M7:M26)</f>
        <v>1273906.2000000002</v>
      </c>
      <c r="N29" s="164"/>
      <c r="O29" s="171"/>
      <c r="P29" s="172"/>
      <c r="Q29" s="172"/>
      <c r="R29" s="172"/>
      <c r="S29" s="172"/>
      <c r="T29" s="174">
        <f>SUM(T5:T26)</f>
        <v>1273905</v>
      </c>
      <c r="U29" s="175"/>
      <c r="V29" s="139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5" ht="16.2" thickBot="1" x14ac:dyDescent="0.35">
      <c r="A30" s="176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8"/>
      <c r="N30" s="164"/>
      <c r="O30" s="179"/>
      <c r="P30" s="180"/>
      <c r="Q30" s="180"/>
      <c r="R30" s="180"/>
      <c r="S30" s="180"/>
      <c r="T30" s="181">
        <f>-0.27-0.45</f>
        <v>-0.72</v>
      </c>
      <c r="U30" s="182"/>
      <c r="V30" s="139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</row>
    <row r="31" spans="1:35" ht="16.8" thickBot="1" x14ac:dyDescent="0.35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4"/>
      <c r="O31" s="171"/>
      <c r="P31" s="172"/>
      <c r="Q31" s="172"/>
      <c r="R31" s="172"/>
      <c r="S31" s="172"/>
      <c r="T31" s="174">
        <f>M29-T29+T30</f>
        <v>0.48000000018626454</v>
      </c>
      <c r="U31" s="175"/>
      <c r="V31" s="139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</row>
    <row r="32" spans="1:35" ht="16.2" thickBot="1" x14ac:dyDescent="0.3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84"/>
      <c r="O32" s="176"/>
      <c r="P32" s="177"/>
      <c r="Q32" s="177"/>
      <c r="R32" s="177"/>
      <c r="S32" s="177"/>
      <c r="T32" s="177"/>
      <c r="U32" s="178"/>
      <c r="V32" s="139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</row>
    <row r="33" spans="1:35" ht="15.6" x14ac:dyDescent="0.3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83"/>
      <c r="P33" s="183"/>
      <c r="Q33" s="183"/>
      <c r="R33" s="183"/>
      <c r="S33" s="183"/>
      <c r="T33" s="183"/>
      <c r="U33" s="183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</row>
    <row r="34" spans="1:35" ht="15.6" x14ac:dyDescent="0.3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</row>
    <row r="35" spans="1:35" ht="15.6" x14ac:dyDescent="0.3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</row>
    <row r="36" spans="1:35" ht="15.6" x14ac:dyDescent="0.3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</row>
    <row r="37" spans="1:35" ht="15.6" x14ac:dyDescent="0.3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</row>
    <row r="38" spans="1:35" ht="15.6" x14ac:dyDescent="0.3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</row>
    <row r="39" spans="1:35" ht="15.6" x14ac:dyDescent="0.3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</row>
    <row r="40" spans="1:35" ht="15.6" x14ac:dyDescent="0.3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</row>
    <row r="41" spans="1:35" ht="15.6" x14ac:dyDescent="0.3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</row>
    <row r="42" spans="1:35" ht="15.6" x14ac:dyDescent="0.3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</row>
    <row r="43" spans="1:35" ht="15.6" x14ac:dyDescent="0.3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</row>
    <row r="44" spans="1:35" ht="15.6" x14ac:dyDescent="0.3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</row>
    <row r="45" spans="1:35" ht="15.6" x14ac:dyDescent="0.3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</row>
    <row r="46" spans="1:35" ht="15.6" x14ac:dyDescent="0.3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</row>
    <row r="47" spans="1:35" ht="15.6" x14ac:dyDescent="0.3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</row>
    <row r="48" spans="1:35" ht="15.6" x14ac:dyDescent="0.3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</row>
    <row r="49" spans="1:21" ht="15.6" x14ac:dyDescent="0.3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</row>
    <row r="50" spans="1:21" ht="15.6" x14ac:dyDescent="0.3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</row>
    <row r="51" spans="1:21" ht="15.6" x14ac:dyDescent="0.3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</row>
    <row r="52" spans="1:21" ht="15.6" x14ac:dyDescent="0.3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</row>
    <row r="53" spans="1:21" ht="15.6" x14ac:dyDescent="0.3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</row>
    <row r="54" spans="1:21" ht="15.6" x14ac:dyDescent="0.3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</row>
    <row r="55" spans="1:21" ht="15.6" x14ac:dyDescent="0.3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</row>
    <row r="56" spans="1:21" ht="15.6" x14ac:dyDescent="0.3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</row>
    <row r="57" spans="1:21" ht="15.6" x14ac:dyDescent="0.3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</row>
    <row r="58" spans="1:21" ht="15.6" x14ac:dyDescent="0.3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</row>
    <row r="59" spans="1:21" ht="15.6" x14ac:dyDescent="0.3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</row>
    <row r="60" spans="1:21" ht="15.6" x14ac:dyDescent="0.3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</row>
    <row r="61" spans="1:21" ht="15.6" x14ac:dyDescent="0.3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</row>
    <row r="62" spans="1:21" ht="15.6" x14ac:dyDescent="0.3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</row>
    <row r="63" spans="1:21" ht="15.6" x14ac:dyDescent="0.3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</row>
    <row r="64" spans="1:21" ht="15.6" x14ac:dyDescent="0.3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</row>
    <row r="65" spans="1:21" ht="15.6" x14ac:dyDescent="0.3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</row>
    <row r="66" spans="1:21" ht="15.6" x14ac:dyDescent="0.3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</row>
    <row r="67" spans="1:21" ht="15.6" x14ac:dyDescent="0.3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</row>
    <row r="68" spans="1:21" ht="15.6" x14ac:dyDescent="0.3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</row>
    <row r="69" spans="1:21" ht="15.6" x14ac:dyDescent="0.3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</row>
    <row r="70" spans="1:21" ht="15.6" x14ac:dyDescent="0.3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</row>
    <row r="71" spans="1:21" ht="15.6" x14ac:dyDescent="0.3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</row>
    <row r="72" spans="1:21" ht="15.6" x14ac:dyDescent="0.3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</row>
    <row r="73" spans="1:21" ht="15.6" x14ac:dyDescent="0.3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</row>
    <row r="74" spans="1:21" ht="15.6" x14ac:dyDescent="0.3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</row>
    <row r="75" spans="1:21" ht="15.6" x14ac:dyDescent="0.3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</row>
    <row r="76" spans="1:21" ht="15.6" x14ac:dyDescent="0.3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</row>
    <row r="77" spans="1:21" ht="15.6" x14ac:dyDescent="0.3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</row>
    <row r="78" spans="1:21" ht="15.6" x14ac:dyDescent="0.3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</row>
    <row r="79" spans="1:21" ht="15.6" x14ac:dyDescent="0.3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</row>
    <row r="80" spans="1:21" ht="15.6" x14ac:dyDescent="0.3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</row>
    <row r="81" spans="1:21" ht="15.6" x14ac:dyDescent="0.3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</row>
    <row r="82" spans="1:21" ht="15.6" x14ac:dyDescent="0.3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</row>
    <row r="83" spans="1:21" ht="15.6" x14ac:dyDescent="0.3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</row>
    <row r="84" spans="1:21" ht="15.6" x14ac:dyDescent="0.3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</row>
    <row r="85" spans="1:21" ht="15.6" x14ac:dyDescent="0.3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</row>
    <row r="86" spans="1:21" ht="15.6" x14ac:dyDescent="0.3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</row>
    <row r="87" spans="1:21" ht="15.6" x14ac:dyDescent="0.3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</row>
    <row r="88" spans="1:21" ht="15.6" x14ac:dyDescent="0.3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</row>
    <row r="89" spans="1:21" ht="15.6" x14ac:dyDescent="0.3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</row>
    <row r="90" spans="1:21" ht="15.6" x14ac:dyDescent="0.3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</row>
    <row r="91" spans="1:21" ht="15.6" x14ac:dyDescent="0.3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</row>
    <row r="92" spans="1:21" ht="15.6" x14ac:dyDescent="0.3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</row>
    <row r="93" spans="1:21" ht="15.6" x14ac:dyDescent="0.3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</row>
    <row r="94" spans="1:21" ht="15.6" x14ac:dyDescent="0.3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</row>
    <row r="95" spans="1:21" ht="15.6" x14ac:dyDescent="0.3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</row>
    <row r="96" spans="1:21" ht="15.6" x14ac:dyDescent="0.3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</row>
    <row r="97" spans="1:21" ht="15.6" x14ac:dyDescent="0.3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</row>
    <row r="98" spans="1:21" ht="15.6" x14ac:dyDescent="0.3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</row>
    <row r="99" spans="1:21" ht="15.6" x14ac:dyDescent="0.3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</row>
    <row r="100" spans="1:21" ht="15.6" x14ac:dyDescent="0.3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</row>
    <row r="101" spans="1:21" ht="15.6" x14ac:dyDescent="0.3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</row>
    <row r="102" spans="1:21" ht="15.6" x14ac:dyDescent="0.3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</row>
    <row r="103" spans="1:21" ht="15.6" x14ac:dyDescent="0.3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</row>
    <row r="104" spans="1:21" ht="15.6" x14ac:dyDescent="0.3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</row>
    <row r="105" spans="1:21" ht="15.6" x14ac:dyDescent="0.3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23"/>
  <sheetViews>
    <sheetView topLeftCell="H34" zoomScale="84" zoomScaleNormal="84" workbookViewId="0">
      <selection activeCell="N53" sqref="N53"/>
    </sheetView>
  </sheetViews>
  <sheetFormatPr defaultColWidth="9" defaultRowHeight="14.4" x14ac:dyDescent="0.3"/>
  <cols>
    <col min="1" max="1" width="9" style="16"/>
    <col min="2" max="2" width="31.6640625" style="16" customWidth="1"/>
    <col min="3" max="3" width="14.5546875" style="16" customWidth="1"/>
    <col min="4" max="4" width="19.44140625" style="16" bestFit="1" customWidth="1"/>
    <col min="5" max="5" width="13.44140625" style="16" bestFit="1" customWidth="1"/>
    <col min="6" max="7" width="13.33203125" style="16" customWidth="1"/>
    <col min="8" max="8" width="14.6640625" style="11" customWidth="1"/>
    <col min="9" max="9" width="12.88671875" style="11" bestFit="1" customWidth="1"/>
    <col min="10" max="10" width="10.6640625" style="16" bestFit="1" customWidth="1"/>
    <col min="11" max="11" width="10.44140625" style="16" bestFit="1" customWidth="1"/>
    <col min="12" max="12" width="14.88671875" style="16" customWidth="1"/>
    <col min="13" max="13" width="16.44140625" style="16" customWidth="1"/>
    <col min="14" max="14" width="10" style="16" customWidth="1"/>
    <col min="15" max="15" width="21.6640625" style="16" bestFit="1" customWidth="1"/>
    <col min="16" max="16" width="14.5546875" style="16" customWidth="1"/>
    <col min="17" max="17" width="14.5546875" style="16" bestFit="1" customWidth="1"/>
    <col min="18" max="19" width="14.5546875" style="16" customWidth="1"/>
    <col min="20" max="20" width="17" style="16" customWidth="1"/>
    <col min="21" max="21" width="81.109375" style="16" bestFit="1" customWidth="1"/>
    <col min="22" max="24" width="9" style="16"/>
    <col min="25" max="26" width="9" style="16" customWidth="1"/>
    <col min="27" max="27" width="14.109375" style="16" customWidth="1"/>
    <col min="28" max="28" width="9" style="16" customWidth="1"/>
    <col min="29" max="29" width="9.109375" style="16" customWidth="1"/>
    <col min="30" max="30" width="12.5546875" style="16" customWidth="1"/>
    <col min="31" max="31" width="11.5546875" style="16" customWidth="1"/>
    <col min="32" max="32" width="12.5546875" style="16" customWidth="1"/>
    <col min="33" max="34" width="9" style="16" customWidth="1"/>
    <col min="35" max="16384" width="9" style="16"/>
  </cols>
  <sheetData>
    <row r="1" spans="1:32" s="9" customFormat="1" ht="15" thickBot="1" x14ac:dyDescent="0.35">
      <c r="B1" s="8" t="s">
        <v>16</v>
      </c>
      <c r="E1" s="10"/>
      <c r="F1" s="10"/>
      <c r="G1" s="10"/>
      <c r="H1" s="11"/>
      <c r="I1" s="11"/>
    </row>
    <row r="2" spans="1:32" s="9" customFormat="1" ht="20.399999999999999" thickBot="1" x14ac:dyDescent="0.35">
      <c r="B2" s="12" t="s">
        <v>0</v>
      </c>
      <c r="C2" s="13"/>
      <c r="D2" s="13" t="s">
        <v>94</v>
      </c>
      <c r="H2" s="40"/>
      <c r="I2" s="42" t="s">
        <v>17</v>
      </c>
      <c r="J2" s="14"/>
      <c r="K2" s="14"/>
      <c r="L2" s="14"/>
      <c r="M2" s="14"/>
      <c r="N2" s="14"/>
      <c r="O2" s="15"/>
      <c r="P2" s="14"/>
      <c r="Q2" s="14"/>
      <c r="R2" s="14"/>
      <c r="S2" s="14"/>
      <c r="T2" s="16"/>
      <c r="U2" s="16"/>
    </row>
    <row r="3" spans="1:32" s="9" customFormat="1" ht="15" thickBot="1" x14ac:dyDescent="0.35">
      <c r="B3" s="17"/>
      <c r="C3" s="17"/>
      <c r="D3" s="17"/>
      <c r="E3" s="17"/>
      <c r="F3" s="14"/>
      <c r="G3" s="14"/>
      <c r="H3" s="18"/>
      <c r="I3" s="18"/>
      <c r="J3" s="14"/>
      <c r="K3" s="14"/>
      <c r="L3" s="16"/>
      <c r="M3" s="16"/>
      <c r="N3" s="16"/>
      <c r="O3" s="15"/>
      <c r="P3" s="19"/>
      <c r="Q3" s="19"/>
      <c r="R3" s="19"/>
      <c r="S3" s="19"/>
      <c r="T3" s="19"/>
      <c r="U3" s="19"/>
      <c r="AA3" t="s">
        <v>40</v>
      </c>
    </row>
    <row r="4" spans="1:32" s="9" customFormat="1" ht="43.95" customHeight="1" thickBot="1" x14ac:dyDescent="0.35">
      <c r="B4" s="1" t="s">
        <v>1</v>
      </c>
      <c r="C4" s="5" t="s">
        <v>2</v>
      </c>
      <c r="D4" s="5" t="s">
        <v>3</v>
      </c>
      <c r="E4" s="6" t="s">
        <v>4</v>
      </c>
      <c r="F4" s="5" t="s">
        <v>14</v>
      </c>
      <c r="G4" s="48" t="s">
        <v>15</v>
      </c>
      <c r="H4" s="38" t="s">
        <v>25</v>
      </c>
      <c r="I4" s="39" t="s">
        <v>5</v>
      </c>
      <c r="J4" s="3" t="s">
        <v>38</v>
      </c>
      <c r="K4" s="7" t="s">
        <v>11</v>
      </c>
      <c r="L4" s="7" t="s">
        <v>6</v>
      </c>
      <c r="M4" s="7" t="s">
        <v>7</v>
      </c>
      <c r="N4" s="4"/>
      <c r="O4" s="3" t="s">
        <v>8</v>
      </c>
      <c r="P4" s="3" t="s">
        <v>5</v>
      </c>
      <c r="Q4" s="3" t="s">
        <v>13</v>
      </c>
      <c r="R4" s="2" t="s">
        <v>11</v>
      </c>
      <c r="S4" s="3" t="s">
        <v>12</v>
      </c>
      <c r="T4" s="3" t="s">
        <v>9</v>
      </c>
      <c r="U4" s="7" t="s">
        <v>10</v>
      </c>
      <c r="AA4" s="9" t="s">
        <v>18</v>
      </c>
      <c r="AB4" s="9" t="s">
        <v>19</v>
      </c>
      <c r="AC4" s="9" t="s">
        <v>20</v>
      </c>
      <c r="AD4" s="9" t="s">
        <v>5</v>
      </c>
      <c r="AE4" s="9" t="s">
        <v>22</v>
      </c>
      <c r="AF4" s="9" t="s">
        <v>23</v>
      </c>
    </row>
    <row r="5" spans="1:32" s="9" customFormat="1" x14ac:dyDescent="0.3">
      <c r="B5" s="20"/>
      <c r="C5" s="21"/>
      <c r="D5" s="21"/>
      <c r="E5" s="41"/>
      <c r="F5" s="37"/>
      <c r="G5" s="36"/>
      <c r="H5" s="29">
        <v>0.05</v>
      </c>
      <c r="I5" s="31"/>
      <c r="J5" s="24">
        <v>0.01</v>
      </c>
      <c r="K5" s="25">
        <v>0</v>
      </c>
      <c r="L5" s="26"/>
      <c r="M5" s="26"/>
      <c r="N5" s="4"/>
      <c r="O5" s="27"/>
      <c r="P5" s="22"/>
      <c r="Q5" s="28">
        <v>0.01</v>
      </c>
      <c r="R5" s="29">
        <v>0.05</v>
      </c>
      <c r="S5" s="23"/>
      <c r="T5" s="30"/>
      <c r="U5" s="26"/>
      <c r="Z5" s="9" t="s">
        <v>52</v>
      </c>
      <c r="AA5" s="43">
        <v>3046.5</v>
      </c>
      <c r="AB5" s="43" t="s">
        <v>21</v>
      </c>
      <c r="AC5" s="43">
        <v>1400</v>
      </c>
      <c r="AD5" s="43">
        <f>AC5*AA5</f>
        <v>4265100</v>
      </c>
      <c r="AE5" s="43">
        <f>AD5*5%</f>
        <v>213255</v>
      </c>
      <c r="AF5" s="43">
        <f>AE5+AD5</f>
        <v>4478355</v>
      </c>
    </row>
    <row r="6" spans="1:32" s="98" customFormat="1" ht="22.5" customHeight="1" x14ac:dyDescent="0.3">
      <c r="B6" s="99"/>
      <c r="C6" s="100"/>
      <c r="D6" s="101"/>
      <c r="E6" s="102"/>
      <c r="F6" s="102"/>
      <c r="G6" s="103"/>
      <c r="H6" s="104"/>
      <c r="I6" s="105"/>
      <c r="J6" s="106"/>
      <c r="K6" s="107"/>
      <c r="L6" s="108"/>
      <c r="M6" s="108"/>
      <c r="N6" s="115">
        <f>A7</f>
        <v>50663</v>
      </c>
      <c r="O6" s="109"/>
      <c r="P6" s="110"/>
      <c r="Q6" s="111"/>
      <c r="R6" s="104"/>
      <c r="S6" s="112"/>
      <c r="T6" s="113"/>
      <c r="U6" s="108"/>
      <c r="AA6" s="114"/>
      <c r="AB6" s="114"/>
      <c r="AC6" s="114"/>
      <c r="AD6" s="114"/>
      <c r="AE6" s="114"/>
      <c r="AF6" s="114"/>
    </row>
    <row r="7" spans="1:32" s="9" customFormat="1" ht="32.4" x14ac:dyDescent="0.3">
      <c r="A7" s="9">
        <v>50663</v>
      </c>
      <c r="B7" s="56" t="s">
        <v>24</v>
      </c>
      <c r="C7" s="57">
        <v>44681</v>
      </c>
      <c r="D7" s="58">
        <v>29</v>
      </c>
      <c r="E7" s="59">
        <f>34.8*1550</f>
        <v>53939.999999999993</v>
      </c>
      <c r="F7" s="60">
        <v>0</v>
      </c>
      <c r="G7" s="60">
        <f>E7-F7</f>
        <v>53939.999999999993</v>
      </c>
      <c r="H7" s="61">
        <f>ROUND($H$5*G7,)</f>
        <v>2697</v>
      </c>
      <c r="I7" s="62">
        <f>G7+H7</f>
        <v>56636.999999999993</v>
      </c>
      <c r="J7" s="62">
        <v>0</v>
      </c>
      <c r="K7" s="63">
        <f>G7*K5</f>
        <v>0</v>
      </c>
      <c r="L7" s="63"/>
      <c r="M7" s="63">
        <f>ROUND(I7-SUM(J7:L7),)</f>
        <v>56637</v>
      </c>
      <c r="N7" s="64"/>
      <c r="O7" s="65" t="s">
        <v>95</v>
      </c>
      <c r="P7" s="66">
        <f>SUM(M7:M16)+1</f>
        <v>548468</v>
      </c>
      <c r="Q7" s="66">
        <v>0</v>
      </c>
      <c r="R7" s="67">
        <v>0</v>
      </c>
      <c r="S7" s="67">
        <v>0</v>
      </c>
      <c r="T7" s="68">
        <f>ROUND(P7-Q7-R7-S7,)</f>
        <v>548468</v>
      </c>
      <c r="U7" s="32" t="s">
        <v>96</v>
      </c>
      <c r="Z7" s="18">
        <v>604</v>
      </c>
      <c r="AA7" s="53">
        <f t="shared" ref="AA7:AA32" si="0">G7/1550</f>
        <v>34.799999999999997</v>
      </c>
      <c r="AB7" s="43" t="s">
        <v>21</v>
      </c>
    </row>
    <row r="8" spans="1:32" s="9" customFormat="1" ht="32.4" x14ac:dyDescent="0.3">
      <c r="B8" s="56" t="s">
        <v>29</v>
      </c>
      <c r="C8" s="57">
        <v>44688</v>
      </c>
      <c r="D8" s="58">
        <v>40</v>
      </c>
      <c r="E8" s="59">
        <f>33.2*1550</f>
        <v>51460.000000000007</v>
      </c>
      <c r="F8" s="60">
        <v>0</v>
      </c>
      <c r="G8" s="60">
        <f>E8-F8</f>
        <v>51460.000000000007</v>
      </c>
      <c r="H8" s="61">
        <f t="shared" ref="H8:H43" si="1">ROUND($H$5*G8,)</f>
        <v>2573</v>
      </c>
      <c r="I8" s="62">
        <f>G8+H8</f>
        <v>54033.000000000007</v>
      </c>
      <c r="J8" s="62">
        <v>0</v>
      </c>
      <c r="K8" s="63">
        <v>0</v>
      </c>
      <c r="L8" s="63"/>
      <c r="M8" s="63">
        <f t="shared" ref="M8:M43" si="2">ROUND(I8-SUM(J8:L8),)</f>
        <v>54033</v>
      </c>
      <c r="N8" s="64"/>
      <c r="O8" s="65" t="s">
        <v>97</v>
      </c>
      <c r="P8" s="66">
        <f>SUM(M17:M18)</f>
        <v>127108</v>
      </c>
      <c r="Q8" s="66">
        <v>0</v>
      </c>
      <c r="R8" s="67">
        <v>0</v>
      </c>
      <c r="S8" s="67">
        <v>0</v>
      </c>
      <c r="T8" s="68">
        <f t="shared" ref="T8:T43" si="3">ROUND(P8-Q8-R8-S8,)</f>
        <v>127108</v>
      </c>
      <c r="U8" s="32" t="s">
        <v>98</v>
      </c>
      <c r="Z8" s="18">
        <v>605</v>
      </c>
      <c r="AA8" s="53">
        <f t="shared" si="0"/>
        <v>33.200000000000003</v>
      </c>
      <c r="AB8" s="43" t="s">
        <v>21</v>
      </c>
    </row>
    <row r="9" spans="1:32" s="9" customFormat="1" ht="32.4" x14ac:dyDescent="0.3">
      <c r="B9" s="56" t="s">
        <v>26</v>
      </c>
      <c r="C9" s="57">
        <v>44690</v>
      </c>
      <c r="D9" s="58">
        <v>41</v>
      </c>
      <c r="E9" s="59">
        <f>38.3*1550</f>
        <v>59364.999999999993</v>
      </c>
      <c r="F9" s="60">
        <v>0</v>
      </c>
      <c r="G9" s="60">
        <f>E9-F9</f>
        <v>59364.999999999993</v>
      </c>
      <c r="H9" s="61">
        <f t="shared" si="1"/>
        <v>2968</v>
      </c>
      <c r="I9" s="62">
        <f>G9+H9</f>
        <v>62332.999999999993</v>
      </c>
      <c r="J9" s="62">
        <v>0</v>
      </c>
      <c r="K9" s="70"/>
      <c r="L9" s="70"/>
      <c r="M9" s="63">
        <f t="shared" si="2"/>
        <v>62333</v>
      </c>
      <c r="N9" s="64"/>
      <c r="O9" s="65" t="s">
        <v>99</v>
      </c>
      <c r="P9" s="66">
        <v>300000</v>
      </c>
      <c r="Q9" s="66">
        <v>0</v>
      </c>
      <c r="R9" s="67">
        <v>0</v>
      </c>
      <c r="S9" s="67">
        <v>0</v>
      </c>
      <c r="T9" s="68">
        <f t="shared" si="3"/>
        <v>300000</v>
      </c>
      <c r="U9" s="51" t="s">
        <v>100</v>
      </c>
      <c r="Z9" s="18">
        <v>608</v>
      </c>
      <c r="AA9" s="53">
        <f t="shared" si="0"/>
        <v>38.299999999999997</v>
      </c>
      <c r="AB9" s="43" t="s">
        <v>21</v>
      </c>
    </row>
    <row r="10" spans="1:32" s="9" customFormat="1" ht="32.4" x14ac:dyDescent="0.3">
      <c r="B10" s="56" t="s">
        <v>27</v>
      </c>
      <c r="C10" s="57">
        <v>44690</v>
      </c>
      <c r="D10" s="71">
        <v>42</v>
      </c>
      <c r="E10" s="72">
        <f>36.3*1550</f>
        <v>56264.999999999993</v>
      </c>
      <c r="F10" s="60">
        <v>0</v>
      </c>
      <c r="G10" s="60">
        <f t="shared" ref="G10:G43" si="4">E10-F10</f>
        <v>56264.999999999993</v>
      </c>
      <c r="H10" s="61">
        <f t="shared" si="1"/>
        <v>2813</v>
      </c>
      <c r="I10" s="62">
        <f t="shared" ref="I10:I43" si="5">G10+H10</f>
        <v>59077.999999999993</v>
      </c>
      <c r="J10" s="62">
        <v>0</v>
      </c>
      <c r="K10" s="70"/>
      <c r="L10" s="70"/>
      <c r="M10" s="63">
        <f t="shared" si="2"/>
        <v>59078</v>
      </c>
      <c r="N10" s="73"/>
      <c r="O10" s="65" t="s">
        <v>101</v>
      </c>
      <c r="P10" s="66">
        <f>SUM(M19:M25)</f>
        <v>394670</v>
      </c>
      <c r="Q10" s="66">
        <v>0</v>
      </c>
      <c r="R10" s="67">
        <v>0</v>
      </c>
      <c r="S10" s="67">
        <f>T9</f>
        <v>300000</v>
      </c>
      <c r="T10" s="68">
        <f>ROUND(P10-Q10-R10-S10,)-1</f>
        <v>94669</v>
      </c>
      <c r="U10" s="32" t="s">
        <v>102</v>
      </c>
      <c r="Z10" s="18">
        <v>607</v>
      </c>
      <c r="AA10" s="53">
        <f t="shared" si="0"/>
        <v>36.299999999999997</v>
      </c>
      <c r="AB10" s="43" t="s">
        <v>21</v>
      </c>
    </row>
    <row r="11" spans="1:32" s="9" customFormat="1" ht="32.4" x14ac:dyDescent="0.3">
      <c r="B11" s="56" t="s">
        <v>27</v>
      </c>
      <c r="C11" s="57">
        <v>44693</v>
      </c>
      <c r="D11" s="71">
        <v>51</v>
      </c>
      <c r="E11" s="72">
        <f>31.6*1550</f>
        <v>48980</v>
      </c>
      <c r="F11" s="60">
        <v>0</v>
      </c>
      <c r="G11" s="60">
        <f t="shared" si="4"/>
        <v>48980</v>
      </c>
      <c r="H11" s="61">
        <f t="shared" si="1"/>
        <v>2449</v>
      </c>
      <c r="I11" s="62">
        <f t="shared" si="5"/>
        <v>51429</v>
      </c>
      <c r="J11" s="62">
        <v>0</v>
      </c>
      <c r="K11" s="70"/>
      <c r="L11" s="70"/>
      <c r="M11" s="63">
        <f t="shared" si="2"/>
        <v>51429</v>
      </c>
      <c r="N11" s="73"/>
      <c r="O11" s="65" t="s">
        <v>103</v>
      </c>
      <c r="P11" s="66">
        <f>SUM(M26:M39)</f>
        <v>764928</v>
      </c>
      <c r="Q11" s="66">
        <v>0</v>
      </c>
      <c r="R11" s="67">
        <v>0</v>
      </c>
      <c r="S11" s="67">
        <v>0</v>
      </c>
      <c r="T11" s="68">
        <f t="shared" si="3"/>
        <v>764928</v>
      </c>
      <c r="U11" s="34" t="s">
        <v>104</v>
      </c>
      <c r="Z11" s="18">
        <v>610</v>
      </c>
      <c r="AA11" s="53">
        <f t="shared" si="0"/>
        <v>31.6</v>
      </c>
      <c r="AB11" s="43" t="s">
        <v>21</v>
      </c>
    </row>
    <row r="12" spans="1:32" s="9" customFormat="1" ht="32.4" x14ac:dyDescent="0.3">
      <c r="B12" s="56" t="s">
        <v>28</v>
      </c>
      <c r="C12" s="57">
        <v>44692</v>
      </c>
      <c r="D12" s="71">
        <v>45</v>
      </c>
      <c r="E12" s="72">
        <f>33.5*1550</f>
        <v>51925</v>
      </c>
      <c r="F12" s="60">
        <v>0</v>
      </c>
      <c r="G12" s="60">
        <f t="shared" si="4"/>
        <v>51925</v>
      </c>
      <c r="H12" s="61">
        <f t="shared" si="1"/>
        <v>2596</v>
      </c>
      <c r="I12" s="62">
        <f t="shared" si="5"/>
        <v>54521</v>
      </c>
      <c r="J12" s="62">
        <v>0</v>
      </c>
      <c r="K12" s="70"/>
      <c r="L12" s="70"/>
      <c r="M12" s="63">
        <f t="shared" si="2"/>
        <v>54521</v>
      </c>
      <c r="N12" s="73"/>
      <c r="O12" s="65"/>
      <c r="P12" s="66"/>
      <c r="Q12" s="66">
        <v>0</v>
      </c>
      <c r="R12" s="67">
        <v>0</v>
      </c>
      <c r="S12" s="67">
        <v>0</v>
      </c>
      <c r="T12" s="68">
        <f t="shared" si="3"/>
        <v>0</v>
      </c>
      <c r="U12" s="34"/>
      <c r="Z12" s="9">
        <v>609</v>
      </c>
      <c r="AA12" s="53">
        <f t="shared" si="0"/>
        <v>33.5</v>
      </c>
      <c r="AB12" s="43" t="s">
        <v>21</v>
      </c>
    </row>
    <row r="13" spans="1:32" s="9" customFormat="1" ht="32.4" x14ac:dyDescent="0.3">
      <c r="B13" s="56" t="s">
        <v>30</v>
      </c>
      <c r="C13" s="57">
        <v>44692</v>
      </c>
      <c r="D13" s="71">
        <v>49</v>
      </c>
      <c r="E13" s="72">
        <f>29.5*1550</f>
        <v>45725</v>
      </c>
      <c r="F13" s="60">
        <v>0</v>
      </c>
      <c r="G13" s="60">
        <f t="shared" si="4"/>
        <v>45725</v>
      </c>
      <c r="H13" s="61">
        <f t="shared" si="1"/>
        <v>2286</v>
      </c>
      <c r="I13" s="62">
        <f t="shared" si="5"/>
        <v>48011</v>
      </c>
      <c r="J13" s="62">
        <v>0</v>
      </c>
      <c r="K13" s="70"/>
      <c r="L13" s="70"/>
      <c r="M13" s="63">
        <f t="shared" si="2"/>
        <v>48011</v>
      </c>
      <c r="N13" s="73"/>
      <c r="O13" s="65"/>
      <c r="P13" s="66"/>
      <c r="Q13" s="66">
        <v>0</v>
      </c>
      <c r="R13" s="67">
        <v>0</v>
      </c>
      <c r="S13" s="67">
        <v>0</v>
      </c>
      <c r="T13" s="68">
        <f t="shared" si="3"/>
        <v>0</v>
      </c>
      <c r="U13" s="34"/>
      <c r="Z13" s="9">
        <v>611</v>
      </c>
      <c r="AA13" s="53">
        <f t="shared" si="0"/>
        <v>29.5</v>
      </c>
      <c r="AB13" s="43" t="s">
        <v>21</v>
      </c>
    </row>
    <row r="14" spans="1:32" s="9" customFormat="1" ht="32.4" x14ac:dyDescent="0.3">
      <c r="B14" s="56" t="s">
        <v>31</v>
      </c>
      <c r="C14" s="57">
        <v>44688</v>
      </c>
      <c r="D14" s="71">
        <v>38</v>
      </c>
      <c r="E14" s="72">
        <f>30.2*1550</f>
        <v>46810</v>
      </c>
      <c r="F14" s="60">
        <v>0</v>
      </c>
      <c r="G14" s="60">
        <f t="shared" si="4"/>
        <v>46810</v>
      </c>
      <c r="H14" s="61">
        <f t="shared" si="1"/>
        <v>2341</v>
      </c>
      <c r="I14" s="74">
        <f t="shared" si="5"/>
        <v>49151</v>
      </c>
      <c r="J14" s="62">
        <v>0</v>
      </c>
      <c r="K14" s="70"/>
      <c r="L14" s="70"/>
      <c r="M14" s="63">
        <f t="shared" si="2"/>
        <v>49151</v>
      </c>
      <c r="N14" s="73"/>
      <c r="O14" s="65"/>
      <c r="P14" s="66"/>
      <c r="Q14" s="66">
        <v>0</v>
      </c>
      <c r="R14" s="67">
        <v>0</v>
      </c>
      <c r="S14" s="67">
        <v>0</v>
      </c>
      <c r="T14" s="68">
        <f t="shared" si="3"/>
        <v>0</v>
      </c>
      <c r="U14" s="34"/>
      <c r="Z14" s="9">
        <v>612</v>
      </c>
      <c r="AA14" s="53">
        <f t="shared" si="0"/>
        <v>30.2</v>
      </c>
      <c r="AB14" s="43" t="s">
        <v>21</v>
      </c>
    </row>
    <row r="15" spans="1:32" s="9" customFormat="1" ht="32.4" x14ac:dyDescent="0.3">
      <c r="B15" s="56" t="s">
        <v>31</v>
      </c>
      <c r="C15" s="57">
        <v>44687</v>
      </c>
      <c r="D15" s="71">
        <v>37</v>
      </c>
      <c r="E15" s="72">
        <f>34.1*1550</f>
        <v>52855</v>
      </c>
      <c r="F15" s="60">
        <v>0</v>
      </c>
      <c r="G15" s="60">
        <f t="shared" si="4"/>
        <v>52855</v>
      </c>
      <c r="H15" s="61">
        <f t="shared" si="1"/>
        <v>2643</v>
      </c>
      <c r="I15" s="74">
        <f t="shared" si="5"/>
        <v>55498</v>
      </c>
      <c r="J15" s="62">
        <v>0</v>
      </c>
      <c r="K15" s="70"/>
      <c r="L15" s="70"/>
      <c r="M15" s="63">
        <f t="shared" si="2"/>
        <v>55498</v>
      </c>
      <c r="N15" s="73"/>
      <c r="O15" s="65"/>
      <c r="P15" s="66"/>
      <c r="Q15" s="66"/>
      <c r="R15" s="67"/>
      <c r="S15" s="67"/>
      <c r="T15" s="68">
        <f t="shared" si="3"/>
        <v>0</v>
      </c>
      <c r="U15" s="34"/>
      <c r="Z15" s="9">
        <v>613</v>
      </c>
      <c r="AA15" s="53">
        <f t="shared" si="0"/>
        <v>34.1</v>
      </c>
      <c r="AB15" s="43" t="s">
        <v>21</v>
      </c>
    </row>
    <row r="16" spans="1:32" s="9" customFormat="1" ht="32.4" x14ac:dyDescent="0.3">
      <c r="B16" s="56" t="s">
        <v>32</v>
      </c>
      <c r="C16" s="57">
        <v>44681</v>
      </c>
      <c r="D16" s="71">
        <v>28</v>
      </c>
      <c r="E16" s="72">
        <f>35.5*1550</f>
        <v>55025</v>
      </c>
      <c r="F16" s="60">
        <v>0</v>
      </c>
      <c r="G16" s="60">
        <f t="shared" si="4"/>
        <v>55025</v>
      </c>
      <c r="H16" s="61">
        <f t="shared" si="1"/>
        <v>2751</v>
      </c>
      <c r="I16" s="74">
        <f t="shared" si="5"/>
        <v>57776</v>
      </c>
      <c r="J16" s="62">
        <v>0</v>
      </c>
      <c r="K16" s="70"/>
      <c r="L16" s="70"/>
      <c r="M16" s="63">
        <f t="shared" si="2"/>
        <v>57776</v>
      </c>
      <c r="N16" s="73"/>
      <c r="O16" s="65"/>
      <c r="P16" s="66"/>
      <c r="Q16" s="66"/>
      <c r="R16" s="67"/>
      <c r="S16" s="67"/>
      <c r="T16" s="68">
        <f t="shared" si="3"/>
        <v>0</v>
      </c>
      <c r="U16" s="34"/>
      <c r="Z16" s="9">
        <v>614</v>
      </c>
      <c r="AA16" s="53">
        <f t="shared" si="0"/>
        <v>35.5</v>
      </c>
      <c r="AB16" s="43" t="s">
        <v>21</v>
      </c>
    </row>
    <row r="17" spans="2:28" s="9" customFormat="1" ht="32.4" x14ac:dyDescent="0.3">
      <c r="B17" s="56" t="s">
        <v>32</v>
      </c>
      <c r="C17" s="57">
        <v>44692</v>
      </c>
      <c r="D17" s="71">
        <v>47</v>
      </c>
      <c r="E17" s="72">
        <f>38.9*1550</f>
        <v>60295</v>
      </c>
      <c r="F17" s="60">
        <v>0</v>
      </c>
      <c r="G17" s="60">
        <f t="shared" si="4"/>
        <v>60295</v>
      </c>
      <c r="H17" s="61">
        <f t="shared" si="1"/>
        <v>3015</v>
      </c>
      <c r="I17" s="74">
        <f t="shared" si="5"/>
        <v>63310</v>
      </c>
      <c r="J17" s="62">
        <v>0</v>
      </c>
      <c r="K17" s="70"/>
      <c r="L17" s="70"/>
      <c r="M17" s="63">
        <f t="shared" si="2"/>
        <v>63310</v>
      </c>
      <c r="N17" s="73"/>
      <c r="O17" s="65"/>
      <c r="P17" s="66"/>
      <c r="Q17" s="66"/>
      <c r="R17" s="67"/>
      <c r="S17" s="67"/>
      <c r="T17" s="68">
        <f t="shared" si="3"/>
        <v>0</v>
      </c>
      <c r="U17" s="34"/>
      <c r="Z17" s="9">
        <v>616</v>
      </c>
      <c r="AA17" s="53">
        <f t="shared" si="0"/>
        <v>38.9</v>
      </c>
      <c r="AB17" s="43" t="s">
        <v>21</v>
      </c>
    </row>
    <row r="18" spans="2:28" s="9" customFormat="1" ht="32.4" x14ac:dyDescent="0.3">
      <c r="B18" s="56" t="s">
        <v>34</v>
      </c>
      <c r="C18" s="57">
        <v>44692</v>
      </c>
      <c r="D18" s="71">
        <v>46</v>
      </c>
      <c r="E18" s="72">
        <f>39.2*1550</f>
        <v>60760.000000000007</v>
      </c>
      <c r="F18" s="60">
        <v>0</v>
      </c>
      <c r="G18" s="60">
        <f t="shared" si="4"/>
        <v>60760.000000000007</v>
      </c>
      <c r="H18" s="61">
        <f t="shared" si="1"/>
        <v>3038</v>
      </c>
      <c r="I18" s="74">
        <f t="shared" si="5"/>
        <v>63798.000000000007</v>
      </c>
      <c r="J18" s="62">
        <v>0</v>
      </c>
      <c r="K18" s="70"/>
      <c r="L18" s="70"/>
      <c r="M18" s="63">
        <f t="shared" si="2"/>
        <v>63798</v>
      </c>
      <c r="N18" s="73"/>
      <c r="O18" s="65"/>
      <c r="P18" s="66"/>
      <c r="Q18" s="66"/>
      <c r="R18" s="67"/>
      <c r="S18" s="67"/>
      <c r="T18" s="68">
        <f t="shared" si="3"/>
        <v>0</v>
      </c>
      <c r="U18" s="34"/>
      <c r="Z18" s="9">
        <v>617</v>
      </c>
      <c r="AA18" s="53">
        <f t="shared" si="0"/>
        <v>39.200000000000003</v>
      </c>
      <c r="AB18" s="43" t="s">
        <v>21</v>
      </c>
    </row>
    <row r="19" spans="2:28" s="9" customFormat="1" ht="32.4" x14ac:dyDescent="0.3">
      <c r="B19" s="56" t="s">
        <v>34</v>
      </c>
      <c r="C19" s="57">
        <v>44697</v>
      </c>
      <c r="D19" s="71">
        <v>54</v>
      </c>
      <c r="E19" s="72">
        <f>43.4*1550</f>
        <v>67270</v>
      </c>
      <c r="F19" s="60">
        <v>0</v>
      </c>
      <c r="G19" s="60">
        <f t="shared" si="4"/>
        <v>67270</v>
      </c>
      <c r="H19" s="61">
        <f t="shared" si="1"/>
        <v>3364</v>
      </c>
      <c r="I19" s="74">
        <f t="shared" si="5"/>
        <v>70634</v>
      </c>
      <c r="J19" s="62">
        <v>0</v>
      </c>
      <c r="K19" s="70"/>
      <c r="L19" s="70"/>
      <c r="M19" s="63">
        <f t="shared" si="2"/>
        <v>70634</v>
      </c>
      <c r="N19" s="73"/>
      <c r="O19" s="65"/>
      <c r="P19" s="66"/>
      <c r="Q19" s="66"/>
      <c r="R19" s="67"/>
      <c r="S19" s="67"/>
      <c r="T19" s="68">
        <f t="shared" si="3"/>
        <v>0</v>
      </c>
      <c r="U19" s="34"/>
      <c r="Z19" s="9">
        <v>625</v>
      </c>
      <c r="AA19" s="53">
        <f t="shared" si="0"/>
        <v>43.4</v>
      </c>
      <c r="AB19" s="43" t="s">
        <v>21</v>
      </c>
    </row>
    <row r="20" spans="2:28" s="9" customFormat="1" ht="32.4" x14ac:dyDescent="0.3">
      <c r="B20" s="56" t="s">
        <v>35</v>
      </c>
      <c r="C20" s="57">
        <v>44697</v>
      </c>
      <c r="D20" s="71">
        <v>55</v>
      </c>
      <c r="E20" s="72">
        <f>34.4*1550</f>
        <v>53320</v>
      </c>
      <c r="F20" s="60">
        <v>0</v>
      </c>
      <c r="G20" s="60">
        <f t="shared" si="4"/>
        <v>53320</v>
      </c>
      <c r="H20" s="61">
        <f t="shared" si="1"/>
        <v>2666</v>
      </c>
      <c r="I20" s="74">
        <f t="shared" si="5"/>
        <v>55986</v>
      </c>
      <c r="J20" s="62">
        <v>0</v>
      </c>
      <c r="K20" s="70"/>
      <c r="L20" s="70"/>
      <c r="M20" s="63">
        <f t="shared" si="2"/>
        <v>55986</v>
      </c>
      <c r="N20" s="73"/>
      <c r="O20" s="65"/>
      <c r="P20" s="66"/>
      <c r="Q20" s="66"/>
      <c r="R20" s="67"/>
      <c r="S20" s="67"/>
      <c r="T20" s="68">
        <f t="shared" si="3"/>
        <v>0</v>
      </c>
      <c r="U20" s="34"/>
      <c r="Z20" s="9">
        <v>624</v>
      </c>
      <c r="AA20" s="53">
        <f t="shared" si="0"/>
        <v>34.4</v>
      </c>
      <c r="AB20" s="43" t="s">
        <v>21</v>
      </c>
    </row>
    <row r="21" spans="2:28" s="9" customFormat="1" ht="31.95" customHeight="1" x14ac:dyDescent="0.3">
      <c r="B21" s="56" t="s">
        <v>36</v>
      </c>
      <c r="C21" s="57">
        <v>44697</v>
      </c>
      <c r="D21" s="71">
        <v>56</v>
      </c>
      <c r="E21" s="72">
        <f>34.7*1550</f>
        <v>53785.000000000007</v>
      </c>
      <c r="F21" s="60">
        <v>0</v>
      </c>
      <c r="G21" s="60">
        <f t="shared" si="4"/>
        <v>53785.000000000007</v>
      </c>
      <c r="H21" s="61">
        <f t="shared" si="1"/>
        <v>2689</v>
      </c>
      <c r="I21" s="74">
        <f t="shared" si="5"/>
        <v>56474.000000000007</v>
      </c>
      <c r="J21" s="62">
        <v>0</v>
      </c>
      <c r="K21" s="70"/>
      <c r="L21" s="70"/>
      <c r="M21" s="63">
        <f t="shared" si="2"/>
        <v>56474</v>
      </c>
      <c r="N21" s="73"/>
      <c r="O21" s="65"/>
      <c r="P21" s="66"/>
      <c r="Q21" s="66"/>
      <c r="R21" s="67"/>
      <c r="S21" s="67"/>
      <c r="T21" s="68">
        <f t="shared" si="3"/>
        <v>0</v>
      </c>
      <c r="U21" s="34"/>
      <c r="Z21" s="9">
        <v>627</v>
      </c>
      <c r="AA21" s="53">
        <f t="shared" si="0"/>
        <v>34.700000000000003</v>
      </c>
      <c r="AB21" s="43" t="s">
        <v>21</v>
      </c>
    </row>
    <row r="22" spans="2:28" s="9" customFormat="1" ht="32.4" x14ac:dyDescent="0.3">
      <c r="B22" s="56" t="s">
        <v>37</v>
      </c>
      <c r="C22" s="57">
        <v>44698</v>
      </c>
      <c r="D22" s="71">
        <v>57</v>
      </c>
      <c r="E22" s="72">
        <f>34.5*1550</f>
        <v>53475</v>
      </c>
      <c r="F22" s="60">
        <v>0</v>
      </c>
      <c r="G22" s="60">
        <f t="shared" si="4"/>
        <v>53475</v>
      </c>
      <c r="H22" s="61">
        <f t="shared" si="1"/>
        <v>2674</v>
      </c>
      <c r="I22" s="74">
        <f t="shared" si="5"/>
        <v>56149</v>
      </c>
      <c r="J22" s="62">
        <v>0</v>
      </c>
      <c r="K22" s="70"/>
      <c r="L22" s="70"/>
      <c r="M22" s="63">
        <f t="shared" si="2"/>
        <v>56149</v>
      </c>
      <c r="N22" s="73"/>
      <c r="O22" s="65"/>
      <c r="P22" s="66"/>
      <c r="Q22" s="66"/>
      <c r="R22" s="67"/>
      <c r="S22" s="67"/>
      <c r="T22" s="68">
        <f t="shared" si="3"/>
        <v>0</v>
      </c>
      <c r="U22" s="34"/>
      <c r="Z22" s="9">
        <v>628</v>
      </c>
      <c r="AA22" s="53">
        <f t="shared" si="0"/>
        <v>34.5</v>
      </c>
      <c r="AB22" s="43" t="s">
        <v>21</v>
      </c>
    </row>
    <row r="23" spans="2:28" s="9" customFormat="1" ht="32.4" x14ac:dyDescent="0.3">
      <c r="B23" s="56" t="s">
        <v>37</v>
      </c>
      <c r="C23" s="57">
        <v>44699</v>
      </c>
      <c r="D23" s="71">
        <v>58</v>
      </c>
      <c r="E23" s="72">
        <f>31.6*1550</f>
        <v>48980</v>
      </c>
      <c r="F23" s="60">
        <v>0</v>
      </c>
      <c r="G23" s="60">
        <f t="shared" si="4"/>
        <v>48980</v>
      </c>
      <c r="H23" s="61">
        <f t="shared" si="1"/>
        <v>2449</v>
      </c>
      <c r="I23" s="74">
        <f t="shared" si="5"/>
        <v>51429</v>
      </c>
      <c r="J23" s="62">
        <v>0</v>
      </c>
      <c r="K23" s="70"/>
      <c r="L23" s="70"/>
      <c r="M23" s="63">
        <f t="shared" si="2"/>
        <v>51429</v>
      </c>
      <c r="N23" s="73"/>
      <c r="O23" s="65"/>
      <c r="P23" s="66"/>
      <c r="Q23" s="66"/>
      <c r="R23" s="67"/>
      <c r="S23" s="67"/>
      <c r="T23" s="68">
        <f t="shared" si="3"/>
        <v>0</v>
      </c>
      <c r="U23" s="34"/>
      <c r="Z23" s="9">
        <v>626</v>
      </c>
      <c r="AA23" s="53">
        <f t="shared" si="0"/>
        <v>31.6</v>
      </c>
      <c r="AB23" s="43" t="s">
        <v>21</v>
      </c>
    </row>
    <row r="24" spans="2:28" s="9" customFormat="1" ht="32.4" x14ac:dyDescent="0.3">
      <c r="B24" s="56" t="s">
        <v>37</v>
      </c>
      <c r="C24" s="57">
        <v>44701</v>
      </c>
      <c r="D24" s="71">
        <v>59</v>
      </c>
      <c r="E24" s="72">
        <f>33.3*1550</f>
        <v>51614.999999999993</v>
      </c>
      <c r="F24" s="60">
        <v>0</v>
      </c>
      <c r="G24" s="60">
        <f t="shared" si="4"/>
        <v>51614.999999999993</v>
      </c>
      <c r="H24" s="61">
        <f t="shared" si="1"/>
        <v>2581</v>
      </c>
      <c r="I24" s="74">
        <f t="shared" si="5"/>
        <v>54195.999999999993</v>
      </c>
      <c r="J24" s="62">
        <v>0</v>
      </c>
      <c r="K24" s="70"/>
      <c r="L24" s="70"/>
      <c r="M24" s="63">
        <f t="shared" si="2"/>
        <v>54196</v>
      </c>
      <c r="N24" s="73"/>
      <c r="O24" s="65"/>
      <c r="P24" s="66"/>
      <c r="Q24" s="66"/>
      <c r="R24" s="67"/>
      <c r="S24" s="67"/>
      <c r="T24" s="68">
        <f t="shared" si="3"/>
        <v>0</v>
      </c>
      <c r="U24" s="34"/>
      <c r="Z24" s="9">
        <v>623</v>
      </c>
      <c r="AA24" s="53">
        <f t="shared" si="0"/>
        <v>33.299999999999997</v>
      </c>
      <c r="AB24" s="43" t="s">
        <v>21</v>
      </c>
    </row>
    <row r="25" spans="2:28" s="9" customFormat="1" ht="32.4" x14ac:dyDescent="0.3">
      <c r="B25" s="56" t="s">
        <v>37</v>
      </c>
      <c r="C25" s="57">
        <v>44701</v>
      </c>
      <c r="D25" s="71">
        <v>60</v>
      </c>
      <c r="E25" s="72">
        <f>30.6*1550</f>
        <v>47430</v>
      </c>
      <c r="F25" s="60">
        <v>0</v>
      </c>
      <c r="G25" s="60">
        <f t="shared" si="4"/>
        <v>47430</v>
      </c>
      <c r="H25" s="61">
        <f t="shared" si="1"/>
        <v>2372</v>
      </c>
      <c r="I25" s="74">
        <f t="shared" si="5"/>
        <v>49802</v>
      </c>
      <c r="J25" s="62">
        <v>0</v>
      </c>
      <c r="K25" s="70"/>
      <c r="L25" s="70"/>
      <c r="M25" s="63">
        <f t="shared" si="2"/>
        <v>49802</v>
      </c>
      <c r="N25" s="73"/>
      <c r="O25" s="65"/>
      <c r="P25" s="75"/>
      <c r="Q25" s="75"/>
      <c r="R25" s="75"/>
      <c r="S25" s="75"/>
      <c r="T25" s="68">
        <f t="shared" si="3"/>
        <v>0</v>
      </c>
      <c r="U25" s="34"/>
      <c r="Z25" s="52">
        <v>622</v>
      </c>
      <c r="AA25" s="53">
        <f t="shared" si="0"/>
        <v>30.6</v>
      </c>
      <c r="AB25" s="43" t="s">
        <v>21</v>
      </c>
    </row>
    <row r="26" spans="2:28" s="9" customFormat="1" ht="32.4" x14ac:dyDescent="0.3">
      <c r="B26" s="56" t="s">
        <v>37</v>
      </c>
      <c r="C26" s="57">
        <v>44743</v>
      </c>
      <c r="D26" s="71">
        <v>159</v>
      </c>
      <c r="E26" s="72">
        <f>28.5*1550</f>
        <v>44175</v>
      </c>
      <c r="F26" s="60">
        <v>0</v>
      </c>
      <c r="G26" s="60">
        <f t="shared" si="4"/>
        <v>44175</v>
      </c>
      <c r="H26" s="61">
        <f t="shared" si="1"/>
        <v>2209</v>
      </c>
      <c r="I26" s="74">
        <f t="shared" si="5"/>
        <v>46384</v>
      </c>
      <c r="J26" s="62">
        <v>0</v>
      </c>
      <c r="K26" s="70"/>
      <c r="L26" s="70"/>
      <c r="M26" s="63">
        <f t="shared" si="2"/>
        <v>46384</v>
      </c>
      <c r="N26" s="73"/>
      <c r="O26" s="77"/>
      <c r="P26" s="78"/>
      <c r="Q26" s="78"/>
      <c r="R26" s="78"/>
      <c r="S26" s="78"/>
      <c r="T26" s="68">
        <f t="shared" si="3"/>
        <v>0</v>
      </c>
      <c r="U26" s="34"/>
      <c r="Z26" s="52">
        <v>674</v>
      </c>
      <c r="AA26" s="53">
        <f t="shared" si="0"/>
        <v>28.5</v>
      </c>
      <c r="AB26" s="43" t="s">
        <v>21</v>
      </c>
    </row>
    <row r="27" spans="2:28" s="9" customFormat="1" ht="32.4" x14ac:dyDescent="0.3">
      <c r="B27" s="56" t="s">
        <v>37</v>
      </c>
      <c r="C27" s="57">
        <v>44743</v>
      </c>
      <c r="D27" s="71">
        <v>162</v>
      </c>
      <c r="E27" s="72">
        <f>33*1550</f>
        <v>51150</v>
      </c>
      <c r="F27" s="60">
        <v>0</v>
      </c>
      <c r="G27" s="60">
        <f t="shared" si="4"/>
        <v>51150</v>
      </c>
      <c r="H27" s="61">
        <f t="shared" si="1"/>
        <v>2558</v>
      </c>
      <c r="I27" s="74">
        <f t="shared" si="5"/>
        <v>53708</v>
      </c>
      <c r="J27" s="62">
        <v>0</v>
      </c>
      <c r="K27" s="70"/>
      <c r="L27" s="70"/>
      <c r="M27" s="63">
        <f t="shared" si="2"/>
        <v>53708</v>
      </c>
      <c r="N27" s="73"/>
      <c r="O27" s="77"/>
      <c r="P27" s="78"/>
      <c r="Q27" s="78"/>
      <c r="R27" s="78"/>
      <c r="S27" s="78"/>
      <c r="T27" s="68">
        <f t="shared" si="3"/>
        <v>0</v>
      </c>
      <c r="U27" s="34"/>
      <c r="Z27" s="52">
        <v>675</v>
      </c>
      <c r="AA27" s="53">
        <f t="shared" si="0"/>
        <v>33</v>
      </c>
      <c r="AB27" s="43" t="s">
        <v>21</v>
      </c>
    </row>
    <row r="28" spans="2:28" s="9" customFormat="1" ht="32.4" x14ac:dyDescent="0.3">
      <c r="B28" s="56" t="s">
        <v>37</v>
      </c>
      <c r="C28" s="57">
        <v>44743</v>
      </c>
      <c r="D28" s="71">
        <v>155</v>
      </c>
      <c r="E28" s="72">
        <f>34.4*1550</f>
        <v>53320</v>
      </c>
      <c r="F28" s="60">
        <v>0</v>
      </c>
      <c r="G28" s="60">
        <f t="shared" si="4"/>
        <v>53320</v>
      </c>
      <c r="H28" s="61">
        <f t="shared" si="1"/>
        <v>2666</v>
      </c>
      <c r="I28" s="62">
        <f t="shared" si="5"/>
        <v>55986</v>
      </c>
      <c r="J28" s="62">
        <v>0</v>
      </c>
      <c r="K28" s="70"/>
      <c r="L28" s="70"/>
      <c r="M28" s="63">
        <f t="shared" si="2"/>
        <v>55986</v>
      </c>
      <c r="N28" s="73"/>
      <c r="O28" s="77"/>
      <c r="P28" s="78"/>
      <c r="Q28" s="78"/>
      <c r="R28" s="78"/>
      <c r="S28" s="78"/>
      <c r="T28" s="68">
        <f t="shared" si="3"/>
        <v>0</v>
      </c>
      <c r="U28" s="34"/>
      <c r="Z28" s="52">
        <v>677</v>
      </c>
      <c r="AA28" s="53">
        <f t="shared" si="0"/>
        <v>34.4</v>
      </c>
      <c r="AB28" s="43" t="s">
        <v>21</v>
      </c>
    </row>
    <row r="29" spans="2:28" s="9" customFormat="1" ht="32.4" x14ac:dyDescent="0.3">
      <c r="B29" s="56" t="s">
        <v>37</v>
      </c>
      <c r="C29" s="57">
        <v>44743</v>
      </c>
      <c r="D29" s="71">
        <v>154</v>
      </c>
      <c r="E29" s="72">
        <f>44.2*1550</f>
        <v>68510</v>
      </c>
      <c r="F29" s="60">
        <v>0</v>
      </c>
      <c r="G29" s="60">
        <f t="shared" si="4"/>
        <v>68510</v>
      </c>
      <c r="H29" s="61">
        <f t="shared" si="1"/>
        <v>3426</v>
      </c>
      <c r="I29" s="62">
        <f t="shared" si="5"/>
        <v>71936</v>
      </c>
      <c r="J29" s="62">
        <v>0</v>
      </c>
      <c r="K29" s="70"/>
      <c r="L29" s="70"/>
      <c r="M29" s="63">
        <f t="shared" si="2"/>
        <v>71936</v>
      </c>
      <c r="N29" s="73"/>
      <c r="O29" s="77"/>
      <c r="P29" s="78"/>
      <c r="Q29" s="78"/>
      <c r="R29" s="78"/>
      <c r="S29" s="78"/>
      <c r="T29" s="68">
        <f t="shared" si="3"/>
        <v>0</v>
      </c>
      <c r="U29" s="34"/>
      <c r="Z29" s="52">
        <v>676</v>
      </c>
      <c r="AA29" s="53">
        <f t="shared" si="0"/>
        <v>44.2</v>
      </c>
      <c r="AB29" s="43" t="s">
        <v>21</v>
      </c>
    </row>
    <row r="30" spans="2:28" s="9" customFormat="1" ht="32.4" x14ac:dyDescent="0.3">
      <c r="B30" s="56" t="s">
        <v>37</v>
      </c>
      <c r="C30" s="57">
        <v>44743</v>
      </c>
      <c r="D30" s="71">
        <v>163</v>
      </c>
      <c r="E30" s="72">
        <f>36.8*1550</f>
        <v>57039.999999999993</v>
      </c>
      <c r="F30" s="60">
        <v>0</v>
      </c>
      <c r="G30" s="60">
        <f t="shared" si="4"/>
        <v>57039.999999999993</v>
      </c>
      <c r="H30" s="61">
        <f t="shared" si="1"/>
        <v>2852</v>
      </c>
      <c r="I30" s="62">
        <f t="shared" si="5"/>
        <v>59891.999999999993</v>
      </c>
      <c r="J30" s="62">
        <v>0</v>
      </c>
      <c r="K30" s="70"/>
      <c r="L30" s="70"/>
      <c r="M30" s="63">
        <f t="shared" si="2"/>
        <v>59892</v>
      </c>
      <c r="N30" s="73"/>
      <c r="O30" s="77"/>
      <c r="P30" s="78"/>
      <c r="Q30" s="78"/>
      <c r="R30" s="78"/>
      <c r="S30" s="78"/>
      <c r="T30" s="68">
        <f t="shared" si="3"/>
        <v>0</v>
      </c>
      <c r="U30" s="34"/>
      <c r="Z30" s="52">
        <v>678</v>
      </c>
      <c r="AA30" s="53">
        <f t="shared" si="0"/>
        <v>36.799999999999997</v>
      </c>
      <c r="AB30" s="43" t="s">
        <v>21</v>
      </c>
    </row>
    <row r="31" spans="2:28" s="9" customFormat="1" ht="32.4" x14ac:dyDescent="0.3">
      <c r="B31" s="56" t="s">
        <v>37</v>
      </c>
      <c r="C31" s="57">
        <v>44743</v>
      </c>
      <c r="D31" s="71">
        <v>158</v>
      </c>
      <c r="E31" s="72">
        <f>31.4*1550</f>
        <v>48670</v>
      </c>
      <c r="F31" s="60">
        <v>0</v>
      </c>
      <c r="G31" s="60">
        <f t="shared" si="4"/>
        <v>48670</v>
      </c>
      <c r="H31" s="61">
        <f t="shared" si="1"/>
        <v>2434</v>
      </c>
      <c r="I31" s="62">
        <f t="shared" si="5"/>
        <v>51104</v>
      </c>
      <c r="J31" s="62">
        <v>0</v>
      </c>
      <c r="K31" s="70"/>
      <c r="L31" s="70"/>
      <c r="M31" s="63">
        <f t="shared" si="2"/>
        <v>51104</v>
      </c>
      <c r="N31" s="73"/>
      <c r="O31" s="77"/>
      <c r="P31" s="78"/>
      <c r="Q31" s="78"/>
      <c r="R31" s="78"/>
      <c r="S31" s="78"/>
      <c r="T31" s="68">
        <f t="shared" si="3"/>
        <v>0</v>
      </c>
      <c r="U31" s="34"/>
      <c r="Z31" s="52">
        <v>679</v>
      </c>
      <c r="AA31" s="53">
        <f t="shared" si="0"/>
        <v>31.4</v>
      </c>
      <c r="AB31" s="43" t="s">
        <v>21</v>
      </c>
    </row>
    <row r="32" spans="2:28" s="9" customFormat="1" ht="32.4" x14ac:dyDescent="0.3">
      <c r="B32" s="56" t="s">
        <v>37</v>
      </c>
      <c r="C32" s="57">
        <v>44743</v>
      </c>
      <c r="D32" s="71">
        <v>156</v>
      </c>
      <c r="E32" s="72">
        <f>31.9*1550</f>
        <v>49445</v>
      </c>
      <c r="F32" s="60">
        <v>0</v>
      </c>
      <c r="G32" s="60">
        <f t="shared" si="4"/>
        <v>49445</v>
      </c>
      <c r="H32" s="61">
        <f t="shared" si="1"/>
        <v>2472</v>
      </c>
      <c r="I32" s="62">
        <f t="shared" si="5"/>
        <v>51917</v>
      </c>
      <c r="J32" s="62">
        <v>0</v>
      </c>
      <c r="K32" s="70"/>
      <c r="L32" s="70"/>
      <c r="M32" s="63">
        <f t="shared" si="2"/>
        <v>51917</v>
      </c>
      <c r="N32" s="73"/>
      <c r="O32" s="77"/>
      <c r="P32" s="78"/>
      <c r="Q32" s="78"/>
      <c r="R32" s="78"/>
      <c r="S32" s="78"/>
      <c r="T32" s="68">
        <f t="shared" si="3"/>
        <v>0</v>
      </c>
      <c r="U32" s="34"/>
      <c r="Z32" s="52">
        <v>673</v>
      </c>
      <c r="AA32" s="53">
        <f t="shared" si="0"/>
        <v>31.9</v>
      </c>
      <c r="AB32" s="43" t="s">
        <v>21</v>
      </c>
    </row>
    <row r="33" spans="1:28" s="9" customFormat="1" ht="32.4" x14ac:dyDescent="0.3">
      <c r="B33" s="56" t="s">
        <v>37</v>
      </c>
      <c r="C33" s="57">
        <v>44744</v>
      </c>
      <c r="D33" s="71">
        <v>164</v>
      </c>
      <c r="E33" s="72">
        <f>36.1*1550</f>
        <v>55955</v>
      </c>
      <c r="F33" s="60">
        <v>0</v>
      </c>
      <c r="G33" s="60">
        <f t="shared" si="4"/>
        <v>55955</v>
      </c>
      <c r="H33" s="61">
        <f t="shared" si="1"/>
        <v>2798</v>
      </c>
      <c r="I33" s="62">
        <f t="shared" si="5"/>
        <v>58753</v>
      </c>
      <c r="J33" s="62">
        <v>0</v>
      </c>
      <c r="K33" s="70"/>
      <c r="L33" s="70"/>
      <c r="M33" s="63">
        <f t="shared" si="2"/>
        <v>58753</v>
      </c>
      <c r="N33" s="73"/>
      <c r="O33" s="77"/>
      <c r="P33" s="78"/>
      <c r="Q33" s="78"/>
      <c r="R33" s="78"/>
      <c r="S33" s="78"/>
      <c r="T33" s="68">
        <f t="shared" si="3"/>
        <v>0</v>
      </c>
      <c r="U33" s="34"/>
      <c r="Z33" s="52"/>
      <c r="AA33" s="50"/>
      <c r="AB33" s="43" t="s">
        <v>21</v>
      </c>
    </row>
    <row r="34" spans="1:28" s="9" customFormat="1" ht="32.4" x14ac:dyDescent="0.3">
      <c r="B34" s="56" t="s">
        <v>37</v>
      </c>
      <c r="C34" s="57">
        <v>44743</v>
      </c>
      <c r="D34" s="71">
        <v>160</v>
      </c>
      <c r="E34" s="72">
        <f>30.3*1550</f>
        <v>46965</v>
      </c>
      <c r="F34" s="60">
        <v>0</v>
      </c>
      <c r="G34" s="60">
        <f t="shared" si="4"/>
        <v>46965</v>
      </c>
      <c r="H34" s="61">
        <f t="shared" si="1"/>
        <v>2348</v>
      </c>
      <c r="I34" s="62">
        <f t="shared" si="5"/>
        <v>49313</v>
      </c>
      <c r="J34" s="62">
        <v>0</v>
      </c>
      <c r="K34" s="70"/>
      <c r="L34" s="70"/>
      <c r="M34" s="63">
        <f t="shared" si="2"/>
        <v>49313</v>
      </c>
      <c r="N34" s="73"/>
      <c r="O34" s="77"/>
      <c r="P34" s="78"/>
      <c r="Q34" s="78"/>
      <c r="R34" s="78"/>
      <c r="S34" s="78"/>
      <c r="T34" s="68">
        <f t="shared" si="3"/>
        <v>0</v>
      </c>
      <c r="U34" s="34"/>
      <c r="Z34" s="52"/>
      <c r="AA34" s="50"/>
      <c r="AB34" s="43" t="s">
        <v>21</v>
      </c>
    </row>
    <row r="35" spans="1:28" s="9" customFormat="1" ht="32.4" x14ac:dyDescent="0.3">
      <c r="B35" s="56" t="s">
        <v>37</v>
      </c>
      <c r="C35" s="57">
        <v>44744</v>
      </c>
      <c r="D35" s="71">
        <v>165</v>
      </c>
      <c r="E35" s="72">
        <f>34.5*1550</f>
        <v>53475</v>
      </c>
      <c r="F35" s="60">
        <v>0</v>
      </c>
      <c r="G35" s="60">
        <f t="shared" si="4"/>
        <v>53475</v>
      </c>
      <c r="H35" s="61">
        <f t="shared" si="1"/>
        <v>2674</v>
      </c>
      <c r="I35" s="62">
        <f t="shared" si="5"/>
        <v>56149</v>
      </c>
      <c r="J35" s="62">
        <v>0</v>
      </c>
      <c r="K35" s="70"/>
      <c r="L35" s="70"/>
      <c r="M35" s="63">
        <f t="shared" si="2"/>
        <v>56149</v>
      </c>
      <c r="N35" s="73"/>
      <c r="O35" s="77"/>
      <c r="P35" s="78"/>
      <c r="Q35" s="78"/>
      <c r="R35" s="78"/>
      <c r="S35" s="78"/>
      <c r="T35" s="68">
        <f t="shared" si="3"/>
        <v>0</v>
      </c>
      <c r="U35" s="34"/>
      <c r="Z35" s="52"/>
      <c r="AA35" s="50"/>
      <c r="AB35" s="49" t="s">
        <v>21</v>
      </c>
    </row>
    <row r="36" spans="1:28" s="9" customFormat="1" ht="32.4" x14ac:dyDescent="0.3">
      <c r="B36" s="56" t="s">
        <v>37</v>
      </c>
      <c r="C36" s="57">
        <v>44743</v>
      </c>
      <c r="D36" s="71">
        <v>157</v>
      </c>
      <c r="E36" s="72">
        <f>39*1550</f>
        <v>60450</v>
      </c>
      <c r="F36" s="60">
        <v>0</v>
      </c>
      <c r="G36" s="60">
        <f t="shared" si="4"/>
        <v>60450</v>
      </c>
      <c r="H36" s="61">
        <f t="shared" si="1"/>
        <v>3023</v>
      </c>
      <c r="I36" s="62">
        <f t="shared" si="5"/>
        <v>63473</v>
      </c>
      <c r="J36" s="62">
        <v>0</v>
      </c>
      <c r="K36" s="70"/>
      <c r="L36" s="70"/>
      <c r="M36" s="63">
        <f t="shared" si="2"/>
        <v>63473</v>
      </c>
      <c r="N36" s="73"/>
      <c r="O36" s="77"/>
      <c r="P36" s="78"/>
      <c r="Q36" s="78"/>
      <c r="R36" s="78"/>
      <c r="S36" s="78"/>
      <c r="T36" s="68">
        <f t="shared" si="3"/>
        <v>0</v>
      </c>
      <c r="U36" s="34"/>
      <c r="Z36" s="52"/>
      <c r="AA36" s="50"/>
      <c r="AB36" s="49" t="s">
        <v>21</v>
      </c>
    </row>
    <row r="37" spans="1:28" s="9" customFormat="1" ht="32.4" x14ac:dyDescent="0.3">
      <c r="B37" s="56" t="s">
        <v>37</v>
      </c>
      <c r="C37" s="57">
        <v>44743</v>
      </c>
      <c r="D37" s="71">
        <v>161</v>
      </c>
      <c r="E37" s="72">
        <f>19.8*1550</f>
        <v>30690</v>
      </c>
      <c r="F37" s="60">
        <v>0</v>
      </c>
      <c r="G37" s="60">
        <f t="shared" si="4"/>
        <v>30690</v>
      </c>
      <c r="H37" s="61">
        <f t="shared" si="1"/>
        <v>1535</v>
      </c>
      <c r="I37" s="62">
        <f t="shared" si="5"/>
        <v>32225</v>
      </c>
      <c r="J37" s="62">
        <v>0</v>
      </c>
      <c r="K37" s="70"/>
      <c r="L37" s="70"/>
      <c r="M37" s="63">
        <f t="shared" si="2"/>
        <v>32225</v>
      </c>
      <c r="N37" s="73"/>
      <c r="O37" s="77"/>
      <c r="P37" s="78"/>
      <c r="Q37" s="78"/>
      <c r="R37" s="78"/>
      <c r="S37" s="78"/>
      <c r="T37" s="68">
        <f t="shared" si="3"/>
        <v>0</v>
      </c>
      <c r="U37" s="34"/>
      <c r="Z37" s="52"/>
      <c r="AA37" s="50"/>
      <c r="AB37" s="49" t="s">
        <v>21</v>
      </c>
    </row>
    <row r="38" spans="1:28" s="9" customFormat="1" ht="32.4" x14ac:dyDescent="0.3">
      <c r="B38" s="56" t="s">
        <v>37</v>
      </c>
      <c r="C38" s="57">
        <v>44744</v>
      </c>
      <c r="D38" s="71">
        <v>167</v>
      </c>
      <c r="E38" s="72">
        <f>(25+9.3)*1550</f>
        <v>53164.999999999993</v>
      </c>
      <c r="F38" s="60">
        <v>0</v>
      </c>
      <c r="G38" s="60">
        <f t="shared" si="4"/>
        <v>53164.999999999993</v>
      </c>
      <c r="H38" s="61">
        <f t="shared" si="1"/>
        <v>2658</v>
      </c>
      <c r="I38" s="62">
        <f t="shared" si="5"/>
        <v>55822.999999999993</v>
      </c>
      <c r="J38" s="62">
        <v>0</v>
      </c>
      <c r="K38" s="70"/>
      <c r="L38" s="70"/>
      <c r="M38" s="63">
        <f t="shared" si="2"/>
        <v>55823</v>
      </c>
      <c r="N38" s="73"/>
      <c r="O38" s="77"/>
      <c r="P38" s="78"/>
      <c r="Q38" s="78"/>
      <c r="R38" s="78"/>
      <c r="S38" s="78"/>
      <c r="T38" s="68">
        <f t="shared" si="3"/>
        <v>0</v>
      </c>
      <c r="U38" s="34"/>
      <c r="Z38" s="52"/>
      <c r="AA38" s="50"/>
      <c r="AB38" s="49" t="s">
        <v>21</v>
      </c>
    </row>
    <row r="39" spans="1:28" s="9" customFormat="1" ht="32.4" x14ac:dyDescent="0.3">
      <c r="B39" s="56" t="s">
        <v>37</v>
      </c>
      <c r="C39" s="57">
        <v>44744</v>
      </c>
      <c r="D39" s="71">
        <v>166</v>
      </c>
      <c r="E39" s="72">
        <f>35.8*1550</f>
        <v>55489.999999999993</v>
      </c>
      <c r="F39" s="60">
        <v>0</v>
      </c>
      <c r="G39" s="60">
        <f t="shared" si="4"/>
        <v>55489.999999999993</v>
      </c>
      <c r="H39" s="61">
        <f t="shared" si="1"/>
        <v>2775</v>
      </c>
      <c r="I39" s="62">
        <f t="shared" si="5"/>
        <v>58264.999999999993</v>
      </c>
      <c r="J39" s="62">
        <v>0</v>
      </c>
      <c r="K39" s="70"/>
      <c r="L39" s="70"/>
      <c r="M39" s="63">
        <f t="shared" si="2"/>
        <v>58265</v>
      </c>
      <c r="N39" s="73"/>
      <c r="O39" s="77"/>
      <c r="P39" s="78"/>
      <c r="Q39" s="78"/>
      <c r="R39" s="78"/>
      <c r="S39" s="78"/>
      <c r="T39" s="68">
        <f t="shared" si="3"/>
        <v>0</v>
      </c>
      <c r="U39" s="34"/>
      <c r="Z39" s="52"/>
      <c r="AA39" s="50"/>
      <c r="AB39" s="49" t="s">
        <v>21</v>
      </c>
    </row>
    <row r="40" spans="1:28" s="9" customFormat="1" ht="32.4" x14ac:dyDescent="0.3">
      <c r="B40" s="56" t="s">
        <v>37</v>
      </c>
      <c r="C40" s="57"/>
      <c r="D40" s="71"/>
      <c r="E40" s="72"/>
      <c r="F40" s="60">
        <v>0</v>
      </c>
      <c r="G40" s="60">
        <f t="shared" si="4"/>
        <v>0</v>
      </c>
      <c r="H40" s="61">
        <f t="shared" si="1"/>
        <v>0</v>
      </c>
      <c r="I40" s="62">
        <f t="shared" si="5"/>
        <v>0</v>
      </c>
      <c r="J40" s="62">
        <v>0</v>
      </c>
      <c r="K40" s="70"/>
      <c r="L40" s="70"/>
      <c r="M40" s="63">
        <f t="shared" si="2"/>
        <v>0</v>
      </c>
      <c r="N40" s="73"/>
      <c r="O40" s="77"/>
      <c r="P40" s="78"/>
      <c r="Q40" s="78"/>
      <c r="R40" s="78"/>
      <c r="S40" s="78"/>
      <c r="T40" s="68">
        <f t="shared" si="3"/>
        <v>0</v>
      </c>
      <c r="U40" s="34"/>
      <c r="Z40" s="52"/>
      <c r="AA40" s="50"/>
      <c r="AB40" s="49" t="s">
        <v>21</v>
      </c>
    </row>
    <row r="41" spans="1:28" s="9" customFormat="1" ht="32.4" x14ac:dyDescent="0.3">
      <c r="B41" s="56" t="s">
        <v>37</v>
      </c>
      <c r="C41" s="57"/>
      <c r="D41" s="71"/>
      <c r="E41" s="72"/>
      <c r="F41" s="60">
        <v>0</v>
      </c>
      <c r="G41" s="60">
        <f t="shared" si="4"/>
        <v>0</v>
      </c>
      <c r="H41" s="61">
        <f t="shared" si="1"/>
        <v>0</v>
      </c>
      <c r="I41" s="62">
        <f t="shared" si="5"/>
        <v>0</v>
      </c>
      <c r="J41" s="62">
        <v>0</v>
      </c>
      <c r="K41" s="70"/>
      <c r="L41" s="70"/>
      <c r="M41" s="63">
        <f t="shared" si="2"/>
        <v>0</v>
      </c>
      <c r="N41" s="73"/>
      <c r="O41" s="77"/>
      <c r="P41" s="78"/>
      <c r="Q41" s="78"/>
      <c r="R41" s="78"/>
      <c r="S41" s="78"/>
      <c r="T41" s="68">
        <f t="shared" si="3"/>
        <v>0</v>
      </c>
      <c r="U41" s="34"/>
      <c r="AA41" s="50"/>
      <c r="AB41" s="49" t="s">
        <v>21</v>
      </c>
    </row>
    <row r="42" spans="1:28" s="9" customFormat="1" ht="32.4" x14ac:dyDescent="0.3">
      <c r="B42" s="56" t="s">
        <v>37</v>
      </c>
      <c r="C42" s="57"/>
      <c r="D42" s="71"/>
      <c r="E42" s="72"/>
      <c r="F42" s="60">
        <v>0</v>
      </c>
      <c r="G42" s="60">
        <f t="shared" si="4"/>
        <v>0</v>
      </c>
      <c r="H42" s="61">
        <f t="shared" si="1"/>
        <v>0</v>
      </c>
      <c r="I42" s="62">
        <f t="shared" si="5"/>
        <v>0</v>
      </c>
      <c r="J42" s="62">
        <v>0</v>
      </c>
      <c r="K42" s="70"/>
      <c r="L42" s="70"/>
      <c r="M42" s="63">
        <f t="shared" si="2"/>
        <v>0</v>
      </c>
      <c r="N42" s="73"/>
      <c r="O42" s="77"/>
      <c r="P42" s="78"/>
      <c r="Q42" s="78"/>
      <c r="R42" s="78"/>
      <c r="S42" s="78"/>
      <c r="T42" s="68">
        <f t="shared" si="3"/>
        <v>0</v>
      </c>
      <c r="U42" s="34"/>
      <c r="AA42" s="50"/>
      <c r="AB42" s="49" t="s">
        <v>21</v>
      </c>
    </row>
    <row r="43" spans="1:28" s="9" customFormat="1" ht="32.4" x14ac:dyDescent="0.3">
      <c r="B43" s="56" t="s">
        <v>37</v>
      </c>
      <c r="C43" s="57"/>
      <c r="D43" s="71"/>
      <c r="E43" s="72"/>
      <c r="F43" s="60">
        <v>0</v>
      </c>
      <c r="G43" s="60">
        <f t="shared" si="4"/>
        <v>0</v>
      </c>
      <c r="H43" s="61">
        <f t="shared" si="1"/>
        <v>0</v>
      </c>
      <c r="I43" s="62">
        <f t="shared" si="5"/>
        <v>0</v>
      </c>
      <c r="J43" s="62">
        <v>0</v>
      </c>
      <c r="K43" s="70"/>
      <c r="L43" s="70"/>
      <c r="M43" s="63">
        <f t="shared" si="2"/>
        <v>0</v>
      </c>
      <c r="N43" s="73"/>
      <c r="O43" s="77"/>
      <c r="P43" s="78"/>
      <c r="Q43" s="78"/>
      <c r="R43" s="78"/>
      <c r="S43" s="78"/>
      <c r="T43" s="68">
        <f t="shared" si="3"/>
        <v>0</v>
      </c>
      <c r="U43" s="34"/>
      <c r="AA43" s="50"/>
      <c r="AB43" s="49" t="s">
        <v>21</v>
      </c>
    </row>
    <row r="44" spans="1:28" s="9" customFormat="1" ht="17.399999999999999" thickBot="1" x14ac:dyDescent="0.35">
      <c r="B44" s="86"/>
      <c r="C44" s="87"/>
      <c r="D44" s="87"/>
      <c r="E44" s="88"/>
      <c r="F44" s="88"/>
      <c r="G44" s="88"/>
      <c r="H44" s="89"/>
      <c r="I44" s="90"/>
      <c r="J44" s="90"/>
      <c r="K44" s="91"/>
      <c r="L44" s="91"/>
      <c r="M44" s="91"/>
      <c r="N44" s="73"/>
      <c r="O44" s="92"/>
      <c r="P44" s="93"/>
      <c r="Q44" s="93"/>
      <c r="R44" s="93"/>
      <c r="S44" s="93"/>
      <c r="T44" s="94"/>
      <c r="U44" s="35"/>
    </row>
    <row r="45" spans="1:28" s="9" customFormat="1" ht="16.2" x14ac:dyDescent="0.3">
      <c r="A45" s="22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7"/>
      <c r="U45" s="22"/>
      <c r="AA45" s="44">
        <f>SUM(AA7:AA44)</f>
        <v>897.79999999999984</v>
      </c>
      <c r="AB45" s="43" t="s">
        <v>21</v>
      </c>
    </row>
    <row r="46" spans="1:28" s="9" customFormat="1" ht="16.2" x14ac:dyDescent="0.3">
      <c r="A46" s="22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7"/>
      <c r="U46" s="33"/>
      <c r="Z46" s="46" t="s">
        <v>33</v>
      </c>
      <c r="AA46" s="45">
        <f>AA5-AA45</f>
        <v>2148.7000000000003</v>
      </c>
      <c r="AB46" s="47" t="s">
        <v>21</v>
      </c>
    </row>
    <row r="47" spans="1:28" s="9" customFormat="1" ht="16.8" x14ac:dyDescent="0.3">
      <c r="A47" s="22"/>
      <c r="B47" s="66"/>
      <c r="C47" s="66"/>
      <c r="D47" s="66"/>
      <c r="E47" s="66"/>
      <c r="F47" s="66"/>
      <c r="G47" s="66"/>
      <c r="H47" s="66"/>
      <c r="I47" s="66"/>
      <c r="J47" s="95" t="s">
        <v>43</v>
      </c>
      <c r="K47" s="95"/>
      <c r="L47" s="95"/>
      <c r="M47" s="95">
        <f>SUM(M7:M44)</f>
        <v>1835173</v>
      </c>
      <c r="N47" s="95"/>
      <c r="O47" s="95"/>
      <c r="P47" s="95"/>
      <c r="Q47" s="95" t="s">
        <v>44</v>
      </c>
      <c r="R47" s="95"/>
      <c r="S47" s="95"/>
      <c r="T47" s="96">
        <f>SUM(T5:T44)</f>
        <v>1835173</v>
      </c>
      <c r="U47" s="33"/>
    </row>
    <row r="48" spans="1:28" s="9" customFormat="1" ht="16.2" x14ac:dyDescent="0.3">
      <c r="A48" s="22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97"/>
      <c r="U48" s="33"/>
    </row>
    <row r="49" spans="1:21" s="9" customFormat="1" ht="16.8" x14ac:dyDescent="0.3">
      <c r="A49" s="22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95" t="s">
        <v>45</v>
      </c>
      <c r="R49" s="95"/>
      <c r="S49" s="66"/>
      <c r="T49" s="96">
        <f>M47-T47</f>
        <v>0</v>
      </c>
      <c r="U49" s="33"/>
    </row>
    <row r="50" spans="1:21" s="9" customFormat="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s="9" customFormat="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1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1:21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1:2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</row>
    <row r="70" spans="1:2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1:2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1:2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</row>
    <row r="74" spans="1:2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1:2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</row>
    <row r="78" spans="1:2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spans="1:21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1:2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 spans="1:2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83" spans="1:2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</row>
    <row r="84" spans="1:2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</row>
    <row r="85" spans="1:2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</row>
    <row r="86" spans="1:21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 spans="1:21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</row>
    <row r="90" spans="1:2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</row>
    <row r="92" spans="1:2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</row>
    <row r="94" spans="1:2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</row>
    <row r="95" spans="1:2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</row>
    <row r="96" spans="1:2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</row>
    <row r="97" spans="1:2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</row>
    <row r="98" spans="1:2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 spans="1:2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</row>
    <row r="100" spans="1:2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1:2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  <row r="103" spans="1:2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</row>
    <row r="105" spans="1:2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</row>
    <row r="106" spans="1:2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</row>
    <row r="107" spans="1:2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</row>
    <row r="108" spans="1:2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</row>
    <row r="109" spans="1:2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</row>
    <row r="110" spans="1:2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</row>
    <row r="111" spans="1:2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</row>
    <row r="112" spans="1:2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1:2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</row>
    <row r="114" spans="1:2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</row>
    <row r="115" spans="1:2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</row>
    <row r="116" spans="1:2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1:2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1:2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1:2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  <row r="120" spans="1:2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</row>
    <row r="121" spans="1:2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</row>
    <row r="122" spans="1:2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2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7"/>
  <sheetViews>
    <sheetView topLeftCell="H34" zoomScale="89" zoomScaleNormal="89" workbookViewId="0">
      <selection activeCell="O20" sqref="O20"/>
    </sheetView>
  </sheetViews>
  <sheetFormatPr defaultColWidth="9" defaultRowHeight="14.4" x14ac:dyDescent="0.3"/>
  <cols>
    <col min="1" max="1" width="9" style="16"/>
    <col min="2" max="2" width="31.6640625" style="16" customWidth="1"/>
    <col min="3" max="3" width="14.5546875" style="16" customWidth="1"/>
    <col min="4" max="4" width="19.44140625" style="16" bestFit="1" customWidth="1"/>
    <col min="5" max="5" width="13.44140625" style="16" bestFit="1" customWidth="1"/>
    <col min="6" max="7" width="13.33203125" style="16" customWidth="1"/>
    <col min="8" max="8" width="14.6640625" style="11" customWidth="1"/>
    <col min="9" max="9" width="12.88671875" style="11" bestFit="1" customWidth="1"/>
    <col min="10" max="10" width="10.6640625" style="16" bestFit="1" customWidth="1"/>
    <col min="11" max="11" width="10.44140625" style="16" bestFit="1" customWidth="1"/>
    <col min="12" max="13" width="14.88671875" style="16" customWidth="1"/>
    <col min="14" max="14" width="9.109375" style="16" customWidth="1"/>
    <col min="15" max="15" width="21.6640625" style="16" bestFit="1" customWidth="1"/>
    <col min="16" max="16" width="12.6640625" style="16" bestFit="1" customWidth="1"/>
    <col min="17" max="17" width="14.5546875" style="16" bestFit="1" customWidth="1"/>
    <col min="18" max="19" width="14.5546875" style="16" customWidth="1"/>
    <col min="20" max="20" width="17" style="16" customWidth="1"/>
    <col min="21" max="21" width="81.109375" style="16" bestFit="1" customWidth="1"/>
    <col min="22" max="24" width="9" style="16"/>
    <col min="25" max="25" width="0" style="16" hidden="1" customWidth="1"/>
    <col min="26" max="26" width="9" style="16" hidden="1" customWidth="1"/>
    <col min="27" max="27" width="14.109375" style="16" hidden="1" customWidth="1"/>
    <col min="28" max="28" width="9" style="16" hidden="1" customWidth="1"/>
    <col min="29" max="29" width="9.109375" style="16" hidden="1" customWidth="1"/>
    <col min="30" max="30" width="12.5546875" style="16" hidden="1" customWidth="1"/>
    <col min="31" max="31" width="11.5546875" style="16" hidden="1" customWidth="1"/>
    <col min="32" max="32" width="12.5546875" style="16" hidden="1" customWidth="1"/>
    <col min="33" max="34" width="9" style="16" hidden="1" customWidth="1"/>
    <col min="35" max="16384" width="9" style="16"/>
  </cols>
  <sheetData>
    <row r="1" spans="1:32" s="9" customFormat="1" ht="15" thickBot="1" x14ac:dyDescent="0.35">
      <c r="B1" s="8" t="s">
        <v>16</v>
      </c>
      <c r="E1" s="10"/>
      <c r="F1" s="10"/>
      <c r="G1" s="10"/>
      <c r="H1" s="11"/>
      <c r="I1" s="11"/>
    </row>
    <row r="2" spans="1:32" s="9" customFormat="1" ht="20.399999999999999" thickBot="1" x14ac:dyDescent="0.35">
      <c r="B2" s="12" t="s">
        <v>0</v>
      </c>
      <c r="C2" s="13"/>
      <c r="D2" s="13" t="s">
        <v>39</v>
      </c>
      <c r="H2" s="40"/>
      <c r="I2" s="42" t="s">
        <v>17</v>
      </c>
      <c r="J2" s="14"/>
      <c r="K2" s="14"/>
      <c r="L2" s="14"/>
      <c r="M2" s="14"/>
      <c r="N2" s="14"/>
      <c r="O2" s="15"/>
      <c r="P2" s="14"/>
      <c r="Q2" s="14"/>
      <c r="R2" s="14"/>
      <c r="S2" s="14"/>
      <c r="T2" s="16"/>
      <c r="U2" s="16"/>
    </row>
    <row r="3" spans="1:32" s="9" customFormat="1" ht="15" thickBot="1" x14ac:dyDescent="0.35">
      <c r="B3" s="17"/>
      <c r="C3" s="17"/>
      <c r="D3" s="17"/>
      <c r="E3" s="17"/>
      <c r="F3" s="14"/>
      <c r="G3" s="14"/>
      <c r="H3" s="18"/>
      <c r="I3" s="18"/>
      <c r="J3" s="14"/>
      <c r="K3" s="14"/>
      <c r="L3" s="16"/>
      <c r="M3" s="16"/>
      <c r="N3" s="16"/>
      <c r="O3" s="15"/>
      <c r="P3" s="19"/>
      <c r="Q3" s="19"/>
      <c r="R3" s="19"/>
      <c r="S3" s="19"/>
      <c r="T3" s="19"/>
      <c r="U3" s="19"/>
      <c r="AA3" t="s">
        <v>40</v>
      </c>
    </row>
    <row r="4" spans="1:32" s="9" customFormat="1" ht="43.95" customHeight="1" thickBot="1" x14ac:dyDescent="0.35">
      <c r="B4" s="1" t="s">
        <v>1</v>
      </c>
      <c r="C4" s="5" t="s">
        <v>2</v>
      </c>
      <c r="D4" s="5" t="s">
        <v>3</v>
      </c>
      <c r="E4" s="6" t="s">
        <v>4</v>
      </c>
      <c r="F4" s="5" t="s">
        <v>14</v>
      </c>
      <c r="G4" s="48" t="s">
        <v>15</v>
      </c>
      <c r="H4" s="38" t="s">
        <v>25</v>
      </c>
      <c r="I4" s="39" t="s">
        <v>5</v>
      </c>
      <c r="J4" s="3" t="s">
        <v>38</v>
      </c>
      <c r="K4" s="7" t="s">
        <v>11</v>
      </c>
      <c r="L4" s="7" t="s">
        <v>6</v>
      </c>
      <c r="M4" s="7" t="s">
        <v>7</v>
      </c>
      <c r="N4" s="4"/>
      <c r="O4" s="3" t="s">
        <v>8</v>
      </c>
      <c r="P4" s="3" t="s">
        <v>5</v>
      </c>
      <c r="Q4" s="3" t="s">
        <v>13</v>
      </c>
      <c r="R4" s="2" t="s">
        <v>11</v>
      </c>
      <c r="S4" s="3" t="s">
        <v>12</v>
      </c>
      <c r="T4" s="3" t="s">
        <v>9</v>
      </c>
      <c r="U4" s="7" t="s">
        <v>10</v>
      </c>
      <c r="AA4" s="9" t="s">
        <v>18</v>
      </c>
      <c r="AB4" s="9" t="s">
        <v>19</v>
      </c>
      <c r="AC4" s="9" t="s">
        <v>20</v>
      </c>
      <c r="AD4" s="9" t="s">
        <v>5</v>
      </c>
      <c r="AE4" s="9" t="s">
        <v>22</v>
      </c>
      <c r="AF4" s="9" t="s">
        <v>23</v>
      </c>
    </row>
    <row r="5" spans="1:32" s="9" customFormat="1" x14ac:dyDescent="0.3">
      <c r="B5" s="20"/>
      <c r="C5" s="21"/>
      <c r="D5" s="21"/>
      <c r="E5" s="41"/>
      <c r="F5" s="37"/>
      <c r="G5" s="36"/>
      <c r="H5" s="29">
        <v>0.05</v>
      </c>
      <c r="I5" s="31"/>
      <c r="J5" s="24">
        <v>0.01</v>
      </c>
      <c r="K5" s="25">
        <v>0</v>
      </c>
      <c r="L5" s="26"/>
      <c r="M5" s="26"/>
      <c r="N5" s="4"/>
      <c r="O5" s="27"/>
      <c r="P5" s="22"/>
      <c r="Q5" s="28">
        <v>0.01</v>
      </c>
      <c r="R5" s="29">
        <v>0.05</v>
      </c>
      <c r="S5" s="23"/>
      <c r="T5" s="30"/>
      <c r="U5" s="26"/>
      <c r="Z5" s="9" t="s">
        <v>52</v>
      </c>
      <c r="AA5" s="43">
        <v>3046.5</v>
      </c>
      <c r="AB5" s="43" t="s">
        <v>21</v>
      </c>
      <c r="AC5" s="43">
        <v>1400</v>
      </c>
      <c r="AD5" s="43">
        <f>AC5*AA5</f>
        <v>4265100</v>
      </c>
      <c r="AE5" s="43">
        <f>AD5*5%</f>
        <v>213255</v>
      </c>
      <c r="AF5" s="43">
        <f>AE5+AD5</f>
        <v>4478355</v>
      </c>
    </row>
    <row r="6" spans="1:32" s="98" customFormat="1" ht="21.75" customHeight="1" x14ac:dyDescent="0.3">
      <c r="B6" s="99"/>
      <c r="C6" s="100"/>
      <c r="D6" s="101"/>
      <c r="E6" s="102"/>
      <c r="F6" s="102"/>
      <c r="G6" s="103"/>
      <c r="H6" s="104"/>
      <c r="I6" s="105"/>
      <c r="J6" s="106"/>
      <c r="K6" s="107"/>
      <c r="L6" s="108"/>
      <c r="M6" s="108"/>
      <c r="N6" s="115">
        <f>A7</f>
        <v>49272</v>
      </c>
      <c r="O6" s="109"/>
      <c r="P6" s="110"/>
      <c r="Q6" s="111"/>
      <c r="R6" s="104"/>
      <c r="S6" s="112"/>
      <c r="T6" s="113"/>
      <c r="U6" s="108"/>
      <c r="AA6" s="114"/>
      <c r="AB6" s="114"/>
      <c r="AC6" s="114"/>
      <c r="AD6" s="114"/>
      <c r="AE6" s="114"/>
      <c r="AF6" s="114"/>
    </row>
    <row r="7" spans="1:32" s="9" customFormat="1" ht="32.4" x14ac:dyDescent="0.3">
      <c r="A7" s="9">
        <v>49272</v>
      </c>
      <c r="B7" s="56" t="s">
        <v>24</v>
      </c>
      <c r="C7" s="57">
        <v>44594</v>
      </c>
      <c r="D7" s="58" t="s">
        <v>55</v>
      </c>
      <c r="E7" s="59">
        <v>56033</v>
      </c>
      <c r="F7" s="60">
        <v>0</v>
      </c>
      <c r="G7" s="60">
        <f>E7-F7</f>
        <v>56033</v>
      </c>
      <c r="H7" s="61">
        <f>$H$5*G7</f>
        <v>2801.65</v>
      </c>
      <c r="I7" s="62">
        <f>G7+H7</f>
        <v>58834.65</v>
      </c>
      <c r="J7" s="62">
        <v>0</v>
      </c>
      <c r="K7" s="63">
        <f>G7*K5</f>
        <v>0</v>
      </c>
      <c r="L7" s="63"/>
      <c r="M7" s="63">
        <f>I7-SUM(J7:L7)</f>
        <v>58834.65</v>
      </c>
      <c r="N7" s="64"/>
      <c r="O7" s="65" t="s">
        <v>42</v>
      </c>
      <c r="P7" s="66">
        <v>899640</v>
      </c>
      <c r="Q7" s="66">
        <v>0</v>
      </c>
      <c r="R7" s="67">
        <v>0</v>
      </c>
      <c r="S7" s="67">
        <v>0</v>
      </c>
      <c r="T7" s="68">
        <f t="shared" ref="T7:T8" si="0">P7-Q7</f>
        <v>899640</v>
      </c>
      <c r="U7" s="32" t="s">
        <v>41</v>
      </c>
      <c r="Z7" s="18"/>
      <c r="AA7" s="53">
        <v>26.67</v>
      </c>
      <c r="AB7" s="43" t="s">
        <v>21</v>
      </c>
    </row>
    <row r="8" spans="1:32" s="9" customFormat="1" ht="32.4" x14ac:dyDescent="0.3">
      <c r="B8" s="56" t="s">
        <v>29</v>
      </c>
      <c r="C8" s="57">
        <v>44614</v>
      </c>
      <c r="D8" s="58" t="s">
        <v>56</v>
      </c>
      <c r="E8" s="59">
        <v>37338</v>
      </c>
      <c r="F8" s="60">
        <v>0</v>
      </c>
      <c r="G8" s="60">
        <f>E8-F8</f>
        <v>37338</v>
      </c>
      <c r="H8" s="61">
        <f>$H$5*G8</f>
        <v>1866.9</v>
      </c>
      <c r="I8" s="62">
        <f>G8+H8</f>
        <v>39204.9</v>
      </c>
      <c r="J8" s="62">
        <v>0</v>
      </c>
      <c r="K8" s="63">
        <v>0</v>
      </c>
      <c r="L8" s="63"/>
      <c r="M8" s="63">
        <f>I8-SUM(J8:L8)</f>
        <v>39204.9</v>
      </c>
      <c r="N8" s="64"/>
      <c r="O8" s="65" t="s">
        <v>47</v>
      </c>
      <c r="P8" s="66">
        <v>279081</v>
      </c>
      <c r="Q8" s="66">
        <v>0</v>
      </c>
      <c r="R8" s="67">
        <v>0</v>
      </c>
      <c r="S8" s="67">
        <v>0</v>
      </c>
      <c r="T8" s="69">
        <f t="shared" si="0"/>
        <v>279081</v>
      </c>
      <c r="U8" s="32" t="s">
        <v>46</v>
      </c>
      <c r="Z8" s="18"/>
      <c r="AA8" s="53">
        <v>39.22</v>
      </c>
      <c r="AB8" s="43" t="s">
        <v>21</v>
      </c>
    </row>
    <row r="9" spans="1:32" s="9" customFormat="1" ht="32.4" x14ac:dyDescent="0.3">
      <c r="B9" s="56" t="s">
        <v>26</v>
      </c>
      <c r="C9" s="57">
        <v>44595</v>
      </c>
      <c r="D9" s="58" t="s">
        <v>57</v>
      </c>
      <c r="E9" s="59">
        <v>35743</v>
      </c>
      <c r="F9" s="60">
        <v>0</v>
      </c>
      <c r="G9" s="60">
        <f>E9-F9</f>
        <v>35743</v>
      </c>
      <c r="H9" s="61">
        <f>$H$5*G9</f>
        <v>1787.15</v>
      </c>
      <c r="I9" s="62">
        <f>G9+H9</f>
        <v>37530.15</v>
      </c>
      <c r="J9" s="62">
        <v>0</v>
      </c>
      <c r="K9" s="70"/>
      <c r="L9" s="70"/>
      <c r="M9" s="63">
        <f>I9-SUM(J9:L9)</f>
        <v>37530.15</v>
      </c>
      <c r="N9" s="64"/>
      <c r="O9" s="65" t="s">
        <v>50</v>
      </c>
      <c r="P9" s="66">
        <v>81923</v>
      </c>
      <c r="Q9" s="66">
        <v>0</v>
      </c>
      <c r="R9" s="67">
        <v>0</v>
      </c>
      <c r="S9" s="67">
        <v>0</v>
      </c>
      <c r="T9" s="69">
        <f t="shared" ref="T9:T14" si="1">P9-Q9</f>
        <v>81923</v>
      </c>
      <c r="U9" s="51" t="s">
        <v>48</v>
      </c>
      <c r="Z9" s="18"/>
      <c r="AA9" s="53">
        <v>25.02</v>
      </c>
      <c r="AB9" s="43" t="s">
        <v>21</v>
      </c>
    </row>
    <row r="10" spans="1:32" s="9" customFormat="1" ht="32.4" x14ac:dyDescent="0.3">
      <c r="B10" s="56" t="s">
        <v>27</v>
      </c>
      <c r="C10" s="57">
        <v>44673</v>
      </c>
      <c r="D10" s="71" t="s">
        <v>58</v>
      </c>
      <c r="E10" s="72">
        <v>42546</v>
      </c>
      <c r="F10" s="60">
        <v>0</v>
      </c>
      <c r="G10" s="60">
        <f t="shared" ref="G10:G24" si="2">E10-F10</f>
        <v>42546</v>
      </c>
      <c r="H10" s="61">
        <f t="shared" ref="H10:H24" si="3">$H$5*G10</f>
        <v>2127.3000000000002</v>
      </c>
      <c r="I10" s="62">
        <f t="shared" ref="I10:I24" si="4">G10+H10</f>
        <v>44673.3</v>
      </c>
      <c r="J10" s="62">
        <v>0</v>
      </c>
      <c r="K10" s="70"/>
      <c r="L10" s="70"/>
      <c r="M10" s="63">
        <f t="shared" ref="M10:M24" si="5">I10-SUM(J10:L10)</f>
        <v>44673.3</v>
      </c>
      <c r="N10" s="73"/>
      <c r="O10" s="65" t="s">
        <v>51</v>
      </c>
      <c r="P10" s="66">
        <v>231352</v>
      </c>
      <c r="Q10" s="66">
        <v>0</v>
      </c>
      <c r="R10" s="67">
        <v>0</v>
      </c>
      <c r="S10" s="67">
        <v>0</v>
      </c>
      <c r="T10" s="69">
        <f t="shared" si="1"/>
        <v>231352</v>
      </c>
      <c r="U10" s="32" t="s">
        <v>49</v>
      </c>
      <c r="Z10" s="18">
        <f>E10/AA10</f>
        <v>1650</v>
      </c>
      <c r="AA10" s="44">
        <f>E10/1650</f>
        <v>25.785454545454545</v>
      </c>
      <c r="AB10" s="43" t="s">
        <v>21</v>
      </c>
    </row>
    <row r="11" spans="1:32" s="9" customFormat="1" ht="32.4" x14ac:dyDescent="0.3">
      <c r="B11" s="56" t="s">
        <v>27</v>
      </c>
      <c r="C11" s="57">
        <v>44671</v>
      </c>
      <c r="D11" s="72" t="s">
        <v>59</v>
      </c>
      <c r="E11" s="72">
        <v>45262</v>
      </c>
      <c r="F11" s="60">
        <v>0</v>
      </c>
      <c r="G11" s="60">
        <f t="shared" si="2"/>
        <v>45262</v>
      </c>
      <c r="H11" s="61">
        <f t="shared" si="3"/>
        <v>2263.1</v>
      </c>
      <c r="I11" s="62">
        <f t="shared" si="4"/>
        <v>47525.1</v>
      </c>
      <c r="J11" s="62">
        <v>0</v>
      </c>
      <c r="K11" s="70"/>
      <c r="L11" s="70"/>
      <c r="M11" s="63">
        <f t="shared" si="5"/>
        <v>47525.1</v>
      </c>
      <c r="N11" s="73"/>
      <c r="O11" s="65" t="s">
        <v>54</v>
      </c>
      <c r="P11" s="66">
        <v>158634</v>
      </c>
      <c r="Q11" s="66">
        <v>0</v>
      </c>
      <c r="R11" s="67">
        <v>0</v>
      </c>
      <c r="S11" s="67">
        <v>0</v>
      </c>
      <c r="T11" s="69">
        <f t="shared" si="1"/>
        <v>158634</v>
      </c>
      <c r="U11" s="34" t="s">
        <v>53</v>
      </c>
      <c r="Z11" s="18"/>
      <c r="AA11" s="44">
        <f t="shared" ref="AA11:AA24" si="6">E11/1650</f>
        <v>27.43151515151515</v>
      </c>
      <c r="AB11" s="43" t="s">
        <v>21</v>
      </c>
    </row>
    <row r="12" spans="1:32" s="9" customFormat="1" ht="32.4" x14ac:dyDescent="0.3">
      <c r="B12" s="56" t="s">
        <v>28</v>
      </c>
      <c r="C12" s="57">
        <v>44648</v>
      </c>
      <c r="D12" s="71" t="s">
        <v>60</v>
      </c>
      <c r="E12" s="72">
        <v>35588</v>
      </c>
      <c r="F12" s="60">
        <v>0</v>
      </c>
      <c r="G12" s="60">
        <f t="shared" si="2"/>
        <v>35588</v>
      </c>
      <c r="H12" s="61">
        <f t="shared" si="3"/>
        <v>1779.4</v>
      </c>
      <c r="I12" s="62">
        <f t="shared" si="4"/>
        <v>37367.4</v>
      </c>
      <c r="J12" s="62">
        <v>0</v>
      </c>
      <c r="K12" s="70"/>
      <c r="L12" s="70"/>
      <c r="M12" s="63">
        <f t="shared" si="5"/>
        <v>37367.4</v>
      </c>
      <c r="N12" s="73"/>
      <c r="O12" s="65" t="s">
        <v>93</v>
      </c>
      <c r="P12" s="66">
        <v>195451</v>
      </c>
      <c r="Q12" s="66">
        <v>0</v>
      </c>
      <c r="R12" s="67">
        <v>0</v>
      </c>
      <c r="S12" s="67">
        <v>0</v>
      </c>
      <c r="T12" s="69">
        <v>195451</v>
      </c>
      <c r="U12" s="34" t="s">
        <v>92</v>
      </c>
      <c r="AA12" s="44">
        <f t="shared" si="6"/>
        <v>21.56848484848485</v>
      </c>
      <c r="AB12" s="43" t="s">
        <v>21</v>
      </c>
    </row>
    <row r="13" spans="1:32" s="9" customFormat="1" ht="32.4" x14ac:dyDescent="0.3">
      <c r="B13" s="56" t="s">
        <v>30</v>
      </c>
      <c r="C13" s="57">
        <v>44664</v>
      </c>
      <c r="D13" s="72" t="s">
        <v>61</v>
      </c>
      <c r="E13" s="72">
        <v>35056</v>
      </c>
      <c r="F13" s="60">
        <v>0</v>
      </c>
      <c r="G13" s="60">
        <f t="shared" si="2"/>
        <v>35056</v>
      </c>
      <c r="H13" s="61">
        <f t="shared" si="3"/>
        <v>1752.8000000000002</v>
      </c>
      <c r="I13" s="62">
        <f t="shared" si="4"/>
        <v>36808.800000000003</v>
      </c>
      <c r="J13" s="62">
        <v>0</v>
      </c>
      <c r="K13" s="70"/>
      <c r="L13" s="70"/>
      <c r="M13" s="63">
        <f t="shared" si="5"/>
        <v>36808.800000000003</v>
      </c>
      <c r="N13" s="73"/>
      <c r="O13" s="65"/>
      <c r="P13" s="66"/>
      <c r="Q13" s="66">
        <v>0</v>
      </c>
      <c r="R13" s="67">
        <v>0</v>
      </c>
      <c r="S13" s="67">
        <v>0</v>
      </c>
      <c r="T13" s="68">
        <f t="shared" si="1"/>
        <v>0</v>
      </c>
      <c r="U13" s="34"/>
      <c r="AA13" s="44">
        <f t="shared" si="6"/>
        <v>21.246060606060606</v>
      </c>
      <c r="AB13" s="43" t="s">
        <v>21</v>
      </c>
    </row>
    <row r="14" spans="1:32" s="9" customFormat="1" ht="32.4" x14ac:dyDescent="0.3">
      <c r="B14" s="56" t="s">
        <v>31</v>
      </c>
      <c r="C14" s="57">
        <v>44669</v>
      </c>
      <c r="D14" s="72" t="s">
        <v>62</v>
      </c>
      <c r="E14" s="72">
        <v>50680</v>
      </c>
      <c r="F14" s="60">
        <v>0</v>
      </c>
      <c r="G14" s="60">
        <f t="shared" si="2"/>
        <v>50680</v>
      </c>
      <c r="H14" s="61">
        <f t="shared" si="3"/>
        <v>2534</v>
      </c>
      <c r="I14" s="74">
        <f t="shared" si="4"/>
        <v>53214</v>
      </c>
      <c r="J14" s="62">
        <v>0</v>
      </c>
      <c r="K14" s="70"/>
      <c r="L14" s="70"/>
      <c r="M14" s="63">
        <f t="shared" si="5"/>
        <v>53214</v>
      </c>
      <c r="N14" s="73"/>
      <c r="O14" s="65"/>
      <c r="P14" s="66"/>
      <c r="Q14" s="66">
        <v>0</v>
      </c>
      <c r="R14" s="67">
        <v>0</v>
      </c>
      <c r="S14" s="67">
        <v>0</v>
      </c>
      <c r="T14" s="68">
        <f t="shared" si="1"/>
        <v>0</v>
      </c>
      <c r="U14" s="34"/>
      <c r="AA14" s="44">
        <f t="shared" si="6"/>
        <v>30.715151515151515</v>
      </c>
      <c r="AB14" s="43" t="s">
        <v>21</v>
      </c>
    </row>
    <row r="15" spans="1:32" s="9" customFormat="1" ht="32.4" x14ac:dyDescent="0.3">
      <c r="B15" s="56" t="s">
        <v>31</v>
      </c>
      <c r="C15" s="57">
        <v>44667</v>
      </c>
      <c r="D15" s="72" t="s">
        <v>63</v>
      </c>
      <c r="E15" s="72">
        <v>34230</v>
      </c>
      <c r="F15" s="60">
        <v>0</v>
      </c>
      <c r="G15" s="60">
        <f t="shared" si="2"/>
        <v>34230</v>
      </c>
      <c r="H15" s="61">
        <f t="shared" si="3"/>
        <v>1711.5</v>
      </c>
      <c r="I15" s="74">
        <f t="shared" si="4"/>
        <v>35941.5</v>
      </c>
      <c r="J15" s="62">
        <v>0</v>
      </c>
      <c r="K15" s="70"/>
      <c r="L15" s="70"/>
      <c r="M15" s="63">
        <f t="shared" si="5"/>
        <v>35941.5</v>
      </c>
      <c r="N15" s="73"/>
      <c r="O15" s="65"/>
      <c r="P15" s="66"/>
      <c r="Q15" s="66"/>
      <c r="R15" s="67"/>
      <c r="S15" s="67"/>
      <c r="T15" s="68"/>
      <c r="U15" s="34"/>
      <c r="AA15" s="44">
        <f t="shared" si="6"/>
        <v>20.745454545454546</v>
      </c>
      <c r="AB15" s="43" t="s">
        <v>21</v>
      </c>
    </row>
    <row r="16" spans="1:32" s="9" customFormat="1" ht="32.4" x14ac:dyDescent="0.3">
      <c r="B16" s="56" t="s">
        <v>32</v>
      </c>
      <c r="C16" s="57">
        <v>44667</v>
      </c>
      <c r="D16" s="72" t="s">
        <v>64</v>
      </c>
      <c r="E16" s="72">
        <v>50260</v>
      </c>
      <c r="F16" s="60">
        <v>0</v>
      </c>
      <c r="G16" s="60">
        <f t="shared" si="2"/>
        <v>50260</v>
      </c>
      <c r="H16" s="61">
        <f t="shared" si="3"/>
        <v>2513</v>
      </c>
      <c r="I16" s="74">
        <f t="shared" si="4"/>
        <v>52773</v>
      </c>
      <c r="J16" s="62">
        <v>0</v>
      </c>
      <c r="K16" s="70"/>
      <c r="L16" s="70"/>
      <c r="M16" s="63">
        <f t="shared" si="5"/>
        <v>52773</v>
      </c>
      <c r="N16" s="73"/>
      <c r="O16" s="65"/>
      <c r="P16" s="66"/>
      <c r="Q16" s="66"/>
      <c r="R16" s="67"/>
      <c r="S16" s="67"/>
      <c r="T16" s="68"/>
      <c r="U16" s="34"/>
      <c r="AA16" s="44">
        <f t="shared" si="6"/>
        <v>30.460606060606061</v>
      </c>
      <c r="AB16" s="43" t="s">
        <v>21</v>
      </c>
    </row>
    <row r="17" spans="2:28" s="9" customFormat="1" ht="32.4" x14ac:dyDescent="0.3">
      <c r="B17" s="56" t="s">
        <v>32</v>
      </c>
      <c r="C17" s="57">
        <v>44656</v>
      </c>
      <c r="D17" s="72" t="s">
        <v>65</v>
      </c>
      <c r="E17" s="72">
        <v>35826</v>
      </c>
      <c r="F17" s="60">
        <v>0</v>
      </c>
      <c r="G17" s="60">
        <f t="shared" si="2"/>
        <v>35826</v>
      </c>
      <c r="H17" s="61">
        <f t="shared" si="3"/>
        <v>1791.3000000000002</v>
      </c>
      <c r="I17" s="74">
        <f t="shared" si="4"/>
        <v>37617.300000000003</v>
      </c>
      <c r="J17" s="62">
        <v>0</v>
      </c>
      <c r="K17" s="70"/>
      <c r="L17" s="70"/>
      <c r="M17" s="63">
        <f t="shared" si="5"/>
        <v>37617.300000000003</v>
      </c>
      <c r="N17" s="73"/>
      <c r="O17" s="65"/>
      <c r="P17" s="66"/>
      <c r="Q17" s="66"/>
      <c r="R17" s="67"/>
      <c r="S17" s="67"/>
      <c r="T17" s="68"/>
      <c r="U17" s="34"/>
      <c r="AA17" s="44">
        <f t="shared" si="6"/>
        <v>21.712727272727271</v>
      </c>
      <c r="AB17" s="43" t="s">
        <v>21</v>
      </c>
    </row>
    <row r="18" spans="2:28" s="9" customFormat="1" ht="32.4" x14ac:dyDescent="0.3">
      <c r="B18" s="56" t="s">
        <v>34</v>
      </c>
      <c r="C18" s="57">
        <v>44656</v>
      </c>
      <c r="D18" s="72" t="s">
        <v>66</v>
      </c>
      <c r="E18" s="72">
        <v>35322</v>
      </c>
      <c r="F18" s="60">
        <v>0</v>
      </c>
      <c r="G18" s="60">
        <f t="shared" si="2"/>
        <v>35322</v>
      </c>
      <c r="H18" s="61">
        <f t="shared" si="3"/>
        <v>1766.1000000000001</v>
      </c>
      <c r="I18" s="74">
        <f t="shared" si="4"/>
        <v>37088.1</v>
      </c>
      <c r="J18" s="62">
        <v>0</v>
      </c>
      <c r="K18" s="70"/>
      <c r="L18" s="70"/>
      <c r="M18" s="63">
        <f t="shared" si="5"/>
        <v>37088.1</v>
      </c>
      <c r="N18" s="73"/>
      <c r="O18" s="65"/>
      <c r="P18" s="66"/>
      <c r="Q18" s="66"/>
      <c r="R18" s="67"/>
      <c r="S18" s="67"/>
      <c r="T18" s="68"/>
      <c r="U18" s="34"/>
      <c r="AA18" s="44">
        <f t="shared" si="6"/>
        <v>21.407272727272726</v>
      </c>
      <c r="AB18" s="43" t="s">
        <v>21</v>
      </c>
    </row>
    <row r="19" spans="2:28" s="9" customFormat="1" ht="32.4" x14ac:dyDescent="0.3">
      <c r="B19" s="56" t="s">
        <v>34</v>
      </c>
      <c r="C19" s="57">
        <v>44650</v>
      </c>
      <c r="D19" s="72" t="s">
        <v>67</v>
      </c>
      <c r="E19" s="72">
        <v>35084</v>
      </c>
      <c r="F19" s="60">
        <v>0</v>
      </c>
      <c r="G19" s="60">
        <f t="shared" si="2"/>
        <v>35084</v>
      </c>
      <c r="H19" s="61">
        <f t="shared" si="3"/>
        <v>1754.2</v>
      </c>
      <c r="I19" s="74">
        <f t="shared" si="4"/>
        <v>36838.199999999997</v>
      </c>
      <c r="J19" s="62">
        <v>0</v>
      </c>
      <c r="K19" s="70"/>
      <c r="L19" s="70"/>
      <c r="M19" s="63">
        <f t="shared" si="5"/>
        <v>36838.199999999997</v>
      </c>
      <c r="N19" s="73"/>
      <c r="O19" s="65"/>
      <c r="P19" s="66"/>
      <c r="Q19" s="66"/>
      <c r="R19" s="67"/>
      <c r="S19" s="67"/>
      <c r="T19" s="68"/>
      <c r="U19" s="34"/>
      <c r="AA19" s="44">
        <f t="shared" si="6"/>
        <v>21.263030303030302</v>
      </c>
      <c r="AB19" s="43" t="s">
        <v>21</v>
      </c>
    </row>
    <row r="20" spans="2:28" s="9" customFormat="1" ht="32.4" x14ac:dyDescent="0.3">
      <c r="B20" s="56" t="s">
        <v>35</v>
      </c>
      <c r="C20" s="57">
        <v>44650</v>
      </c>
      <c r="D20" s="72" t="s">
        <v>68</v>
      </c>
      <c r="E20" s="72">
        <v>35770</v>
      </c>
      <c r="F20" s="60">
        <v>0</v>
      </c>
      <c r="G20" s="60">
        <f t="shared" si="2"/>
        <v>35770</v>
      </c>
      <c r="H20" s="61">
        <f t="shared" si="3"/>
        <v>1788.5</v>
      </c>
      <c r="I20" s="74">
        <f t="shared" si="4"/>
        <v>37558.5</v>
      </c>
      <c r="J20" s="62">
        <v>0</v>
      </c>
      <c r="K20" s="70"/>
      <c r="L20" s="70"/>
      <c r="M20" s="63">
        <f t="shared" si="5"/>
        <v>37558.5</v>
      </c>
      <c r="N20" s="73"/>
      <c r="O20" s="65"/>
      <c r="P20" s="66"/>
      <c r="Q20" s="66"/>
      <c r="R20" s="67"/>
      <c r="S20" s="67"/>
      <c r="T20" s="68"/>
      <c r="U20" s="34"/>
      <c r="AA20" s="44">
        <f t="shared" si="6"/>
        <v>21.67878787878788</v>
      </c>
      <c r="AB20" s="43" t="s">
        <v>21</v>
      </c>
    </row>
    <row r="21" spans="2:28" s="9" customFormat="1" ht="31.95" customHeight="1" x14ac:dyDescent="0.3">
      <c r="B21" s="56" t="s">
        <v>36</v>
      </c>
      <c r="C21" s="57">
        <v>44634</v>
      </c>
      <c r="D21" s="72" t="s">
        <v>69</v>
      </c>
      <c r="E21" s="72">
        <v>34202</v>
      </c>
      <c r="F21" s="60">
        <v>0</v>
      </c>
      <c r="G21" s="60">
        <f t="shared" si="2"/>
        <v>34202</v>
      </c>
      <c r="H21" s="61">
        <f t="shared" si="3"/>
        <v>1710.1000000000001</v>
      </c>
      <c r="I21" s="74">
        <f t="shared" si="4"/>
        <v>35912.1</v>
      </c>
      <c r="J21" s="62">
        <v>0</v>
      </c>
      <c r="K21" s="70"/>
      <c r="L21" s="70"/>
      <c r="M21" s="63">
        <f t="shared" si="5"/>
        <v>35912.1</v>
      </c>
      <c r="N21" s="73"/>
      <c r="O21" s="65"/>
      <c r="P21" s="66"/>
      <c r="Q21" s="66"/>
      <c r="R21" s="67"/>
      <c r="S21" s="67"/>
      <c r="T21" s="68"/>
      <c r="U21" s="34"/>
      <c r="AA21" s="44">
        <f t="shared" si="6"/>
        <v>20.728484848484847</v>
      </c>
      <c r="AB21" s="43" t="s">
        <v>21</v>
      </c>
    </row>
    <row r="22" spans="2:28" s="9" customFormat="1" ht="32.4" x14ac:dyDescent="0.3">
      <c r="B22" s="56" t="s">
        <v>37</v>
      </c>
      <c r="C22" s="57">
        <v>44646</v>
      </c>
      <c r="D22" s="72" t="s">
        <v>70</v>
      </c>
      <c r="E22" s="72">
        <v>36134</v>
      </c>
      <c r="F22" s="60">
        <v>0</v>
      </c>
      <c r="G22" s="60">
        <f t="shared" si="2"/>
        <v>36134</v>
      </c>
      <c r="H22" s="61">
        <f t="shared" si="3"/>
        <v>1806.7</v>
      </c>
      <c r="I22" s="74">
        <f t="shared" si="4"/>
        <v>37940.699999999997</v>
      </c>
      <c r="J22" s="62">
        <v>0</v>
      </c>
      <c r="K22" s="70"/>
      <c r="L22" s="70"/>
      <c r="M22" s="63">
        <f t="shared" si="5"/>
        <v>37940.699999999997</v>
      </c>
      <c r="N22" s="73"/>
      <c r="O22" s="65"/>
      <c r="P22" s="66"/>
      <c r="Q22" s="66"/>
      <c r="R22" s="67"/>
      <c r="S22" s="67"/>
      <c r="T22" s="68"/>
      <c r="U22" s="34"/>
      <c r="AA22" s="44">
        <f t="shared" si="6"/>
        <v>21.899393939393939</v>
      </c>
      <c r="AB22" s="43" t="s">
        <v>21</v>
      </c>
    </row>
    <row r="23" spans="2:28" s="9" customFormat="1" ht="32.4" x14ac:dyDescent="0.3">
      <c r="B23" s="56" t="s">
        <v>37</v>
      </c>
      <c r="C23" s="57">
        <v>44632</v>
      </c>
      <c r="D23" s="72" t="s">
        <v>71</v>
      </c>
      <c r="E23" s="72">
        <v>49812</v>
      </c>
      <c r="F23" s="60">
        <v>0</v>
      </c>
      <c r="G23" s="60">
        <f t="shared" si="2"/>
        <v>49812</v>
      </c>
      <c r="H23" s="61">
        <f t="shared" si="3"/>
        <v>2490.6000000000004</v>
      </c>
      <c r="I23" s="74">
        <f t="shared" si="4"/>
        <v>52302.6</v>
      </c>
      <c r="J23" s="62">
        <v>0</v>
      </c>
      <c r="K23" s="70"/>
      <c r="L23" s="70"/>
      <c r="M23" s="63">
        <f t="shared" si="5"/>
        <v>52302.6</v>
      </c>
      <c r="N23" s="73"/>
      <c r="O23" s="65"/>
      <c r="P23" s="66"/>
      <c r="Q23" s="66"/>
      <c r="R23" s="67"/>
      <c r="S23" s="67"/>
      <c r="T23" s="68"/>
      <c r="U23" s="34"/>
      <c r="AA23" s="44">
        <f t="shared" si="6"/>
        <v>30.189090909090908</v>
      </c>
      <c r="AB23" s="43" t="s">
        <v>21</v>
      </c>
    </row>
    <row r="24" spans="2:28" s="9" customFormat="1" ht="32.4" x14ac:dyDescent="0.3">
      <c r="B24" s="56" t="s">
        <v>37</v>
      </c>
      <c r="C24" s="57">
        <v>44619</v>
      </c>
      <c r="D24" s="72" t="s">
        <v>72</v>
      </c>
      <c r="E24" s="72">
        <v>74074</v>
      </c>
      <c r="F24" s="60">
        <v>0</v>
      </c>
      <c r="G24" s="60">
        <f t="shared" si="2"/>
        <v>74074</v>
      </c>
      <c r="H24" s="61">
        <f t="shared" si="3"/>
        <v>3703.7000000000003</v>
      </c>
      <c r="I24" s="74">
        <f t="shared" si="4"/>
        <v>77777.7</v>
      </c>
      <c r="J24" s="62">
        <v>0</v>
      </c>
      <c r="K24" s="70"/>
      <c r="L24" s="70"/>
      <c r="M24" s="63">
        <f t="shared" si="5"/>
        <v>77777.7</v>
      </c>
      <c r="N24" s="73"/>
      <c r="O24" s="65"/>
      <c r="P24" s="66"/>
      <c r="Q24" s="66"/>
      <c r="R24" s="67"/>
      <c r="S24" s="67"/>
      <c r="T24" s="68"/>
      <c r="U24" s="34"/>
      <c r="AA24" s="44">
        <f t="shared" si="6"/>
        <v>44.893333333333331</v>
      </c>
      <c r="AB24" s="43" t="s">
        <v>21</v>
      </c>
    </row>
    <row r="25" spans="2:28" s="9" customFormat="1" ht="32.4" x14ac:dyDescent="0.3">
      <c r="B25" s="56" t="s">
        <v>37</v>
      </c>
      <c r="C25" s="57">
        <v>44728</v>
      </c>
      <c r="D25" s="72" t="s">
        <v>73</v>
      </c>
      <c r="E25" s="72">
        <v>70665</v>
      </c>
      <c r="F25" s="60">
        <v>0</v>
      </c>
      <c r="G25" s="60">
        <f t="shared" ref="G25:G28" si="7">E25-F25</f>
        <v>70665</v>
      </c>
      <c r="H25" s="61">
        <f t="shared" ref="H25:H28" si="8">$H$5*G25</f>
        <v>3533.25</v>
      </c>
      <c r="I25" s="74">
        <f t="shared" ref="I25:I28" si="9">G25+H25</f>
        <v>74198.25</v>
      </c>
      <c r="J25" s="62">
        <v>0</v>
      </c>
      <c r="K25" s="70"/>
      <c r="L25" s="70"/>
      <c r="M25" s="63">
        <f t="shared" ref="M25:M28" si="10">I25-SUM(J25:L25)</f>
        <v>74198.25</v>
      </c>
      <c r="N25" s="73"/>
      <c r="O25" s="65"/>
      <c r="P25" s="75"/>
      <c r="Q25" s="75"/>
      <c r="R25" s="75"/>
      <c r="S25" s="75"/>
      <c r="T25" s="76"/>
      <c r="U25" s="34"/>
      <c r="Z25" s="52">
        <v>648</v>
      </c>
      <c r="AA25" s="54">
        <v>47.11</v>
      </c>
      <c r="AB25" s="43" t="s">
        <v>21</v>
      </c>
    </row>
    <row r="26" spans="2:28" s="9" customFormat="1" ht="32.4" x14ac:dyDescent="0.3">
      <c r="B26" s="56" t="s">
        <v>37</v>
      </c>
      <c r="C26" s="57">
        <v>44724</v>
      </c>
      <c r="D26" s="72" t="s">
        <v>74</v>
      </c>
      <c r="E26" s="72">
        <v>92700</v>
      </c>
      <c r="F26" s="60">
        <v>0</v>
      </c>
      <c r="G26" s="60">
        <f t="shared" si="7"/>
        <v>92700</v>
      </c>
      <c r="H26" s="61">
        <f t="shared" si="8"/>
        <v>4635</v>
      </c>
      <c r="I26" s="74">
        <f t="shared" si="9"/>
        <v>97335</v>
      </c>
      <c r="J26" s="62">
        <v>0</v>
      </c>
      <c r="K26" s="70"/>
      <c r="L26" s="70"/>
      <c r="M26" s="63">
        <f t="shared" si="10"/>
        <v>97335</v>
      </c>
      <c r="N26" s="73"/>
      <c r="O26" s="77"/>
      <c r="P26" s="78"/>
      <c r="Q26" s="78"/>
      <c r="R26" s="78"/>
      <c r="S26" s="78"/>
      <c r="T26" s="79"/>
      <c r="U26" s="34"/>
      <c r="Z26" s="52">
        <v>647</v>
      </c>
      <c r="AA26" s="54">
        <v>61.8</v>
      </c>
      <c r="AB26" s="43" t="s">
        <v>21</v>
      </c>
    </row>
    <row r="27" spans="2:28" s="9" customFormat="1" ht="32.4" x14ac:dyDescent="0.3">
      <c r="B27" s="56" t="s">
        <v>37</v>
      </c>
      <c r="C27" s="57">
        <v>44726</v>
      </c>
      <c r="D27" s="72" t="s">
        <v>75</v>
      </c>
      <c r="E27" s="72">
        <v>43485</v>
      </c>
      <c r="F27" s="60">
        <v>0</v>
      </c>
      <c r="G27" s="60">
        <f t="shared" si="7"/>
        <v>43485</v>
      </c>
      <c r="H27" s="61">
        <f t="shared" si="8"/>
        <v>2174.25</v>
      </c>
      <c r="I27" s="74">
        <f t="shared" si="9"/>
        <v>45659.25</v>
      </c>
      <c r="J27" s="62">
        <v>0</v>
      </c>
      <c r="K27" s="70"/>
      <c r="L27" s="70"/>
      <c r="M27" s="63">
        <f t="shared" si="10"/>
        <v>45659.25</v>
      </c>
      <c r="N27" s="73"/>
      <c r="O27" s="77"/>
      <c r="P27" s="78"/>
      <c r="Q27" s="78"/>
      <c r="R27" s="78"/>
      <c r="S27" s="78"/>
      <c r="T27" s="79"/>
      <c r="U27" s="34"/>
      <c r="Z27" s="52">
        <v>649</v>
      </c>
      <c r="AA27" s="54">
        <v>28.99</v>
      </c>
      <c r="AB27" s="43" t="s">
        <v>21</v>
      </c>
    </row>
    <row r="28" spans="2:28" s="9" customFormat="1" ht="32.4" x14ac:dyDescent="0.3">
      <c r="B28" s="56" t="s">
        <v>37</v>
      </c>
      <c r="C28" s="57">
        <v>44728</v>
      </c>
      <c r="D28" s="72" t="s">
        <v>76</v>
      </c>
      <c r="E28" s="72">
        <v>46612.5</v>
      </c>
      <c r="F28" s="60">
        <v>0</v>
      </c>
      <c r="G28" s="60">
        <f t="shared" si="7"/>
        <v>46612.5</v>
      </c>
      <c r="H28" s="61">
        <f t="shared" si="8"/>
        <v>2330.625</v>
      </c>
      <c r="I28" s="62">
        <f t="shared" si="9"/>
        <v>48943.125</v>
      </c>
      <c r="J28" s="62">
        <v>0</v>
      </c>
      <c r="K28" s="70"/>
      <c r="L28" s="70"/>
      <c r="M28" s="63">
        <f t="shared" si="10"/>
        <v>48943.125</v>
      </c>
      <c r="N28" s="73"/>
      <c r="O28" s="77"/>
      <c r="P28" s="78"/>
      <c r="Q28" s="78"/>
      <c r="R28" s="78"/>
      <c r="S28" s="78"/>
      <c r="T28" s="79"/>
      <c r="U28" s="34"/>
      <c r="Z28" s="52">
        <v>650</v>
      </c>
      <c r="AA28" s="54">
        <v>31.074999999999999</v>
      </c>
      <c r="AB28" s="43" t="s">
        <v>21</v>
      </c>
    </row>
    <row r="29" spans="2:28" s="9" customFormat="1" ht="32.4" x14ac:dyDescent="0.3">
      <c r="B29" s="56" t="s">
        <v>37</v>
      </c>
      <c r="C29" s="57">
        <v>44734</v>
      </c>
      <c r="D29" s="72" t="s">
        <v>77</v>
      </c>
      <c r="E29" s="72">
        <v>36285</v>
      </c>
      <c r="F29" s="60">
        <v>0</v>
      </c>
      <c r="G29" s="60">
        <f t="shared" ref="G29:G43" si="11">E29-F29</f>
        <v>36285</v>
      </c>
      <c r="H29" s="61">
        <f t="shared" ref="H29:H43" si="12">$H$5*G29</f>
        <v>1814.25</v>
      </c>
      <c r="I29" s="62">
        <f t="shared" ref="I29:I43" si="13">G29+H29</f>
        <v>38099.25</v>
      </c>
      <c r="J29" s="62">
        <v>0</v>
      </c>
      <c r="K29" s="70"/>
      <c r="L29" s="70"/>
      <c r="M29" s="63">
        <f t="shared" ref="M29:M43" si="14">I29-SUM(J29:L29)</f>
        <v>38099.25</v>
      </c>
      <c r="N29" s="73"/>
      <c r="O29" s="77"/>
      <c r="P29" s="78"/>
      <c r="Q29" s="78"/>
      <c r="R29" s="78"/>
      <c r="S29" s="78"/>
      <c r="T29" s="79"/>
      <c r="U29" s="34"/>
      <c r="Z29" s="52">
        <v>654</v>
      </c>
      <c r="AA29" s="54">
        <v>24.19</v>
      </c>
      <c r="AB29" s="43" t="s">
        <v>21</v>
      </c>
    </row>
    <row r="30" spans="2:28" s="9" customFormat="1" ht="32.4" x14ac:dyDescent="0.3">
      <c r="B30" s="56" t="s">
        <v>37</v>
      </c>
      <c r="C30" s="57">
        <v>44732</v>
      </c>
      <c r="D30" s="72" t="s">
        <v>78</v>
      </c>
      <c r="E30" s="72">
        <v>37680</v>
      </c>
      <c r="F30" s="60">
        <v>0</v>
      </c>
      <c r="G30" s="60">
        <f t="shared" si="11"/>
        <v>37680</v>
      </c>
      <c r="H30" s="61">
        <f t="shared" si="12"/>
        <v>1884</v>
      </c>
      <c r="I30" s="62">
        <f t="shared" si="13"/>
        <v>39564</v>
      </c>
      <c r="J30" s="62">
        <v>0</v>
      </c>
      <c r="K30" s="70"/>
      <c r="L30" s="70"/>
      <c r="M30" s="63">
        <f t="shared" si="14"/>
        <v>39564</v>
      </c>
      <c r="N30" s="73"/>
      <c r="O30" s="77"/>
      <c r="P30" s="78"/>
      <c r="Q30" s="78"/>
      <c r="R30" s="78"/>
      <c r="S30" s="78"/>
      <c r="T30" s="79"/>
      <c r="U30" s="34"/>
      <c r="Z30" s="52">
        <v>653</v>
      </c>
      <c r="AA30" s="54">
        <v>25.12</v>
      </c>
      <c r="AB30" s="43" t="s">
        <v>21</v>
      </c>
    </row>
    <row r="31" spans="2:28" s="9" customFormat="1" ht="32.4" x14ac:dyDescent="0.3">
      <c r="B31" s="56" t="s">
        <v>37</v>
      </c>
      <c r="C31" s="57">
        <v>44739</v>
      </c>
      <c r="D31" s="72" t="s">
        <v>79</v>
      </c>
      <c r="E31" s="72">
        <v>38100</v>
      </c>
      <c r="F31" s="60">
        <v>0</v>
      </c>
      <c r="G31" s="60">
        <f t="shared" si="11"/>
        <v>38100</v>
      </c>
      <c r="H31" s="61">
        <f t="shared" si="12"/>
        <v>1905</v>
      </c>
      <c r="I31" s="62">
        <f t="shared" si="13"/>
        <v>40005</v>
      </c>
      <c r="J31" s="62">
        <v>0</v>
      </c>
      <c r="K31" s="70"/>
      <c r="L31" s="70"/>
      <c r="M31" s="63">
        <f t="shared" si="14"/>
        <v>40005</v>
      </c>
      <c r="N31" s="73"/>
      <c r="O31" s="77"/>
      <c r="P31" s="78"/>
      <c r="Q31" s="78"/>
      <c r="R31" s="78"/>
      <c r="S31" s="78"/>
      <c r="T31" s="79"/>
      <c r="U31" s="34"/>
      <c r="Z31" s="52">
        <v>662</v>
      </c>
      <c r="AA31" s="54">
        <v>25.4</v>
      </c>
      <c r="AB31" s="43" t="s">
        <v>21</v>
      </c>
    </row>
    <row r="32" spans="2:28" s="9" customFormat="1" ht="32.4" x14ac:dyDescent="0.3">
      <c r="B32" s="56" t="s">
        <v>37</v>
      </c>
      <c r="C32" s="57">
        <v>44740</v>
      </c>
      <c r="D32" s="72" t="s">
        <v>80</v>
      </c>
      <c r="E32" s="72">
        <v>81060</v>
      </c>
      <c r="F32" s="60">
        <v>0</v>
      </c>
      <c r="G32" s="60">
        <f t="shared" si="11"/>
        <v>81060</v>
      </c>
      <c r="H32" s="61">
        <f t="shared" si="12"/>
        <v>4053</v>
      </c>
      <c r="I32" s="62">
        <f t="shared" si="13"/>
        <v>85113</v>
      </c>
      <c r="J32" s="62">
        <v>0</v>
      </c>
      <c r="K32" s="70"/>
      <c r="L32" s="70"/>
      <c r="M32" s="63">
        <f t="shared" si="14"/>
        <v>85113</v>
      </c>
      <c r="N32" s="73"/>
      <c r="O32" s="77"/>
      <c r="P32" s="78"/>
      <c r="Q32" s="78"/>
      <c r="R32" s="78"/>
      <c r="S32" s="78"/>
      <c r="T32" s="79"/>
      <c r="U32" s="34"/>
      <c r="Z32" s="52">
        <v>664</v>
      </c>
      <c r="AA32" s="54">
        <v>54.04</v>
      </c>
      <c r="AB32" s="43" t="s">
        <v>21</v>
      </c>
    </row>
    <row r="33" spans="2:28" s="9" customFormat="1" ht="32.4" x14ac:dyDescent="0.3">
      <c r="B33" s="56" t="s">
        <v>37</v>
      </c>
      <c r="C33" s="57">
        <v>44738</v>
      </c>
      <c r="D33" s="72" t="s">
        <v>81</v>
      </c>
      <c r="E33" s="72">
        <v>51060</v>
      </c>
      <c r="F33" s="60">
        <v>0</v>
      </c>
      <c r="G33" s="60">
        <f t="shared" si="11"/>
        <v>51060</v>
      </c>
      <c r="H33" s="61">
        <f t="shared" si="12"/>
        <v>2553</v>
      </c>
      <c r="I33" s="62">
        <f t="shared" si="13"/>
        <v>53613</v>
      </c>
      <c r="J33" s="62">
        <v>0</v>
      </c>
      <c r="K33" s="70"/>
      <c r="L33" s="70"/>
      <c r="M33" s="63">
        <f t="shared" si="14"/>
        <v>53613</v>
      </c>
      <c r="N33" s="73"/>
      <c r="O33" s="77"/>
      <c r="P33" s="78"/>
      <c r="Q33" s="78"/>
      <c r="R33" s="78"/>
      <c r="S33" s="78"/>
      <c r="T33" s="79"/>
      <c r="U33" s="34"/>
      <c r="Z33" s="52">
        <v>665</v>
      </c>
      <c r="AA33" s="53">
        <v>34.04</v>
      </c>
      <c r="AB33" s="43" t="s">
        <v>21</v>
      </c>
    </row>
    <row r="34" spans="2:28" s="9" customFormat="1" ht="32.4" x14ac:dyDescent="0.3">
      <c r="B34" s="56" t="s">
        <v>37</v>
      </c>
      <c r="C34" s="57">
        <v>44738</v>
      </c>
      <c r="D34" s="72" t="s">
        <v>82</v>
      </c>
      <c r="E34" s="72">
        <v>50115</v>
      </c>
      <c r="F34" s="60">
        <v>0</v>
      </c>
      <c r="G34" s="60">
        <f t="shared" si="11"/>
        <v>50115</v>
      </c>
      <c r="H34" s="61">
        <f t="shared" si="12"/>
        <v>2505.75</v>
      </c>
      <c r="I34" s="62">
        <f t="shared" si="13"/>
        <v>52620.75</v>
      </c>
      <c r="J34" s="62">
        <v>0</v>
      </c>
      <c r="K34" s="70"/>
      <c r="L34" s="70"/>
      <c r="M34" s="63">
        <f t="shared" si="14"/>
        <v>52620.75</v>
      </c>
      <c r="N34" s="73"/>
      <c r="O34" s="77"/>
      <c r="P34" s="78"/>
      <c r="Q34" s="78"/>
      <c r="R34" s="78"/>
      <c r="S34" s="78"/>
      <c r="T34" s="79"/>
      <c r="U34" s="34"/>
      <c r="Z34" s="52">
        <v>663</v>
      </c>
      <c r="AA34" s="53">
        <v>33.409999999999997</v>
      </c>
      <c r="AB34" s="43" t="s">
        <v>21</v>
      </c>
    </row>
    <row r="35" spans="2:28" s="9" customFormat="1" ht="32.4" x14ac:dyDescent="0.3">
      <c r="B35" s="56" t="s">
        <v>37</v>
      </c>
      <c r="C35" s="57">
        <v>44683</v>
      </c>
      <c r="D35" s="72" t="s">
        <v>83</v>
      </c>
      <c r="E35" s="72">
        <v>42868</v>
      </c>
      <c r="F35" s="60">
        <v>0</v>
      </c>
      <c r="G35" s="60">
        <f t="shared" si="11"/>
        <v>42868</v>
      </c>
      <c r="H35" s="61">
        <f t="shared" si="12"/>
        <v>2143.4</v>
      </c>
      <c r="I35" s="62">
        <f t="shared" si="13"/>
        <v>45011.4</v>
      </c>
      <c r="J35" s="62">
        <v>0</v>
      </c>
      <c r="K35" s="70"/>
      <c r="L35" s="70"/>
      <c r="M35" s="63">
        <f t="shared" si="14"/>
        <v>45011.4</v>
      </c>
      <c r="N35" s="73"/>
      <c r="O35" s="77"/>
      <c r="P35" s="78"/>
      <c r="Q35" s="78"/>
      <c r="R35" s="78"/>
      <c r="S35" s="78"/>
      <c r="T35" s="79"/>
      <c r="U35" s="34"/>
      <c r="Z35" s="52">
        <v>715</v>
      </c>
      <c r="AA35" s="53">
        <v>30.62</v>
      </c>
      <c r="AB35" s="49" t="s">
        <v>21</v>
      </c>
    </row>
    <row r="36" spans="2:28" s="9" customFormat="1" ht="32.4" x14ac:dyDescent="0.3">
      <c r="B36" s="56" t="s">
        <v>37</v>
      </c>
      <c r="C36" s="57">
        <v>44617</v>
      </c>
      <c r="D36" s="72" t="s">
        <v>84</v>
      </c>
      <c r="E36" s="72">
        <v>36204</v>
      </c>
      <c r="F36" s="60">
        <v>0</v>
      </c>
      <c r="G36" s="60">
        <f t="shared" si="11"/>
        <v>36204</v>
      </c>
      <c r="H36" s="61">
        <f t="shared" si="12"/>
        <v>1810.2</v>
      </c>
      <c r="I36" s="62">
        <f t="shared" si="13"/>
        <v>38014.199999999997</v>
      </c>
      <c r="J36" s="62">
        <v>0</v>
      </c>
      <c r="K36" s="70"/>
      <c r="L36" s="70"/>
      <c r="M36" s="63">
        <f t="shared" si="14"/>
        <v>38014.199999999997</v>
      </c>
      <c r="N36" s="73"/>
      <c r="O36" s="77"/>
      <c r="P36" s="78"/>
      <c r="Q36" s="78"/>
      <c r="R36" s="78"/>
      <c r="S36" s="78"/>
      <c r="T36" s="79"/>
      <c r="U36" s="34"/>
      <c r="Z36" s="52">
        <v>598</v>
      </c>
      <c r="AA36" s="53">
        <v>25.86</v>
      </c>
      <c r="AB36" s="49" t="s">
        <v>21</v>
      </c>
    </row>
    <row r="37" spans="2:28" s="9" customFormat="1" ht="32.4" x14ac:dyDescent="0.3">
      <c r="B37" s="56" t="s">
        <v>37</v>
      </c>
      <c r="C37" s="57">
        <v>44688</v>
      </c>
      <c r="D37" s="72" t="s">
        <v>85</v>
      </c>
      <c r="E37" s="72">
        <v>35154</v>
      </c>
      <c r="F37" s="60">
        <v>0</v>
      </c>
      <c r="G37" s="60">
        <f t="shared" si="11"/>
        <v>35154</v>
      </c>
      <c r="H37" s="61">
        <f t="shared" si="12"/>
        <v>1757.7</v>
      </c>
      <c r="I37" s="62">
        <f t="shared" si="13"/>
        <v>36911.699999999997</v>
      </c>
      <c r="J37" s="62">
        <v>0</v>
      </c>
      <c r="K37" s="70"/>
      <c r="L37" s="70"/>
      <c r="M37" s="63">
        <f t="shared" si="14"/>
        <v>36911.699999999997</v>
      </c>
      <c r="N37" s="73"/>
      <c r="O37" s="77"/>
      <c r="P37" s="78"/>
      <c r="Q37" s="78"/>
      <c r="R37" s="78"/>
      <c r="S37" s="78"/>
      <c r="T37" s="79"/>
      <c r="U37" s="34"/>
      <c r="Z37" s="52">
        <v>714</v>
      </c>
      <c r="AA37" s="53">
        <v>25.11</v>
      </c>
      <c r="AB37" s="49" t="s">
        <v>21</v>
      </c>
    </row>
    <row r="38" spans="2:28" s="9" customFormat="1" ht="32.4" x14ac:dyDescent="0.3">
      <c r="B38" s="56" t="s">
        <v>37</v>
      </c>
      <c r="C38" s="57">
        <v>44755</v>
      </c>
      <c r="D38" s="72" t="s">
        <v>86</v>
      </c>
      <c r="E38" s="72">
        <v>70710</v>
      </c>
      <c r="F38" s="60">
        <v>0</v>
      </c>
      <c r="G38" s="60">
        <f t="shared" si="11"/>
        <v>70710</v>
      </c>
      <c r="H38" s="61">
        <f t="shared" si="12"/>
        <v>3535.5</v>
      </c>
      <c r="I38" s="62">
        <f t="shared" si="13"/>
        <v>74245.5</v>
      </c>
      <c r="J38" s="62">
        <v>0</v>
      </c>
      <c r="K38" s="70"/>
      <c r="L38" s="70"/>
      <c r="M38" s="63">
        <f t="shared" si="14"/>
        <v>74245.5</v>
      </c>
      <c r="N38" s="73"/>
      <c r="O38" s="77"/>
      <c r="P38" s="78"/>
      <c r="Q38" s="78"/>
      <c r="R38" s="78"/>
      <c r="S38" s="78"/>
      <c r="T38" s="79"/>
      <c r="U38" s="34"/>
      <c r="Z38" s="52">
        <v>734</v>
      </c>
      <c r="AA38" s="53">
        <v>47.14</v>
      </c>
      <c r="AB38" s="49" t="s">
        <v>21</v>
      </c>
    </row>
    <row r="39" spans="2:28" s="9" customFormat="1" ht="32.4" x14ac:dyDescent="0.3">
      <c r="B39" s="56" t="s">
        <v>37</v>
      </c>
      <c r="C39" s="57">
        <v>44749</v>
      </c>
      <c r="D39" s="72" t="s">
        <v>87</v>
      </c>
      <c r="E39" s="72">
        <v>80370</v>
      </c>
      <c r="F39" s="60">
        <v>0</v>
      </c>
      <c r="G39" s="60">
        <f t="shared" si="11"/>
        <v>80370</v>
      </c>
      <c r="H39" s="61">
        <f t="shared" si="12"/>
        <v>4018.5</v>
      </c>
      <c r="I39" s="62">
        <f t="shared" si="13"/>
        <v>84388.5</v>
      </c>
      <c r="J39" s="62">
        <v>0</v>
      </c>
      <c r="K39" s="70"/>
      <c r="L39" s="70"/>
      <c r="M39" s="63">
        <f t="shared" si="14"/>
        <v>84388.5</v>
      </c>
      <c r="N39" s="73"/>
      <c r="O39" s="77"/>
      <c r="P39" s="78"/>
      <c r="Q39" s="78"/>
      <c r="R39" s="78"/>
      <c r="S39" s="78"/>
      <c r="T39" s="79"/>
      <c r="U39" s="34"/>
      <c r="Z39" s="52">
        <v>733</v>
      </c>
      <c r="AA39" s="53">
        <v>53.58</v>
      </c>
      <c r="AB39" s="49" t="s">
        <v>21</v>
      </c>
    </row>
    <row r="40" spans="2:28" s="9" customFormat="1" ht="32.4" x14ac:dyDescent="0.3">
      <c r="B40" s="56" t="s">
        <v>37</v>
      </c>
      <c r="C40" s="57">
        <v>44782</v>
      </c>
      <c r="D40" s="72" t="s">
        <v>88</v>
      </c>
      <c r="E40" s="72">
        <v>39465</v>
      </c>
      <c r="F40" s="60">
        <v>0</v>
      </c>
      <c r="G40" s="60">
        <f t="shared" si="11"/>
        <v>39465</v>
      </c>
      <c r="H40" s="61">
        <f t="shared" si="12"/>
        <v>1973.25</v>
      </c>
      <c r="I40" s="62">
        <f t="shared" si="13"/>
        <v>41438.25</v>
      </c>
      <c r="J40" s="62">
        <v>0</v>
      </c>
      <c r="K40" s="70"/>
      <c r="L40" s="70"/>
      <c r="M40" s="63">
        <f t="shared" si="14"/>
        <v>41438.25</v>
      </c>
      <c r="N40" s="73"/>
      <c r="O40" s="77"/>
      <c r="P40" s="78"/>
      <c r="Q40" s="78"/>
      <c r="R40" s="78"/>
      <c r="S40" s="78"/>
      <c r="T40" s="79"/>
      <c r="U40" s="34"/>
      <c r="Z40" s="52">
        <v>799</v>
      </c>
      <c r="AA40" s="53">
        <v>26.31</v>
      </c>
      <c r="AB40" s="49" t="s">
        <v>21</v>
      </c>
    </row>
    <row r="41" spans="2:28" s="9" customFormat="1" ht="32.4" x14ac:dyDescent="0.3">
      <c r="B41" s="56" t="s">
        <v>37</v>
      </c>
      <c r="C41" s="57">
        <v>44786</v>
      </c>
      <c r="D41" s="72" t="s">
        <v>89</v>
      </c>
      <c r="E41" s="72">
        <v>68775</v>
      </c>
      <c r="F41" s="60">
        <v>0</v>
      </c>
      <c r="G41" s="60">
        <f t="shared" si="11"/>
        <v>68775</v>
      </c>
      <c r="H41" s="61">
        <f t="shared" si="12"/>
        <v>3438.75</v>
      </c>
      <c r="I41" s="62">
        <f t="shared" si="13"/>
        <v>72213.75</v>
      </c>
      <c r="J41" s="62">
        <v>0</v>
      </c>
      <c r="K41" s="70"/>
      <c r="L41" s="70"/>
      <c r="M41" s="63">
        <f t="shared" si="14"/>
        <v>72213.75</v>
      </c>
      <c r="N41" s="73"/>
      <c r="O41" s="77"/>
      <c r="P41" s="78"/>
      <c r="Q41" s="78"/>
      <c r="R41" s="78"/>
      <c r="S41" s="78"/>
      <c r="T41" s="79"/>
      <c r="U41" s="34"/>
      <c r="Z41" s="9">
        <v>802</v>
      </c>
      <c r="AA41" s="53">
        <v>45.85</v>
      </c>
      <c r="AB41" s="49" t="s">
        <v>21</v>
      </c>
    </row>
    <row r="42" spans="2:28" s="9" customFormat="1" ht="32.4" x14ac:dyDescent="0.3">
      <c r="B42" s="56" t="s">
        <v>37</v>
      </c>
      <c r="C42" s="57">
        <v>44784</v>
      </c>
      <c r="D42" s="72" t="s">
        <v>90</v>
      </c>
      <c r="E42" s="72">
        <v>38002.5</v>
      </c>
      <c r="F42" s="60">
        <v>0</v>
      </c>
      <c r="G42" s="60">
        <f t="shared" si="11"/>
        <v>38002.5</v>
      </c>
      <c r="H42" s="61">
        <f t="shared" si="12"/>
        <v>1900.125</v>
      </c>
      <c r="I42" s="62">
        <f t="shared" si="13"/>
        <v>39902.625</v>
      </c>
      <c r="J42" s="62">
        <v>0</v>
      </c>
      <c r="K42" s="70"/>
      <c r="L42" s="70"/>
      <c r="M42" s="63">
        <f t="shared" si="14"/>
        <v>39902.625</v>
      </c>
      <c r="N42" s="73"/>
      <c r="O42" s="77"/>
      <c r="P42" s="78"/>
      <c r="Q42" s="78"/>
      <c r="R42" s="78"/>
      <c r="S42" s="78"/>
      <c r="T42" s="79"/>
      <c r="U42" s="34"/>
      <c r="Z42" s="9">
        <v>801</v>
      </c>
      <c r="AA42" s="53">
        <v>25.335000000000001</v>
      </c>
      <c r="AB42" s="49" t="s">
        <v>21</v>
      </c>
    </row>
    <row r="43" spans="2:28" s="9" customFormat="1" ht="32.4" x14ac:dyDescent="0.3">
      <c r="B43" s="56" t="s">
        <v>37</v>
      </c>
      <c r="C43" s="57">
        <v>44784</v>
      </c>
      <c r="D43" s="72" t="s">
        <v>91</v>
      </c>
      <c r="E43" s="72">
        <v>39900</v>
      </c>
      <c r="F43" s="60">
        <v>0</v>
      </c>
      <c r="G43" s="60">
        <f t="shared" si="11"/>
        <v>39900</v>
      </c>
      <c r="H43" s="61">
        <f t="shared" si="12"/>
        <v>1995</v>
      </c>
      <c r="I43" s="62">
        <f t="shared" si="13"/>
        <v>41895</v>
      </c>
      <c r="J43" s="62">
        <v>0</v>
      </c>
      <c r="K43" s="70"/>
      <c r="L43" s="70"/>
      <c r="M43" s="63">
        <f t="shared" si="14"/>
        <v>41895</v>
      </c>
      <c r="N43" s="73"/>
      <c r="O43" s="77"/>
      <c r="P43" s="78"/>
      <c r="Q43" s="78"/>
      <c r="R43" s="78"/>
      <c r="S43" s="78"/>
      <c r="T43" s="79"/>
      <c r="U43" s="34"/>
      <c r="Z43" s="9">
        <v>800</v>
      </c>
      <c r="AA43" s="50">
        <v>26.6</v>
      </c>
      <c r="AB43" s="49" t="s">
        <v>21</v>
      </c>
    </row>
    <row r="44" spans="2:28" s="9" customFormat="1" ht="16.8" x14ac:dyDescent="0.3">
      <c r="B44" s="56"/>
      <c r="C44" s="57"/>
      <c r="D44" s="72"/>
      <c r="E44" s="116"/>
      <c r="F44" s="60"/>
      <c r="G44" s="60"/>
      <c r="H44" s="61"/>
      <c r="I44" s="62"/>
      <c r="J44" s="62"/>
      <c r="K44" s="70"/>
      <c r="L44" s="70"/>
      <c r="M44" s="63"/>
      <c r="N44" s="73"/>
      <c r="O44" s="77"/>
      <c r="P44" s="78"/>
      <c r="Q44" s="78"/>
      <c r="R44" s="78"/>
      <c r="S44" s="78"/>
      <c r="T44" s="79"/>
      <c r="U44" s="34"/>
      <c r="AA44" s="55"/>
      <c r="AB44" s="49"/>
    </row>
    <row r="45" spans="2:28" s="9" customFormat="1" ht="16.8" x14ac:dyDescent="0.3">
      <c r="B45" s="56"/>
      <c r="C45" s="57"/>
      <c r="D45" s="72"/>
      <c r="E45" s="116"/>
      <c r="F45" s="60"/>
      <c r="G45" s="60"/>
      <c r="H45" s="61"/>
      <c r="I45" s="62"/>
      <c r="J45" s="62"/>
      <c r="K45" s="70"/>
      <c r="L45" s="70"/>
      <c r="M45" s="63"/>
      <c r="N45" s="73"/>
      <c r="O45" s="77"/>
      <c r="P45" s="78"/>
      <c r="Q45" s="78"/>
      <c r="R45" s="78"/>
      <c r="S45" s="78"/>
      <c r="T45" s="79"/>
      <c r="U45" s="34"/>
      <c r="AA45" s="55"/>
      <c r="AB45" s="49"/>
    </row>
    <row r="46" spans="2:28" s="9" customFormat="1" ht="16.8" x14ac:dyDescent="0.3">
      <c r="B46" s="56"/>
      <c r="C46" s="57"/>
      <c r="D46" s="72"/>
      <c r="E46" s="116"/>
      <c r="F46" s="60"/>
      <c r="G46" s="60"/>
      <c r="H46" s="61"/>
      <c r="I46" s="62"/>
      <c r="J46" s="62"/>
      <c r="K46" s="70"/>
      <c r="L46" s="70"/>
      <c r="M46" s="63"/>
      <c r="N46" s="73"/>
      <c r="O46" s="77"/>
      <c r="P46" s="78"/>
      <c r="Q46" s="78"/>
      <c r="R46" s="78"/>
      <c r="S46" s="78"/>
      <c r="T46" s="79"/>
      <c r="U46" s="34"/>
      <c r="AA46" s="55"/>
      <c r="AB46" s="49"/>
    </row>
    <row r="47" spans="2:28" s="9" customFormat="1" ht="16.8" x14ac:dyDescent="0.3">
      <c r="B47" s="56"/>
      <c r="C47" s="57"/>
      <c r="D47" s="80"/>
      <c r="E47" s="81"/>
      <c r="F47" s="82"/>
      <c r="G47" s="82"/>
      <c r="H47" s="67"/>
      <c r="I47" s="83"/>
      <c r="J47" s="83"/>
      <c r="K47" s="84"/>
      <c r="L47" s="84"/>
      <c r="M47" s="85"/>
      <c r="N47" s="73"/>
      <c r="O47" s="77"/>
      <c r="P47" s="78"/>
      <c r="Q47" s="78"/>
      <c r="R47" s="78"/>
      <c r="S47" s="78"/>
      <c r="T47" s="79"/>
      <c r="U47" s="34"/>
      <c r="AA47" s="55"/>
      <c r="AB47" s="49"/>
    </row>
    <row r="48" spans="2:28" s="9" customFormat="1" ht="17.399999999999999" thickBot="1" x14ac:dyDescent="0.35">
      <c r="B48" s="86"/>
      <c r="C48" s="87"/>
      <c r="D48" s="87"/>
      <c r="E48" s="88"/>
      <c r="F48" s="88"/>
      <c r="G48" s="88"/>
      <c r="H48" s="89"/>
      <c r="I48" s="90"/>
      <c r="J48" s="90"/>
      <c r="K48" s="91"/>
      <c r="L48" s="91"/>
      <c r="M48" s="91"/>
      <c r="N48" s="73"/>
      <c r="O48" s="92"/>
      <c r="P48" s="93"/>
      <c r="Q48" s="93"/>
      <c r="R48" s="93"/>
      <c r="S48" s="93"/>
      <c r="T48" s="94"/>
      <c r="U48" s="35"/>
    </row>
    <row r="49" spans="1:28" s="9" customFormat="1" ht="16.2" x14ac:dyDescent="0.3">
      <c r="A49" s="22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7"/>
      <c r="U49" s="22"/>
      <c r="AA49" s="44">
        <f>SUM(Z7:Z49)</f>
        <v>14901</v>
      </c>
      <c r="AB49" s="43" t="s">
        <v>21</v>
      </c>
    </row>
    <row r="50" spans="1:28" s="9" customFormat="1" ht="16.2" x14ac:dyDescent="0.3">
      <c r="A50" s="22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7"/>
      <c r="U50" s="33"/>
      <c r="Z50" s="46" t="s">
        <v>33</v>
      </c>
      <c r="AA50" s="45">
        <f>AA5-AA49</f>
        <v>-11854.5</v>
      </c>
      <c r="AB50" s="47" t="s">
        <v>21</v>
      </c>
    </row>
    <row r="51" spans="1:28" s="9" customFormat="1" ht="16.8" x14ac:dyDescent="0.3">
      <c r="A51" s="22"/>
      <c r="B51" s="66"/>
      <c r="C51" s="66"/>
      <c r="D51" s="66"/>
      <c r="E51" s="66"/>
      <c r="F51" s="66"/>
      <c r="G51" s="66"/>
      <c r="H51" s="66"/>
      <c r="I51" s="66"/>
      <c r="J51" s="95" t="s">
        <v>43</v>
      </c>
      <c r="K51" s="95"/>
      <c r="L51" s="95"/>
      <c r="M51" s="95">
        <f>SUM(M7:M48)</f>
        <v>1846079.5499999996</v>
      </c>
      <c r="N51" s="95"/>
      <c r="O51" s="95"/>
      <c r="P51" s="95"/>
      <c r="Q51" s="95"/>
      <c r="R51" s="95" t="s">
        <v>44</v>
      </c>
      <c r="S51" s="95"/>
      <c r="T51" s="96">
        <f>SUM(T5:T48)</f>
        <v>1846081</v>
      </c>
      <c r="U51" s="33"/>
    </row>
    <row r="52" spans="1:28" s="9" customFormat="1" ht="16.2" x14ac:dyDescent="0.3">
      <c r="A52" s="22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97">
        <f>-0.27-0.45</f>
        <v>-0.72</v>
      </c>
      <c r="U52" s="33"/>
    </row>
    <row r="53" spans="1:28" s="9" customFormat="1" ht="16.8" x14ac:dyDescent="0.3">
      <c r="A53" s="22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95" t="s">
        <v>45</v>
      </c>
      <c r="S53" s="66"/>
      <c r="T53" s="96">
        <f>M51-T51+T52</f>
        <v>-2.1700000004190949</v>
      </c>
      <c r="U53" s="33"/>
    </row>
    <row r="54" spans="1:28" s="9" customFormat="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8" s="9" customFormat="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8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8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8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8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8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8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1:28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1:2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</row>
    <row r="70" spans="1:2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1:21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1:21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</row>
    <row r="74" spans="1:2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1:21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</row>
    <row r="78" spans="1:21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 x14ac:dyDescent="0.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spans="1:21" x14ac:dyDescent="0.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1:21" x14ac:dyDescent="0.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 spans="1:2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83" spans="1:21" x14ac:dyDescent="0.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</row>
    <row r="84" spans="1:21" x14ac:dyDescent="0.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</row>
    <row r="85" spans="1:21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</row>
    <row r="86" spans="1:21" x14ac:dyDescent="0.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 spans="1:21" x14ac:dyDescent="0.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</row>
    <row r="90" spans="1:21" x14ac:dyDescent="0.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</row>
    <row r="92" spans="1:21" x14ac:dyDescent="0.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</row>
    <row r="94" spans="1:21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</row>
    <row r="95" spans="1:21" x14ac:dyDescent="0.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</row>
    <row r="96" spans="1:21" x14ac:dyDescent="0.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</row>
    <row r="97" spans="1:21" x14ac:dyDescent="0.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</row>
    <row r="98" spans="1:21" x14ac:dyDescent="0.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 spans="1:21" x14ac:dyDescent="0.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</row>
    <row r="100" spans="1:21" x14ac:dyDescent="0.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1:21" x14ac:dyDescent="0.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  <row r="103" spans="1:21" x14ac:dyDescent="0.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</row>
    <row r="105" spans="1:21" x14ac:dyDescent="0.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</row>
    <row r="106" spans="1:21" x14ac:dyDescent="0.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</row>
    <row r="107" spans="1:21" x14ac:dyDescent="0.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</row>
    <row r="108" spans="1:21" x14ac:dyDescent="0.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</row>
    <row r="109" spans="1:21" x14ac:dyDescent="0.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</row>
    <row r="110" spans="1:2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</row>
    <row r="111" spans="1:21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</row>
    <row r="112" spans="1:21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1:21" x14ac:dyDescent="0.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</row>
    <row r="114" spans="1:21" x14ac:dyDescent="0.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</row>
    <row r="115" spans="1:21" x14ac:dyDescent="0.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</row>
    <row r="116" spans="1:21" x14ac:dyDescent="0.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1:21" x14ac:dyDescent="0.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1:21" x14ac:dyDescent="0.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1:21" x14ac:dyDescent="0.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  <row r="120" spans="1:21" x14ac:dyDescent="0.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</row>
    <row r="121" spans="1:21" x14ac:dyDescent="0.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</row>
    <row r="122" spans="1:21" x14ac:dyDescent="0.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2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</row>
    <row r="124" spans="1:21" x14ac:dyDescent="0.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</row>
    <row r="125" spans="1:21" x14ac:dyDescent="0.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</row>
    <row r="126" spans="1:21" x14ac:dyDescent="0.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</row>
    <row r="127" spans="1:21" x14ac:dyDescent="0.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5"/>
  <sheetViews>
    <sheetView topLeftCell="A16" zoomScale="70" zoomScaleNormal="70" workbookViewId="0">
      <selection activeCell="D2" sqref="D2"/>
    </sheetView>
  </sheetViews>
  <sheetFormatPr defaultColWidth="9" defaultRowHeight="14.4" x14ac:dyDescent="0.3"/>
  <cols>
    <col min="1" max="1" width="7.6640625" style="121" customWidth="1"/>
    <col min="2" max="2" width="28.109375" style="121" bestFit="1" customWidth="1"/>
    <col min="3" max="3" width="15.88671875" style="121" bestFit="1" customWidth="1"/>
    <col min="4" max="4" width="17.44140625" style="121" customWidth="1"/>
    <col min="5" max="5" width="13" style="121" bestFit="1" customWidth="1"/>
    <col min="6" max="6" width="8.33203125" style="121" bestFit="1" customWidth="1"/>
    <col min="7" max="7" width="12.5546875" style="121" bestFit="1" customWidth="1"/>
    <col min="8" max="8" width="12" style="11" bestFit="1" customWidth="1"/>
    <col min="9" max="9" width="21.6640625" style="11" customWidth="1"/>
    <col min="10" max="10" width="7.88671875" style="121" bestFit="1" customWidth="1"/>
    <col min="11" max="11" width="10.6640625" style="121" bestFit="1" customWidth="1"/>
    <col min="12" max="12" width="10.5546875" style="121" bestFit="1" customWidth="1"/>
    <col min="13" max="13" width="18.109375" style="121" bestFit="1" customWidth="1"/>
    <col min="14" max="14" width="10" style="121" customWidth="1"/>
    <col min="15" max="15" width="20.109375" style="121" bestFit="1" customWidth="1"/>
    <col min="16" max="16" width="14.44140625" style="121" bestFit="1" customWidth="1"/>
    <col min="17" max="17" width="23.44140625" style="121" bestFit="1" customWidth="1"/>
    <col min="18" max="18" width="10.6640625" style="121" bestFit="1" customWidth="1"/>
    <col min="19" max="19" width="11.6640625" style="121" bestFit="1" customWidth="1"/>
    <col min="20" max="20" width="18.109375" style="121" bestFit="1" customWidth="1"/>
    <col min="21" max="21" width="94.33203125" style="121" bestFit="1" customWidth="1"/>
    <col min="22" max="25" width="9" style="121"/>
    <col min="26" max="26" width="18.5546875" style="121" bestFit="1" customWidth="1"/>
    <col min="27" max="27" width="73.5546875" style="121" bestFit="1" customWidth="1"/>
    <col min="28" max="28" width="6.6640625" style="121" bestFit="1" customWidth="1"/>
    <col min="29" max="29" width="10.6640625" style="121" bestFit="1" customWidth="1"/>
    <col min="30" max="30" width="15" style="121" bestFit="1" customWidth="1"/>
    <col min="31" max="31" width="13.88671875" style="121" bestFit="1" customWidth="1"/>
    <col min="32" max="32" width="30" style="121" bestFit="1" customWidth="1"/>
    <col min="33" max="16384" width="9" style="121"/>
  </cols>
  <sheetData>
    <row r="1" spans="1:35" x14ac:dyDescent="0.3">
      <c r="A1" s="117"/>
      <c r="B1" s="118" t="s">
        <v>16</v>
      </c>
      <c r="C1" s="117"/>
      <c r="D1" s="117"/>
      <c r="E1" s="119"/>
      <c r="F1" s="119"/>
      <c r="G1" s="119"/>
      <c r="H1" s="120"/>
      <c r="I1" s="120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</row>
    <row r="2" spans="1:35" ht="16.2" x14ac:dyDescent="0.3">
      <c r="A2" s="117"/>
      <c r="B2" s="122" t="s">
        <v>0</v>
      </c>
      <c r="C2" s="122"/>
      <c r="D2" s="122" t="s">
        <v>105</v>
      </c>
      <c r="E2" s="117"/>
      <c r="F2" s="117"/>
      <c r="G2" s="117"/>
      <c r="H2" s="123"/>
      <c r="I2" s="124" t="s">
        <v>17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</row>
    <row r="3" spans="1:35" ht="16.8" thickBot="1" x14ac:dyDescent="0.35">
      <c r="A3" s="126"/>
      <c r="B3" s="127"/>
      <c r="C3" s="127"/>
      <c r="D3" s="127"/>
      <c r="E3" s="127"/>
      <c r="F3" s="127"/>
      <c r="G3" s="127"/>
      <c r="H3" s="128"/>
      <c r="I3" s="128"/>
      <c r="J3" s="127"/>
      <c r="K3" s="127"/>
      <c r="L3" s="126"/>
      <c r="M3" s="126"/>
      <c r="N3" s="117"/>
      <c r="O3" s="127"/>
      <c r="P3" s="129"/>
      <c r="Q3" s="129"/>
      <c r="R3" s="129"/>
      <c r="S3" s="129"/>
      <c r="T3" s="129"/>
      <c r="U3" s="129"/>
      <c r="V3" s="117"/>
      <c r="W3" s="117"/>
      <c r="X3" s="117"/>
      <c r="Y3" s="117"/>
      <c r="Z3" s="117"/>
      <c r="AA3" s="130" t="s">
        <v>106</v>
      </c>
      <c r="AB3" s="117"/>
      <c r="AC3" s="117"/>
      <c r="AD3" s="117"/>
      <c r="AE3" s="117"/>
      <c r="AF3" s="117"/>
      <c r="AG3" s="117"/>
      <c r="AH3" s="117"/>
      <c r="AI3" s="117"/>
    </row>
    <row r="4" spans="1:35" ht="43.95" customHeight="1" x14ac:dyDescent="0.3">
      <c r="A4" s="131"/>
      <c r="B4" s="132" t="s">
        <v>1</v>
      </c>
      <c r="C4" s="132" t="s">
        <v>2</v>
      </c>
      <c r="D4" s="132" t="s">
        <v>3</v>
      </c>
      <c r="E4" s="132" t="s">
        <v>4</v>
      </c>
      <c r="F4" s="132" t="s">
        <v>14</v>
      </c>
      <c r="G4" s="133" t="s">
        <v>15</v>
      </c>
      <c r="H4" s="134" t="s">
        <v>25</v>
      </c>
      <c r="I4" s="135" t="s">
        <v>5</v>
      </c>
      <c r="J4" s="133" t="s">
        <v>107</v>
      </c>
      <c r="K4" s="133" t="s">
        <v>11</v>
      </c>
      <c r="L4" s="133" t="s">
        <v>6</v>
      </c>
      <c r="M4" s="136" t="s">
        <v>7</v>
      </c>
      <c r="N4" s="137"/>
      <c r="O4" s="138" t="s">
        <v>8</v>
      </c>
      <c r="P4" s="133" t="s">
        <v>5</v>
      </c>
      <c r="Q4" s="133" t="s">
        <v>13</v>
      </c>
      <c r="R4" s="133" t="s">
        <v>11</v>
      </c>
      <c r="S4" s="133" t="s">
        <v>12</v>
      </c>
      <c r="T4" s="133" t="s">
        <v>9</v>
      </c>
      <c r="U4" s="136" t="s">
        <v>10</v>
      </c>
      <c r="V4" s="139"/>
      <c r="W4" s="117"/>
      <c r="X4" s="117"/>
      <c r="Y4" s="117"/>
      <c r="Z4" s="117"/>
      <c r="AA4" s="117" t="s">
        <v>18</v>
      </c>
      <c r="AB4" s="117" t="s">
        <v>19</v>
      </c>
      <c r="AC4" s="117" t="s">
        <v>20</v>
      </c>
      <c r="AD4" s="117" t="s">
        <v>5</v>
      </c>
      <c r="AE4" s="117" t="s">
        <v>22</v>
      </c>
      <c r="AF4" s="117" t="s">
        <v>23</v>
      </c>
      <c r="AG4" s="117"/>
      <c r="AH4" s="117"/>
      <c r="AI4" s="117"/>
    </row>
    <row r="5" spans="1:35" ht="16.2" x14ac:dyDescent="0.3">
      <c r="A5" s="140"/>
      <c r="B5" s="141"/>
      <c r="C5" s="141"/>
      <c r="D5" s="141"/>
      <c r="E5" s="141"/>
      <c r="F5" s="141"/>
      <c r="G5" s="141"/>
      <c r="H5" s="142">
        <v>0.05</v>
      </c>
      <c r="I5" s="141"/>
      <c r="J5" s="142">
        <v>0.01</v>
      </c>
      <c r="K5" s="142">
        <v>0</v>
      </c>
      <c r="L5" s="141"/>
      <c r="M5" s="143"/>
      <c r="N5" s="137"/>
      <c r="O5" s="144"/>
      <c r="P5" s="141"/>
      <c r="Q5" s="142">
        <v>0.01</v>
      </c>
      <c r="R5" s="142">
        <v>0.05</v>
      </c>
      <c r="S5" s="141"/>
      <c r="T5" s="141"/>
      <c r="U5" s="143"/>
      <c r="V5" s="139"/>
      <c r="W5" s="117"/>
      <c r="X5" s="117"/>
      <c r="Y5" s="117"/>
      <c r="Z5" s="117"/>
      <c r="AA5" s="145">
        <v>1980</v>
      </c>
      <c r="AB5" s="145" t="s">
        <v>21</v>
      </c>
      <c r="AC5" s="145">
        <v>1450</v>
      </c>
      <c r="AD5" s="145">
        <f>AC5*AA5</f>
        <v>2871000</v>
      </c>
      <c r="AE5" s="145">
        <f>AD5*5%</f>
        <v>143550</v>
      </c>
      <c r="AF5" s="145">
        <f>AE5+AD5</f>
        <v>3014550</v>
      </c>
      <c r="AG5" s="117"/>
      <c r="AH5" s="117"/>
      <c r="AI5" s="117"/>
    </row>
    <row r="6" spans="1:35" s="155" customFormat="1" ht="24.75" customHeight="1" x14ac:dyDescent="0.3">
      <c r="A6" s="146"/>
      <c r="B6" s="147"/>
      <c r="C6" s="147"/>
      <c r="D6" s="147"/>
      <c r="E6" s="147"/>
      <c r="F6" s="147"/>
      <c r="G6" s="147"/>
      <c r="H6" s="148"/>
      <c r="I6" s="147"/>
      <c r="J6" s="148"/>
      <c r="K6" s="148"/>
      <c r="L6" s="147"/>
      <c r="M6" s="149"/>
      <c r="N6" s="150">
        <f>A7</f>
        <v>51216</v>
      </c>
      <c r="O6" s="151"/>
      <c r="P6" s="147"/>
      <c r="Q6" s="148"/>
      <c r="R6" s="148"/>
      <c r="S6" s="147"/>
      <c r="T6" s="147"/>
      <c r="U6" s="149"/>
      <c r="V6" s="152"/>
      <c r="W6" s="153"/>
      <c r="X6" s="153"/>
      <c r="Y6" s="153"/>
      <c r="Z6" s="153"/>
      <c r="AA6" s="154"/>
      <c r="AB6" s="154"/>
      <c r="AC6" s="154"/>
      <c r="AD6" s="154"/>
      <c r="AE6" s="154"/>
      <c r="AF6" s="154"/>
      <c r="AG6" s="153"/>
      <c r="AH6" s="153"/>
      <c r="AI6" s="153"/>
    </row>
    <row r="7" spans="1:35" ht="31.2" x14ac:dyDescent="0.3">
      <c r="A7" s="140">
        <v>51216</v>
      </c>
      <c r="B7" s="156" t="s">
        <v>24</v>
      </c>
      <c r="C7" s="157">
        <v>44721</v>
      </c>
      <c r="D7" s="158">
        <v>6</v>
      </c>
      <c r="E7" s="141">
        <f>43.04*1450</f>
        <v>62408</v>
      </c>
      <c r="F7" s="141">
        <v>0</v>
      </c>
      <c r="G7" s="141">
        <f>E7-F7</f>
        <v>62408</v>
      </c>
      <c r="H7" s="141">
        <f>$H$5*G7</f>
        <v>3120.4</v>
      </c>
      <c r="I7" s="141">
        <f>G7+H7</f>
        <v>65528.4</v>
      </c>
      <c r="J7" s="141">
        <v>0</v>
      </c>
      <c r="K7" s="141">
        <f>G7*K5</f>
        <v>0</v>
      </c>
      <c r="L7" s="141"/>
      <c r="M7" s="143">
        <f>I7-SUM(J7:L7)</f>
        <v>65528.4</v>
      </c>
      <c r="N7" s="137"/>
      <c r="O7" s="144" t="s">
        <v>108</v>
      </c>
      <c r="P7" s="141">
        <v>196189</v>
      </c>
      <c r="Q7" s="141">
        <v>0</v>
      </c>
      <c r="R7" s="141">
        <v>0</v>
      </c>
      <c r="S7" s="141">
        <v>0</v>
      </c>
      <c r="T7" s="141">
        <f t="shared" ref="T7:T14" si="0">P7-Q7</f>
        <v>196189</v>
      </c>
      <c r="U7" s="159" t="s">
        <v>109</v>
      </c>
      <c r="V7" s="139"/>
      <c r="W7" s="117"/>
      <c r="X7" s="117"/>
      <c r="Y7" s="117"/>
      <c r="Z7" s="141">
        <f>43.04</f>
        <v>43.04</v>
      </c>
      <c r="AA7" s="117"/>
      <c r="AB7" s="145" t="s">
        <v>21</v>
      </c>
      <c r="AC7" s="117"/>
      <c r="AD7" s="117"/>
      <c r="AE7" s="117"/>
      <c r="AF7" s="117"/>
      <c r="AG7" s="117"/>
      <c r="AH7" s="117"/>
      <c r="AI7" s="117"/>
    </row>
    <row r="8" spans="1:35" ht="31.2" x14ac:dyDescent="0.3">
      <c r="A8" s="140"/>
      <c r="B8" s="156" t="s">
        <v>29</v>
      </c>
      <c r="C8" s="157">
        <v>44719</v>
      </c>
      <c r="D8" s="158">
        <v>5</v>
      </c>
      <c r="E8" s="141">
        <f>43.545*1450</f>
        <v>63140.25</v>
      </c>
      <c r="F8" s="141">
        <v>0</v>
      </c>
      <c r="G8" s="141">
        <f>E8-F8</f>
        <v>63140.25</v>
      </c>
      <c r="H8" s="141">
        <f>$H$5*G8</f>
        <v>3157.0125000000003</v>
      </c>
      <c r="I8" s="141">
        <f>G8+H8</f>
        <v>66297.262499999997</v>
      </c>
      <c r="J8" s="141">
        <v>0</v>
      </c>
      <c r="K8" s="141">
        <v>0</v>
      </c>
      <c r="L8" s="141"/>
      <c r="M8" s="143">
        <f>I8-SUM(J8:L8)</f>
        <v>66297.262499999997</v>
      </c>
      <c r="N8" s="137"/>
      <c r="O8" s="144" t="s">
        <v>110</v>
      </c>
      <c r="P8" s="141">
        <v>123132</v>
      </c>
      <c r="Q8" s="141">
        <v>0</v>
      </c>
      <c r="R8" s="141">
        <v>0</v>
      </c>
      <c r="S8" s="141">
        <v>0</v>
      </c>
      <c r="T8" s="141">
        <f t="shared" si="0"/>
        <v>123132</v>
      </c>
      <c r="U8" s="159" t="s">
        <v>111</v>
      </c>
      <c r="V8" s="139"/>
      <c r="W8" s="117"/>
      <c r="X8" s="117"/>
      <c r="Y8" s="117"/>
      <c r="Z8" s="141">
        <f>43.545</f>
        <v>43.545000000000002</v>
      </c>
      <c r="AA8" s="117"/>
      <c r="AB8" s="145" t="s">
        <v>21</v>
      </c>
      <c r="AC8" s="117"/>
      <c r="AD8" s="117"/>
      <c r="AE8" s="117"/>
      <c r="AF8" s="117"/>
      <c r="AG8" s="117"/>
      <c r="AH8" s="117"/>
      <c r="AI8" s="117"/>
    </row>
    <row r="9" spans="1:35" ht="31.2" x14ac:dyDescent="0.3">
      <c r="A9" s="140"/>
      <c r="B9" s="156" t="s">
        <v>26</v>
      </c>
      <c r="C9" s="157">
        <v>44718</v>
      </c>
      <c r="D9" s="158">
        <v>4</v>
      </c>
      <c r="E9" s="141">
        <f>42.275*1450</f>
        <v>61298.75</v>
      </c>
      <c r="F9" s="141">
        <v>0</v>
      </c>
      <c r="G9" s="141">
        <f>E9-F9</f>
        <v>61298.75</v>
      </c>
      <c r="H9" s="141">
        <f>$H$5*G9</f>
        <v>3064.9375</v>
      </c>
      <c r="I9" s="141">
        <f>G9+H9</f>
        <v>64363.6875</v>
      </c>
      <c r="J9" s="141">
        <v>0</v>
      </c>
      <c r="K9" s="141"/>
      <c r="L9" s="141"/>
      <c r="M9" s="143">
        <f>I9-SUM(J9:L9)</f>
        <v>64363.6875</v>
      </c>
      <c r="N9" s="137"/>
      <c r="O9" s="144" t="s">
        <v>112</v>
      </c>
      <c r="P9" s="141">
        <v>258330</v>
      </c>
      <c r="Q9" s="141">
        <v>0</v>
      </c>
      <c r="R9" s="141">
        <v>0</v>
      </c>
      <c r="S9" s="141">
        <v>0</v>
      </c>
      <c r="T9" s="141">
        <f t="shared" si="0"/>
        <v>258330</v>
      </c>
      <c r="U9" s="159" t="s">
        <v>113</v>
      </c>
      <c r="V9" s="139"/>
      <c r="W9" s="117"/>
      <c r="X9" s="117"/>
      <c r="Y9" s="117"/>
      <c r="Z9" s="141">
        <f>42.275</f>
        <v>42.274999999999999</v>
      </c>
      <c r="AA9" s="117"/>
      <c r="AB9" s="145" t="s">
        <v>21</v>
      </c>
      <c r="AC9" s="117"/>
      <c r="AD9" s="117"/>
      <c r="AE9" s="117"/>
      <c r="AF9" s="117"/>
      <c r="AG9" s="117"/>
      <c r="AH9" s="117"/>
      <c r="AI9" s="117"/>
    </row>
    <row r="10" spans="1:35" ht="31.2" x14ac:dyDescent="0.3">
      <c r="A10" s="140"/>
      <c r="B10" s="156" t="s">
        <v>27</v>
      </c>
      <c r="C10" s="157">
        <v>44725</v>
      </c>
      <c r="D10" s="158">
        <v>7</v>
      </c>
      <c r="E10" s="141">
        <f>39.81*1450</f>
        <v>57724.5</v>
      </c>
      <c r="F10" s="141">
        <v>0</v>
      </c>
      <c r="G10" s="141">
        <f t="shared" ref="G10:G26" si="1">E10-F10</f>
        <v>57724.5</v>
      </c>
      <c r="H10" s="141">
        <f t="shared" ref="H10:H26" si="2">$H$5*G10</f>
        <v>2886.2250000000004</v>
      </c>
      <c r="I10" s="141">
        <f t="shared" ref="I10:I26" si="3">G10+H10</f>
        <v>60610.724999999999</v>
      </c>
      <c r="J10" s="141">
        <v>0</v>
      </c>
      <c r="K10" s="141"/>
      <c r="L10" s="141"/>
      <c r="M10" s="143">
        <f t="shared" ref="M10:M26" si="4">I10-SUM(J10:L10)</f>
        <v>60610.724999999999</v>
      </c>
      <c r="N10" s="137"/>
      <c r="O10" s="144" t="s">
        <v>114</v>
      </c>
      <c r="P10" s="141">
        <v>224980</v>
      </c>
      <c r="Q10" s="141">
        <v>0</v>
      </c>
      <c r="R10" s="141">
        <v>0</v>
      </c>
      <c r="S10" s="141">
        <v>0</v>
      </c>
      <c r="T10" s="141">
        <f t="shared" si="0"/>
        <v>224980</v>
      </c>
      <c r="U10" s="160" t="s">
        <v>115</v>
      </c>
      <c r="V10" s="139"/>
      <c r="W10" s="117"/>
      <c r="X10" s="117"/>
      <c r="Y10" s="117"/>
      <c r="Z10" s="141">
        <f>39.81</f>
        <v>39.81</v>
      </c>
      <c r="AA10" s="117"/>
      <c r="AB10" s="145" t="s">
        <v>21</v>
      </c>
      <c r="AC10" s="117"/>
      <c r="AD10" s="117"/>
      <c r="AE10" s="117"/>
      <c r="AF10" s="117"/>
      <c r="AG10" s="117"/>
      <c r="AH10" s="117"/>
      <c r="AI10" s="117"/>
    </row>
    <row r="11" spans="1:35" ht="31.2" x14ac:dyDescent="0.3">
      <c r="A11" s="140"/>
      <c r="B11" s="156" t="s">
        <v>27</v>
      </c>
      <c r="C11" s="157">
        <v>44727</v>
      </c>
      <c r="D11" s="158">
        <v>8</v>
      </c>
      <c r="E11" s="141">
        <f>41.065*1450</f>
        <v>59544.25</v>
      </c>
      <c r="F11" s="141">
        <v>0</v>
      </c>
      <c r="G11" s="141">
        <f t="shared" si="1"/>
        <v>59544.25</v>
      </c>
      <c r="H11" s="141">
        <f t="shared" si="2"/>
        <v>2977.2125000000001</v>
      </c>
      <c r="I11" s="141">
        <f t="shared" si="3"/>
        <v>62521.462500000001</v>
      </c>
      <c r="J11" s="141">
        <v>0</v>
      </c>
      <c r="K11" s="141"/>
      <c r="L11" s="141"/>
      <c r="M11" s="143">
        <f t="shared" si="4"/>
        <v>62521.462500000001</v>
      </c>
      <c r="N11" s="137"/>
      <c r="O11" s="144" t="s">
        <v>116</v>
      </c>
      <c r="P11" s="141">
        <v>202751</v>
      </c>
      <c r="Q11" s="141">
        <v>0</v>
      </c>
      <c r="R11" s="141">
        <v>0</v>
      </c>
      <c r="S11" s="141">
        <v>0</v>
      </c>
      <c r="T11" s="141">
        <f t="shared" si="0"/>
        <v>202751</v>
      </c>
      <c r="U11" s="160" t="s">
        <v>117</v>
      </c>
      <c r="V11" s="139"/>
      <c r="W11" s="117"/>
      <c r="X11" s="117"/>
      <c r="Y11" s="117"/>
      <c r="Z11" s="141">
        <f>41.065</f>
        <v>41.064999999999998</v>
      </c>
      <c r="AA11" s="117"/>
      <c r="AB11" s="145" t="s">
        <v>21</v>
      </c>
      <c r="AC11" s="117"/>
      <c r="AD11" s="117"/>
      <c r="AE11" s="117"/>
      <c r="AF11" s="117"/>
      <c r="AG11" s="117"/>
      <c r="AH11" s="117"/>
      <c r="AI11" s="117"/>
    </row>
    <row r="12" spans="1:35" ht="31.2" x14ac:dyDescent="0.3">
      <c r="A12" s="140"/>
      <c r="B12" s="156" t="s">
        <v>28</v>
      </c>
      <c r="C12" s="157">
        <v>44733</v>
      </c>
      <c r="D12" s="158">
        <v>14</v>
      </c>
      <c r="E12" s="141">
        <f>42.39*1450</f>
        <v>61465.5</v>
      </c>
      <c r="F12" s="141">
        <v>0</v>
      </c>
      <c r="G12" s="141">
        <f t="shared" si="1"/>
        <v>61465.5</v>
      </c>
      <c r="H12" s="141">
        <f t="shared" si="2"/>
        <v>3073.2750000000001</v>
      </c>
      <c r="I12" s="141">
        <f t="shared" si="3"/>
        <v>64538.775000000001</v>
      </c>
      <c r="J12" s="141">
        <v>0</v>
      </c>
      <c r="K12" s="141"/>
      <c r="L12" s="141"/>
      <c r="M12" s="143">
        <f t="shared" si="4"/>
        <v>64538.775000000001</v>
      </c>
      <c r="N12" s="137"/>
      <c r="O12" s="144" t="s">
        <v>118</v>
      </c>
      <c r="P12" s="141">
        <v>203208</v>
      </c>
      <c r="Q12" s="141">
        <v>0</v>
      </c>
      <c r="R12" s="141">
        <v>0</v>
      </c>
      <c r="S12" s="141">
        <v>0</v>
      </c>
      <c r="T12" s="141">
        <f t="shared" si="0"/>
        <v>203208</v>
      </c>
      <c r="U12" s="160" t="s">
        <v>119</v>
      </c>
      <c r="V12" s="139"/>
      <c r="W12" s="117"/>
      <c r="X12" s="117"/>
      <c r="Y12" s="117"/>
      <c r="Z12" s="141">
        <f>42.39</f>
        <v>42.39</v>
      </c>
      <c r="AA12" s="117"/>
      <c r="AB12" s="145" t="s">
        <v>21</v>
      </c>
      <c r="AC12" s="117"/>
      <c r="AD12" s="117"/>
      <c r="AE12" s="117"/>
      <c r="AF12" s="117"/>
      <c r="AG12" s="117"/>
      <c r="AH12" s="117"/>
      <c r="AI12" s="117"/>
    </row>
    <row r="13" spans="1:35" ht="31.2" x14ac:dyDescent="0.3">
      <c r="A13" s="140"/>
      <c r="B13" s="156" t="s">
        <v>30</v>
      </c>
      <c r="C13" s="157">
        <v>44736</v>
      </c>
      <c r="D13" s="158">
        <v>18</v>
      </c>
      <c r="E13" s="141">
        <f>62.6*1450</f>
        <v>90770</v>
      </c>
      <c r="F13" s="141">
        <v>0</v>
      </c>
      <c r="G13" s="141">
        <f t="shared" si="1"/>
        <v>90770</v>
      </c>
      <c r="H13" s="141">
        <f t="shared" si="2"/>
        <v>4538.5</v>
      </c>
      <c r="I13" s="141">
        <f t="shared" si="3"/>
        <v>95308.5</v>
      </c>
      <c r="J13" s="141">
        <v>0</v>
      </c>
      <c r="K13" s="141"/>
      <c r="L13" s="141"/>
      <c r="M13" s="143">
        <f t="shared" si="4"/>
        <v>95308.5</v>
      </c>
      <c r="N13" s="137"/>
      <c r="O13" s="144" t="s">
        <v>120</v>
      </c>
      <c r="P13" s="141">
        <v>65315</v>
      </c>
      <c r="Q13" s="141">
        <v>0</v>
      </c>
      <c r="R13" s="141">
        <v>0</v>
      </c>
      <c r="S13" s="141">
        <v>0</v>
      </c>
      <c r="T13" s="141">
        <f t="shared" si="0"/>
        <v>65315</v>
      </c>
      <c r="U13" s="160" t="s">
        <v>121</v>
      </c>
      <c r="V13" s="139"/>
      <c r="W13" s="117"/>
      <c r="X13" s="117"/>
      <c r="Y13" s="117"/>
      <c r="Z13" s="141">
        <f>62.6</f>
        <v>62.6</v>
      </c>
      <c r="AA13" s="117"/>
      <c r="AB13" s="145" t="s">
        <v>21</v>
      </c>
      <c r="AC13" s="117"/>
      <c r="AD13" s="117"/>
      <c r="AE13" s="117"/>
      <c r="AF13" s="117"/>
      <c r="AG13" s="117"/>
      <c r="AH13" s="117"/>
      <c r="AI13" s="117"/>
    </row>
    <row r="14" spans="1:35" ht="31.2" x14ac:dyDescent="0.3">
      <c r="A14" s="140"/>
      <c r="B14" s="156" t="s">
        <v>31</v>
      </c>
      <c r="C14" s="157">
        <v>44737</v>
      </c>
      <c r="D14" s="158">
        <v>19</v>
      </c>
      <c r="E14" s="141">
        <f>21.105*1450</f>
        <v>30602.25</v>
      </c>
      <c r="F14" s="141">
        <v>0</v>
      </c>
      <c r="G14" s="141">
        <f t="shared" si="1"/>
        <v>30602.25</v>
      </c>
      <c r="H14" s="141">
        <f t="shared" si="2"/>
        <v>1530.1125000000002</v>
      </c>
      <c r="I14" s="141">
        <f t="shared" si="3"/>
        <v>32132.362499999999</v>
      </c>
      <c r="J14" s="141">
        <v>0</v>
      </c>
      <c r="K14" s="141"/>
      <c r="L14" s="141"/>
      <c r="M14" s="143">
        <f t="shared" si="4"/>
        <v>32132.362499999999</v>
      </c>
      <c r="N14" s="137"/>
      <c r="O14" s="144"/>
      <c r="P14" s="141"/>
      <c r="Q14" s="141">
        <v>0</v>
      </c>
      <c r="R14" s="141">
        <v>0</v>
      </c>
      <c r="S14" s="141">
        <v>0</v>
      </c>
      <c r="T14" s="141">
        <f t="shared" si="0"/>
        <v>0</v>
      </c>
      <c r="U14" s="159"/>
      <c r="V14" s="139"/>
      <c r="W14" s="117"/>
      <c r="X14" s="117"/>
      <c r="Y14" s="117"/>
      <c r="Z14" s="141">
        <f>21.105</f>
        <v>21.105</v>
      </c>
      <c r="AA14" s="117"/>
      <c r="AB14" s="145" t="s">
        <v>21</v>
      </c>
      <c r="AC14" s="117"/>
      <c r="AD14" s="117"/>
      <c r="AE14" s="117"/>
      <c r="AF14" s="117"/>
      <c r="AG14" s="117"/>
      <c r="AH14" s="117"/>
      <c r="AI14" s="117"/>
    </row>
    <row r="15" spans="1:35" ht="31.2" x14ac:dyDescent="0.3">
      <c r="A15" s="140"/>
      <c r="B15" s="156" t="s">
        <v>31</v>
      </c>
      <c r="C15" s="157">
        <v>44738</v>
      </c>
      <c r="D15" s="158">
        <v>20</v>
      </c>
      <c r="E15" s="141">
        <f>43.58*1450</f>
        <v>63191</v>
      </c>
      <c r="F15" s="141">
        <v>0</v>
      </c>
      <c r="G15" s="141">
        <f t="shared" si="1"/>
        <v>63191</v>
      </c>
      <c r="H15" s="141">
        <f t="shared" si="2"/>
        <v>3159.55</v>
      </c>
      <c r="I15" s="141">
        <f t="shared" si="3"/>
        <v>66350.55</v>
      </c>
      <c r="J15" s="141">
        <v>0</v>
      </c>
      <c r="K15" s="141"/>
      <c r="L15" s="141"/>
      <c r="M15" s="143">
        <f t="shared" si="4"/>
        <v>66350.55</v>
      </c>
      <c r="N15" s="137"/>
      <c r="O15" s="144"/>
      <c r="P15" s="141"/>
      <c r="Q15" s="141"/>
      <c r="R15" s="141"/>
      <c r="S15" s="141"/>
      <c r="T15" s="141"/>
      <c r="U15" s="159"/>
      <c r="V15" s="139"/>
      <c r="W15" s="117"/>
      <c r="X15" s="117"/>
      <c r="Y15" s="117"/>
      <c r="Z15" s="141">
        <f>43.58</f>
        <v>43.58</v>
      </c>
      <c r="AA15" s="117"/>
      <c r="AB15" s="145" t="s">
        <v>21</v>
      </c>
      <c r="AC15" s="117"/>
      <c r="AD15" s="117"/>
      <c r="AE15" s="117"/>
      <c r="AF15" s="117"/>
      <c r="AG15" s="117"/>
      <c r="AH15" s="117"/>
      <c r="AI15" s="117"/>
    </row>
    <row r="16" spans="1:35" ht="31.2" x14ac:dyDescent="0.3">
      <c r="A16" s="140"/>
      <c r="B16" s="156" t="s">
        <v>32</v>
      </c>
      <c r="C16" s="157">
        <v>44740</v>
      </c>
      <c r="D16" s="158">
        <v>23</v>
      </c>
      <c r="E16" s="141">
        <f>24.21*1450</f>
        <v>35104.5</v>
      </c>
      <c r="F16" s="141">
        <v>0</v>
      </c>
      <c r="G16" s="141">
        <f t="shared" si="1"/>
        <v>35104.5</v>
      </c>
      <c r="H16" s="141">
        <f t="shared" si="2"/>
        <v>1755.2250000000001</v>
      </c>
      <c r="I16" s="141">
        <f t="shared" si="3"/>
        <v>36859.724999999999</v>
      </c>
      <c r="J16" s="141">
        <v>0</v>
      </c>
      <c r="K16" s="141"/>
      <c r="L16" s="141"/>
      <c r="M16" s="143">
        <f t="shared" si="4"/>
        <v>36859.724999999999</v>
      </c>
      <c r="N16" s="137"/>
      <c r="O16" s="144"/>
      <c r="P16" s="141"/>
      <c r="Q16" s="141"/>
      <c r="R16" s="141"/>
      <c r="S16" s="141"/>
      <c r="T16" s="141"/>
      <c r="U16" s="159"/>
      <c r="V16" s="139"/>
      <c r="W16" s="117"/>
      <c r="X16" s="117"/>
      <c r="Y16" s="117"/>
      <c r="Z16" s="141">
        <f>24.21</f>
        <v>24.21</v>
      </c>
      <c r="AA16" s="117"/>
      <c r="AB16" s="145" t="s">
        <v>21</v>
      </c>
      <c r="AC16" s="117"/>
      <c r="AD16" s="117"/>
      <c r="AE16" s="117"/>
      <c r="AF16" s="117"/>
      <c r="AG16" s="117"/>
      <c r="AH16" s="117"/>
      <c r="AI16" s="117"/>
    </row>
    <row r="17" spans="1:35" ht="31.2" x14ac:dyDescent="0.3">
      <c r="A17" s="140"/>
      <c r="B17" s="156" t="s">
        <v>32</v>
      </c>
      <c r="C17" s="157">
        <v>44741</v>
      </c>
      <c r="D17" s="158">
        <v>24</v>
      </c>
      <c r="E17" s="141">
        <f>41.6*1450</f>
        <v>60320</v>
      </c>
      <c r="F17" s="141">
        <v>0</v>
      </c>
      <c r="G17" s="141">
        <f t="shared" si="1"/>
        <v>60320</v>
      </c>
      <c r="H17" s="141">
        <f t="shared" si="2"/>
        <v>3016</v>
      </c>
      <c r="I17" s="141">
        <f t="shared" si="3"/>
        <v>63336</v>
      </c>
      <c r="J17" s="141">
        <v>0</v>
      </c>
      <c r="K17" s="141"/>
      <c r="L17" s="141"/>
      <c r="M17" s="143">
        <f t="shared" si="4"/>
        <v>63336</v>
      </c>
      <c r="N17" s="137"/>
      <c r="O17" s="144"/>
      <c r="P17" s="141"/>
      <c r="Q17" s="141"/>
      <c r="R17" s="141"/>
      <c r="S17" s="141"/>
      <c r="T17" s="141"/>
      <c r="U17" s="159"/>
      <c r="V17" s="139"/>
      <c r="W17" s="117"/>
      <c r="X17" s="117"/>
      <c r="Y17" s="117"/>
      <c r="Z17" s="141">
        <f>41.6</f>
        <v>41.6</v>
      </c>
      <c r="AA17" s="117"/>
      <c r="AB17" s="145" t="s">
        <v>21</v>
      </c>
      <c r="AC17" s="117"/>
      <c r="AD17" s="117"/>
      <c r="AE17" s="117"/>
      <c r="AF17" s="117"/>
      <c r="AG17" s="117"/>
      <c r="AH17" s="117"/>
      <c r="AI17" s="117"/>
    </row>
    <row r="18" spans="1:35" ht="31.2" x14ac:dyDescent="0.3">
      <c r="A18" s="140"/>
      <c r="B18" s="156" t="s">
        <v>34</v>
      </c>
      <c r="C18" s="157">
        <v>44753</v>
      </c>
      <c r="D18" s="158">
        <v>32</v>
      </c>
      <c r="E18" s="141">
        <f>40*1450</f>
        <v>58000</v>
      </c>
      <c r="F18" s="141">
        <v>0</v>
      </c>
      <c r="G18" s="141">
        <f t="shared" si="1"/>
        <v>58000</v>
      </c>
      <c r="H18" s="141">
        <f t="shared" si="2"/>
        <v>2900</v>
      </c>
      <c r="I18" s="141">
        <f t="shared" si="3"/>
        <v>60900</v>
      </c>
      <c r="J18" s="141">
        <v>0</v>
      </c>
      <c r="K18" s="141"/>
      <c r="L18" s="141"/>
      <c r="M18" s="143">
        <f t="shared" si="4"/>
        <v>60900</v>
      </c>
      <c r="N18" s="137"/>
      <c r="O18" s="144"/>
      <c r="P18" s="141"/>
      <c r="Q18" s="141"/>
      <c r="R18" s="141"/>
      <c r="S18" s="141"/>
      <c r="T18" s="141"/>
      <c r="U18" s="159"/>
      <c r="V18" s="139"/>
      <c r="W18" s="117"/>
      <c r="X18" s="117"/>
      <c r="Y18" s="117"/>
      <c r="Z18" s="141">
        <f>40</f>
        <v>40</v>
      </c>
      <c r="AA18" s="117"/>
      <c r="AB18" s="145" t="s">
        <v>21</v>
      </c>
      <c r="AC18" s="117"/>
      <c r="AD18" s="117"/>
      <c r="AE18" s="117"/>
      <c r="AF18" s="117"/>
      <c r="AG18" s="117"/>
      <c r="AH18" s="117"/>
      <c r="AI18" s="117"/>
    </row>
    <row r="19" spans="1:35" ht="31.2" x14ac:dyDescent="0.3">
      <c r="A19" s="140"/>
      <c r="B19" s="156" t="s">
        <v>34</v>
      </c>
      <c r="C19" s="157">
        <v>44755</v>
      </c>
      <c r="D19" s="158">
        <v>33</v>
      </c>
      <c r="E19" s="141">
        <f>41.96*1450</f>
        <v>60842</v>
      </c>
      <c r="F19" s="141">
        <v>0</v>
      </c>
      <c r="G19" s="141">
        <f t="shared" si="1"/>
        <v>60842</v>
      </c>
      <c r="H19" s="141">
        <f t="shared" si="2"/>
        <v>3042.1000000000004</v>
      </c>
      <c r="I19" s="141">
        <f t="shared" si="3"/>
        <v>63884.1</v>
      </c>
      <c r="J19" s="141">
        <v>0</v>
      </c>
      <c r="K19" s="141"/>
      <c r="L19" s="141"/>
      <c r="M19" s="143">
        <f t="shared" si="4"/>
        <v>63884.1</v>
      </c>
      <c r="N19" s="137"/>
      <c r="O19" s="144"/>
      <c r="P19" s="141"/>
      <c r="Q19" s="141"/>
      <c r="R19" s="141"/>
      <c r="S19" s="141"/>
      <c r="T19" s="141"/>
      <c r="U19" s="159"/>
      <c r="V19" s="139"/>
      <c r="W19" s="117"/>
      <c r="X19" s="117"/>
      <c r="Y19" s="117"/>
      <c r="Z19" s="141">
        <f>41.96</f>
        <v>41.96</v>
      </c>
      <c r="AA19" s="117"/>
      <c r="AB19" s="145" t="s">
        <v>21</v>
      </c>
      <c r="AC19" s="117"/>
      <c r="AD19" s="117"/>
      <c r="AE19" s="117"/>
      <c r="AF19" s="117"/>
      <c r="AG19" s="117"/>
      <c r="AH19" s="117"/>
      <c r="AI19" s="117"/>
    </row>
    <row r="20" spans="1:35" ht="31.2" x14ac:dyDescent="0.3">
      <c r="A20" s="140"/>
      <c r="B20" s="156" t="s">
        <v>122</v>
      </c>
      <c r="C20" s="157">
        <v>44756</v>
      </c>
      <c r="D20" s="158">
        <v>34</v>
      </c>
      <c r="E20" s="141">
        <v>63372.25</v>
      </c>
      <c r="F20" s="141">
        <v>0</v>
      </c>
      <c r="G20" s="141">
        <f t="shared" si="1"/>
        <v>63372.25</v>
      </c>
      <c r="H20" s="141">
        <f t="shared" si="2"/>
        <v>3168.6125000000002</v>
      </c>
      <c r="I20" s="141">
        <f t="shared" si="3"/>
        <v>66540.862500000003</v>
      </c>
      <c r="J20" s="141">
        <v>0</v>
      </c>
      <c r="K20" s="141"/>
      <c r="L20" s="141"/>
      <c r="M20" s="143">
        <f t="shared" si="4"/>
        <v>66540.862500000003</v>
      </c>
      <c r="N20" s="137"/>
      <c r="O20" s="144"/>
      <c r="P20" s="141"/>
      <c r="Q20" s="141"/>
      <c r="R20" s="141"/>
      <c r="S20" s="141"/>
      <c r="T20" s="141"/>
      <c r="U20" s="159"/>
      <c r="V20" s="139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</row>
    <row r="21" spans="1:35" ht="31.2" x14ac:dyDescent="0.3">
      <c r="A21" s="140"/>
      <c r="B21" s="156" t="s">
        <v>122</v>
      </c>
      <c r="C21" s="157">
        <v>44757</v>
      </c>
      <c r="D21" s="158">
        <v>35</v>
      </c>
      <c r="E21" s="141">
        <v>63227.25</v>
      </c>
      <c r="F21" s="141">
        <v>0</v>
      </c>
      <c r="G21" s="141">
        <f t="shared" si="1"/>
        <v>63227.25</v>
      </c>
      <c r="H21" s="141">
        <f t="shared" si="2"/>
        <v>3161.3625000000002</v>
      </c>
      <c r="I21" s="141">
        <f t="shared" si="3"/>
        <v>66388.612500000003</v>
      </c>
      <c r="J21" s="141">
        <v>0</v>
      </c>
      <c r="K21" s="141"/>
      <c r="L21" s="141"/>
      <c r="M21" s="143">
        <f t="shared" si="4"/>
        <v>66388.612500000003</v>
      </c>
      <c r="N21" s="137"/>
      <c r="O21" s="144"/>
      <c r="P21" s="141"/>
      <c r="Q21" s="141"/>
      <c r="R21" s="141"/>
      <c r="S21" s="141"/>
      <c r="T21" s="141"/>
      <c r="U21" s="159"/>
      <c r="V21" s="139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</row>
    <row r="22" spans="1:35" ht="31.2" x14ac:dyDescent="0.3">
      <c r="A22" s="140"/>
      <c r="B22" s="156" t="s">
        <v>122</v>
      </c>
      <c r="C22" s="157">
        <v>44759</v>
      </c>
      <c r="D22" s="158">
        <v>36</v>
      </c>
      <c r="E22" s="141">
        <v>66497</v>
      </c>
      <c r="F22" s="141">
        <v>0</v>
      </c>
      <c r="G22" s="141">
        <f t="shared" si="1"/>
        <v>66497</v>
      </c>
      <c r="H22" s="141">
        <f t="shared" si="2"/>
        <v>3324.8500000000004</v>
      </c>
      <c r="I22" s="141">
        <f t="shared" si="3"/>
        <v>69821.850000000006</v>
      </c>
      <c r="J22" s="141">
        <v>0</v>
      </c>
      <c r="K22" s="141"/>
      <c r="L22" s="141"/>
      <c r="M22" s="143">
        <f t="shared" si="4"/>
        <v>69821.850000000006</v>
      </c>
      <c r="N22" s="137"/>
      <c r="O22" s="144"/>
      <c r="P22" s="141"/>
      <c r="Q22" s="141"/>
      <c r="R22" s="141"/>
      <c r="S22" s="141"/>
      <c r="T22" s="141"/>
      <c r="U22" s="159"/>
      <c r="V22" s="139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</row>
    <row r="23" spans="1:35" ht="31.2" x14ac:dyDescent="0.3">
      <c r="A23" s="140"/>
      <c r="B23" s="156" t="s">
        <v>122</v>
      </c>
      <c r="C23" s="157">
        <v>44770</v>
      </c>
      <c r="D23" s="158">
        <v>41</v>
      </c>
      <c r="E23" s="141">
        <v>64880.25</v>
      </c>
      <c r="F23" s="141">
        <v>0</v>
      </c>
      <c r="G23" s="141">
        <f t="shared" si="1"/>
        <v>64880.25</v>
      </c>
      <c r="H23" s="141">
        <f t="shared" si="2"/>
        <v>3244.0125000000003</v>
      </c>
      <c r="I23" s="141">
        <f t="shared" si="3"/>
        <v>68124.262499999997</v>
      </c>
      <c r="J23" s="141">
        <v>0</v>
      </c>
      <c r="K23" s="141"/>
      <c r="L23" s="141"/>
      <c r="M23" s="143">
        <f t="shared" si="4"/>
        <v>68124.262499999997</v>
      </c>
      <c r="N23" s="137"/>
      <c r="O23" s="144"/>
      <c r="P23" s="141"/>
      <c r="Q23" s="141"/>
      <c r="R23" s="141"/>
      <c r="S23" s="141"/>
      <c r="T23" s="141"/>
      <c r="U23" s="159"/>
      <c r="V23" s="139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5" ht="31.2" x14ac:dyDescent="0.3">
      <c r="A24" s="140"/>
      <c r="B24" s="156" t="s">
        <v>122</v>
      </c>
      <c r="C24" s="157">
        <v>44771</v>
      </c>
      <c r="D24" s="158">
        <v>42</v>
      </c>
      <c r="E24" s="141">
        <v>66286.75</v>
      </c>
      <c r="F24" s="141">
        <v>0</v>
      </c>
      <c r="G24" s="141">
        <f t="shared" si="1"/>
        <v>66286.75</v>
      </c>
      <c r="H24" s="141">
        <f t="shared" si="2"/>
        <v>3314.3375000000001</v>
      </c>
      <c r="I24" s="141">
        <f t="shared" si="3"/>
        <v>69601.087499999994</v>
      </c>
      <c r="J24" s="141">
        <v>0</v>
      </c>
      <c r="K24" s="141"/>
      <c r="L24" s="141"/>
      <c r="M24" s="143">
        <f t="shared" si="4"/>
        <v>69601.087499999994</v>
      </c>
      <c r="N24" s="137"/>
      <c r="O24" s="144"/>
      <c r="P24" s="141"/>
      <c r="Q24" s="141"/>
      <c r="R24" s="141"/>
      <c r="S24" s="141"/>
      <c r="T24" s="141"/>
      <c r="U24" s="159"/>
      <c r="V24" s="139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5" ht="31.2" x14ac:dyDescent="0.3">
      <c r="A25" s="140"/>
      <c r="B25" s="156" t="s">
        <v>122</v>
      </c>
      <c r="C25" s="161" t="s">
        <v>123</v>
      </c>
      <c r="D25" s="162">
        <v>43</v>
      </c>
      <c r="E25" s="141">
        <v>62364.5</v>
      </c>
      <c r="F25" s="141">
        <v>0</v>
      </c>
      <c r="G25" s="141">
        <f t="shared" si="1"/>
        <v>62364.5</v>
      </c>
      <c r="H25" s="141">
        <f t="shared" si="2"/>
        <v>3118.2250000000004</v>
      </c>
      <c r="I25" s="141">
        <f t="shared" si="3"/>
        <v>65482.724999999999</v>
      </c>
      <c r="J25" s="141"/>
      <c r="K25" s="141"/>
      <c r="L25" s="141"/>
      <c r="M25" s="143">
        <f t="shared" si="4"/>
        <v>65482.724999999999</v>
      </c>
      <c r="N25" s="137"/>
      <c r="O25" s="144"/>
      <c r="P25" s="141"/>
      <c r="Q25" s="141"/>
      <c r="R25" s="141"/>
      <c r="S25" s="141"/>
      <c r="T25" s="141"/>
      <c r="U25" s="159"/>
      <c r="V25" s="139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5" ht="31.2" x14ac:dyDescent="0.3">
      <c r="A26" s="140"/>
      <c r="B26" s="156" t="s">
        <v>122</v>
      </c>
      <c r="C26" s="157">
        <v>44779</v>
      </c>
      <c r="D26" s="158">
        <v>45</v>
      </c>
      <c r="E26" s="163">
        <v>62205</v>
      </c>
      <c r="F26" s="163"/>
      <c r="G26" s="141">
        <f t="shared" si="1"/>
        <v>62205</v>
      </c>
      <c r="H26" s="141">
        <f t="shared" si="2"/>
        <v>3110.25</v>
      </c>
      <c r="I26" s="141">
        <f t="shared" si="3"/>
        <v>65315.25</v>
      </c>
      <c r="J26" s="141"/>
      <c r="K26" s="141"/>
      <c r="L26" s="141"/>
      <c r="M26" s="143">
        <f t="shared" si="4"/>
        <v>65315.25</v>
      </c>
      <c r="N26" s="137"/>
      <c r="O26" s="144"/>
      <c r="P26" s="141"/>
      <c r="Q26" s="141"/>
      <c r="R26" s="141"/>
      <c r="S26" s="141"/>
      <c r="T26" s="141"/>
      <c r="U26" s="143"/>
      <c r="V26" s="139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5" ht="15.6" x14ac:dyDescent="0.3">
      <c r="A27" s="144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3"/>
      <c r="N27" s="164"/>
      <c r="O27" s="144"/>
      <c r="P27" s="141"/>
      <c r="Q27" s="141"/>
      <c r="R27" s="141"/>
      <c r="S27" s="141"/>
      <c r="T27" s="141"/>
      <c r="U27" s="143"/>
      <c r="V27" s="139"/>
      <c r="W27" s="117"/>
      <c r="X27" s="117"/>
      <c r="Y27" s="117"/>
      <c r="Z27" s="117"/>
      <c r="AA27" s="165">
        <f>SUM(Z7:Z27)</f>
        <v>527.18000000000006</v>
      </c>
      <c r="AB27" s="145" t="s">
        <v>21</v>
      </c>
      <c r="AC27" s="117"/>
      <c r="AD27" s="117"/>
      <c r="AE27" s="117"/>
      <c r="AF27" s="117"/>
      <c r="AG27" s="117"/>
      <c r="AH27" s="117"/>
      <c r="AI27" s="117"/>
    </row>
    <row r="28" spans="1:35" ht="16.2" thickBot="1" x14ac:dyDescent="0.35">
      <c r="A28" s="166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67"/>
      <c r="N28" s="164"/>
      <c r="O28" s="166"/>
      <c r="P28" s="128"/>
      <c r="Q28" s="128"/>
      <c r="R28" s="128"/>
      <c r="S28" s="128"/>
      <c r="T28" s="128"/>
      <c r="U28" s="167"/>
      <c r="V28" s="139"/>
      <c r="W28" s="117"/>
      <c r="X28" s="117"/>
      <c r="Y28" s="117"/>
      <c r="Z28" s="168" t="s">
        <v>33</v>
      </c>
      <c r="AA28" s="169">
        <f>AA5-AA27</f>
        <v>1452.82</v>
      </c>
      <c r="AB28" s="170" t="s">
        <v>21</v>
      </c>
      <c r="AC28" s="117"/>
      <c r="AD28" s="117"/>
      <c r="AE28" s="117"/>
      <c r="AF28" s="117"/>
      <c r="AG28" s="117"/>
      <c r="AH28" s="117"/>
      <c r="AI28" s="117"/>
    </row>
    <row r="29" spans="1:35" ht="16.8" thickBot="1" x14ac:dyDescent="0.35">
      <c r="A29" s="171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3">
        <f>SUM(M7:M26)</f>
        <v>1273906.2000000002</v>
      </c>
      <c r="N29" s="164"/>
      <c r="O29" s="171"/>
      <c r="P29" s="172"/>
      <c r="Q29" s="172"/>
      <c r="R29" s="172"/>
      <c r="S29" s="172"/>
      <c r="T29" s="174">
        <f>SUM(T5:T26)</f>
        <v>1273905</v>
      </c>
      <c r="U29" s="175"/>
      <c r="V29" s="139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5" ht="16.2" thickBot="1" x14ac:dyDescent="0.35">
      <c r="A30" s="176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8"/>
      <c r="N30" s="164"/>
      <c r="O30" s="179"/>
      <c r="P30" s="180"/>
      <c r="Q30" s="180"/>
      <c r="R30" s="180"/>
      <c r="S30" s="180"/>
      <c r="T30" s="181">
        <f>-0.27-0.45</f>
        <v>-0.72</v>
      </c>
      <c r="U30" s="182"/>
      <c r="V30" s="139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</row>
    <row r="31" spans="1:35" ht="16.8" thickBot="1" x14ac:dyDescent="0.35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4"/>
      <c r="O31" s="171"/>
      <c r="P31" s="172"/>
      <c r="Q31" s="172"/>
      <c r="R31" s="172"/>
      <c r="S31" s="172"/>
      <c r="T31" s="174">
        <f>M29-T29+T30</f>
        <v>0.48000000018626454</v>
      </c>
      <c r="U31" s="175"/>
      <c r="V31" s="139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</row>
    <row r="32" spans="1:35" ht="16.2" thickBot="1" x14ac:dyDescent="0.3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84"/>
      <c r="O32" s="176"/>
      <c r="P32" s="177"/>
      <c r="Q32" s="177"/>
      <c r="R32" s="177"/>
      <c r="S32" s="177"/>
      <c r="T32" s="177"/>
      <c r="U32" s="178"/>
      <c r="V32" s="139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</row>
    <row r="33" spans="1:35" ht="15.6" x14ac:dyDescent="0.3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83"/>
      <c r="P33" s="183"/>
      <c r="Q33" s="183"/>
      <c r="R33" s="183"/>
      <c r="S33" s="183"/>
      <c r="T33" s="183"/>
      <c r="U33" s="183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</row>
    <row r="34" spans="1:35" ht="15.6" x14ac:dyDescent="0.3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</row>
    <row r="35" spans="1:35" ht="15.6" x14ac:dyDescent="0.3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</row>
    <row r="36" spans="1:35" ht="15.6" x14ac:dyDescent="0.3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</row>
    <row r="37" spans="1:35" ht="15.6" x14ac:dyDescent="0.3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</row>
    <row r="38" spans="1:35" ht="15.6" x14ac:dyDescent="0.3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</row>
    <row r="39" spans="1:35" ht="15.6" x14ac:dyDescent="0.3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</row>
    <row r="40" spans="1:35" ht="15.6" x14ac:dyDescent="0.3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</row>
    <row r="41" spans="1:35" ht="15.6" x14ac:dyDescent="0.3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</row>
    <row r="42" spans="1:35" ht="15.6" x14ac:dyDescent="0.3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</row>
    <row r="43" spans="1:35" ht="15.6" x14ac:dyDescent="0.3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</row>
    <row r="44" spans="1:35" ht="15.6" x14ac:dyDescent="0.3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</row>
    <row r="45" spans="1:35" ht="15.6" x14ac:dyDescent="0.3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</row>
    <row r="46" spans="1:35" ht="15.6" x14ac:dyDescent="0.3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</row>
    <row r="47" spans="1:35" ht="15.6" x14ac:dyDescent="0.3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</row>
    <row r="48" spans="1:35" ht="15.6" x14ac:dyDescent="0.3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</row>
    <row r="49" spans="1:21" ht="15.6" x14ac:dyDescent="0.3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</row>
    <row r="50" spans="1:21" ht="15.6" x14ac:dyDescent="0.3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</row>
    <row r="51" spans="1:21" ht="15.6" x14ac:dyDescent="0.3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</row>
    <row r="52" spans="1:21" ht="15.6" x14ac:dyDescent="0.3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</row>
    <row r="53" spans="1:21" ht="15.6" x14ac:dyDescent="0.3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</row>
    <row r="54" spans="1:21" ht="15.6" x14ac:dyDescent="0.3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</row>
    <row r="55" spans="1:21" ht="15.6" x14ac:dyDescent="0.3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</row>
    <row r="56" spans="1:21" ht="15.6" x14ac:dyDescent="0.3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</row>
    <row r="57" spans="1:21" ht="15.6" x14ac:dyDescent="0.3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</row>
    <row r="58" spans="1:21" ht="15.6" x14ac:dyDescent="0.3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</row>
    <row r="59" spans="1:21" ht="15.6" x14ac:dyDescent="0.3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</row>
    <row r="60" spans="1:21" ht="15.6" x14ac:dyDescent="0.3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</row>
    <row r="61" spans="1:21" ht="15.6" x14ac:dyDescent="0.3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</row>
    <row r="62" spans="1:21" ht="15.6" x14ac:dyDescent="0.3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</row>
    <row r="63" spans="1:21" ht="15.6" x14ac:dyDescent="0.3">
      <c r="A63" s="185"/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</row>
    <row r="64" spans="1:21" ht="15.6" x14ac:dyDescent="0.3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</row>
    <row r="65" spans="1:21" ht="15.6" x14ac:dyDescent="0.3">
      <c r="A65" s="185"/>
      <c r="B65" s="185"/>
      <c r="C65" s="185"/>
      <c r="D65" s="185"/>
      <c r="E65" s="185"/>
      <c r="F65" s="185"/>
      <c r="G65" s="185"/>
      <c r="H65" s="185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</row>
    <row r="66" spans="1:21" ht="15.6" x14ac:dyDescent="0.3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</row>
    <row r="67" spans="1:21" ht="15.6" x14ac:dyDescent="0.3">
      <c r="A67" s="185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</row>
    <row r="68" spans="1:21" ht="15.6" x14ac:dyDescent="0.3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</row>
    <row r="69" spans="1:21" ht="15.6" x14ac:dyDescent="0.3">
      <c r="A69" s="185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</row>
    <row r="70" spans="1:21" ht="15.6" x14ac:dyDescent="0.3">
      <c r="A70" s="185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</row>
    <row r="71" spans="1:21" ht="15.6" x14ac:dyDescent="0.3">
      <c r="A71" s="185"/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</row>
    <row r="72" spans="1:21" ht="15.6" x14ac:dyDescent="0.3">
      <c r="A72" s="185"/>
      <c r="B72" s="185"/>
      <c r="C72" s="185"/>
      <c r="D72" s="185"/>
      <c r="E72" s="185"/>
      <c r="F72" s="185"/>
      <c r="G72" s="185"/>
      <c r="H72" s="185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</row>
    <row r="73" spans="1:21" ht="15.6" x14ac:dyDescent="0.3">
      <c r="A73" s="185"/>
      <c r="B73" s="185"/>
      <c r="C73" s="185"/>
      <c r="D73" s="185"/>
      <c r="E73" s="185"/>
      <c r="F73" s="185"/>
      <c r="G73" s="185"/>
      <c r="H73" s="185"/>
      <c r="I73" s="185"/>
      <c r="J73" s="185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</row>
    <row r="74" spans="1:21" ht="15.6" x14ac:dyDescent="0.3">
      <c r="A74" s="185"/>
      <c r="B74" s="185"/>
      <c r="C74" s="185"/>
      <c r="D74" s="185"/>
      <c r="E74" s="185"/>
      <c r="F74" s="185"/>
      <c r="G74" s="185"/>
      <c r="H74" s="185"/>
      <c r="I74" s="185"/>
      <c r="J74" s="185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</row>
    <row r="75" spans="1:21" ht="15.6" x14ac:dyDescent="0.3">
      <c r="A75" s="185"/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</row>
    <row r="76" spans="1:21" ht="15.6" x14ac:dyDescent="0.3">
      <c r="A76" s="185"/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</row>
    <row r="77" spans="1:21" ht="15.6" x14ac:dyDescent="0.3">
      <c r="A77" s="185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</row>
    <row r="78" spans="1:21" ht="15.6" x14ac:dyDescent="0.3">
      <c r="A78" s="185"/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</row>
    <row r="79" spans="1:21" ht="15.6" x14ac:dyDescent="0.3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</row>
    <row r="80" spans="1:21" ht="15.6" x14ac:dyDescent="0.3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</row>
    <row r="81" spans="1:21" ht="15.6" x14ac:dyDescent="0.3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</row>
    <row r="82" spans="1:21" ht="15.6" x14ac:dyDescent="0.3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</row>
    <row r="83" spans="1:21" ht="15.6" x14ac:dyDescent="0.3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</row>
    <row r="84" spans="1:21" ht="15.6" x14ac:dyDescent="0.3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</row>
    <row r="85" spans="1:21" ht="15.6" x14ac:dyDescent="0.3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</row>
    <row r="86" spans="1:21" ht="15.6" x14ac:dyDescent="0.3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</row>
    <row r="87" spans="1:21" ht="15.6" x14ac:dyDescent="0.3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</row>
    <row r="88" spans="1:21" ht="15.6" x14ac:dyDescent="0.3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</row>
    <row r="89" spans="1:21" ht="15.6" x14ac:dyDescent="0.3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</row>
    <row r="90" spans="1:21" ht="15.6" x14ac:dyDescent="0.3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</row>
    <row r="91" spans="1:21" ht="15.6" x14ac:dyDescent="0.3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</row>
    <row r="92" spans="1:21" ht="15.6" x14ac:dyDescent="0.3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</row>
    <row r="93" spans="1:21" ht="15.6" x14ac:dyDescent="0.3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</row>
    <row r="94" spans="1:21" ht="15.6" x14ac:dyDescent="0.3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</row>
    <row r="95" spans="1:21" ht="15.6" x14ac:dyDescent="0.3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</row>
    <row r="96" spans="1:21" ht="15.6" x14ac:dyDescent="0.3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</row>
    <row r="97" spans="1:21" ht="15.6" x14ac:dyDescent="0.3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</row>
    <row r="98" spans="1:21" ht="15.6" x14ac:dyDescent="0.3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</row>
    <row r="99" spans="1:21" ht="15.6" x14ac:dyDescent="0.3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</row>
    <row r="100" spans="1:21" ht="15.6" x14ac:dyDescent="0.3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</row>
    <row r="101" spans="1:21" ht="15.6" x14ac:dyDescent="0.3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</row>
    <row r="102" spans="1:21" ht="15.6" x14ac:dyDescent="0.3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</row>
    <row r="103" spans="1:21" ht="15.6" x14ac:dyDescent="0.3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</row>
    <row r="104" spans="1:21" ht="15.6" x14ac:dyDescent="0.3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</row>
    <row r="105" spans="1:21" ht="15.6" x14ac:dyDescent="0.3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8"/>
  <sheetViews>
    <sheetView tabSelected="1" workbookViewId="0">
      <selection activeCell="B4" sqref="B4"/>
    </sheetView>
  </sheetViews>
  <sheetFormatPr defaultRowHeight="14.4" x14ac:dyDescent="0.3"/>
  <cols>
    <col min="2" max="2" width="30.44140625" customWidth="1"/>
    <col min="3" max="3" width="13.33203125" style="227" customWidth="1"/>
    <col min="4" max="12" width="12" customWidth="1"/>
    <col min="13" max="13" width="18.6640625" customWidth="1"/>
    <col min="15" max="15" width="13.109375" customWidth="1"/>
    <col min="16" max="16" width="15" customWidth="1"/>
    <col min="17" max="17" width="13.109375" customWidth="1"/>
    <col min="18" max="18" width="18.88671875" customWidth="1"/>
    <col min="19" max="19" width="94.6640625" bestFit="1" customWidth="1"/>
  </cols>
  <sheetData>
    <row r="1" spans="1:19" s="214" customFormat="1" ht="24.9" customHeight="1" x14ac:dyDescent="0.3">
      <c r="A1" s="213" t="s">
        <v>155</v>
      </c>
      <c r="B1" s="186" t="s">
        <v>105</v>
      </c>
      <c r="C1" s="220"/>
    </row>
    <row r="2" spans="1:19" s="214" customFormat="1" ht="24.9" customHeight="1" x14ac:dyDescent="0.3">
      <c r="A2" s="213" t="s">
        <v>156</v>
      </c>
      <c r="B2" s="214" t="s">
        <v>157</v>
      </c>
      <c r="C2" s="220"/>
    </row>
    <row r="3" spans="1:19" s="214" customFormat="1" ht="30.6" customHeight="1" x14ac:dyDescent="0.3">
      <c r="A3" s="213" t="s">
        <v>158</v>
      </c>
      <c r="B3" s="213" t="s">
        <v>159</v>
      </c>
      <c r="C3" s="220"/>
    </row>
    <row r="4" spans="1:19" s="214" customFormat="1" ht="24.9" customHeight="1" thickBot="1" x14ac:dyDescent="0.35">
      <c r="A4" s="213" t="s">
        <v>160</v>
      </c>
      <c r="B4" s="213" t="s">
        <v>159</v>
      </c>
      <c r="C4" s="220"/>
    </row>
    <row r="5" spans="1:19" ht="51" customHeight="1" x14ac:dyDescent="0.3">
      <c r="A5" s="215" t="s">
        <v>161</v>
      </c>
      <c r="B5" s="216" t="s">
        <v>162</v>
      </c>
      <c r="C5" s="221" t="s">
        <v>163</v>
      </c>
      <c r="D5" s="217" t="s">
        <v>164</v>
      </c>
      <c r="E5" s="216" t="s">
        <v>165</v>
      </c>
      <c r="F5" s="216" t="s">
        <v>166</v>
      </c>
      <c r="G5" s="217" t="s">
        <v>167</v>
      </c>
      <c r="H5" s="218" t="s">
        <v>168</v>
      </c>
      <c r="I5" s="219" t="s">
        <v>5</v>
      </c>
      <c r="J5" s="216" t="s">
        <v>169</v>
      </c>
      <c r="K5" s="216" t="s">
        <v>170</v>
      </c>
      <c r="L5" s="216" t="s">
        <v>171</v>
      </c>
      <c r="M5" s="216" t="s">
        <v>172</v>
      </c>
      <c r="N5" s="137"/>
      <c r="O5" s="138" t="s">
        <v>8</v>
      </c>
      <c r="P5" s="216" t="s">
        <v>173</v>
      </c>
      <c r="Q5" s="216" t="s">
        <v>174</v>
      </c>
      <c r="R5" s="216" t="s">
        <v>175</v>
      </c>
      <c r="S5" s="216" t="s">
        <v>10</v>
      </c>
    </row>
    <row r="6" spans="1:19" ht="16.2" x14ac:dyDescent="0.3">
      <c r="A6" s="140"/>
      <c r="B6" s="141"/>
      <c r="C6" s="222"/>
      <c r="D6" s="141"/>
      <c r="E6" s="141"/>
      <c r="F6" s="141"/>
      <c r="G6" s="141"/>
      <c r="H6" s="142">
        <v>0.05</v>
      </c>
      <c r="I6" s="141"/>
      <c r="J6" s="142">
        <v>0.01</v>
      </c>
      <c r="K6" s="142">
        <v>0</v>
      </c>
      <c r="L6" s="141"/>
      <c r="M6" s="143"/>
      <c r="N6" s="137"/>
      <c r="O6" s="144"/>
      <c r="P6" s="141"/>
      <c r="Q6" s="142">
        <v>0.01</v>
      </c>
      <c r="R6" s="184"/>
      <c r="S6" s="209"/>
    </row>
    <row r="7" spans="1:19" ht="16.2" x14ac:dyDescent="0.3">
      <c r="A7" s="146"/>
      <c r="B7" s="147"/>
      <c r="C7" s="223"/>
      <c r="D7" s="147"/>
      <c r="E7" s="147"/>
      <c r="F7" s="147"/>
      <c r="G7" s="147"/>
      <c r="H7" s="148"/>
      <c r="I7" s="147"/>
      <c r="J7" s="148"/>
      <c r="K7" s="148"/>
      <c r="L7" s="147"/>
      <c r="M7" s="149"/>
      <c r="N7" s="150">
        <f>A8</f>
        <v>51918</v>
      </c>
      <c r="O7" s="151"/>
      <c r="P7" s="147"/>
      <c r="Q7" s="148"/>
      <c r="R7" s="207"/>
      <c r="S7" s="210"/>
    </row>
    <row r="8" spans="1:19" x14ac:dyDescent="0.3">
      <c r="A8" s="140">
        <v>51918</v>
      </c>
      <c r="B8" s="187" t="s">
        <v>124</v>
      </c>
      <c r="C8" s="224">
        <v>44785</v>
      </c>
      <c r="D8" s="188">
        <v>14</v>
      </c>
      <c r="E8" s="189">
        <f>563.35*1450</f>
        <v>816857.5</v>
      </c>
      <c r="F8" s="189">
        <v>0</v>
      </c>
      <c r="G8" s="189">
        <f t="shared" ref="G8:G21" si="0">E8-F8</f>
        <v>816857.5</v>
      </c>
      <c r="H8" s="189">
        <f t="shared" ref="H8:H21" si="1">ROUND(G8*5%,0)</f>
        <v>40843</v>
      </c>
      <c r="I8" s="189">
        <f t="shared" ref="I8:I21" si="2">G8+H8</f>
        <v>857700.5</v>
      </c>
      <c r="J8" s="189">
        <v>0</v>
      </c>
      <c r="K8" s="189"/>
      <c r="L8" s="189"/>
      <c r="M8" s="189">
        <f>I8-J8</f>
        <v>857700.5</v>
      </c>
      <c r="N8" s="189"/>
      <c r="O8" s="21" t="s">
        <v>125</v>
      </c>
      <c r="P8" s="21">
        <v>1580157.5</v>
      </c>
      <c r="Q8" s="190"/>
      <c r="R8" s="20">
        <f>P8-Q8</f>
        <v>1580157.5</v>
      </c>
      <c r="S8" s="191" t="s">
        <v>134</v>
      </c>
    </row>
    <row r="9" spans="1:19" x14ac:dyDescent="0.3">
      <c r="A9" s="140">
        <v>51918</v>
      </c>
      <c r="B9" s="187" t="s">
        <v>124</v>
      </c>
      <c r="C9" s="224">
        <v>44793</v>
      </c>
      <c r="D9" s="188">
        <v>20</v>
      </c>
      <c r="E9" s="189">
        <f>474.52*1450</f>
        <v>688054</v>
      </c>
      <c r="F9" s="189">
        <v>0</v>
      </c>
      <c r="G9" s="189">
        <f t="shared" si="0"/>
        <v>688054</v>
      </c>
      <c r="H9" s="189">
        <f t="shared" si="1"/>
        <v>34403</v>
      </c>
      <c r="I9" s="189">
        <f t="shared" si="2"/>
        <v>722457</v>
      </c>
      <c r="J9" s="189">
        <v>0</v>
      </c>
      <c r="K9" s="189"/>
      <c r="L9" s="189"/>
      <c r="M9" s="189">
        <f t="shared" ref="M9:M26" si="3">I9-J9</f>
        <v>722457</v>
      </c>
      <c r="N9" s="189"/>
      <c r="O9" s="21" t="s">
        <v>126</v>
      </c>
      <c r="P9" s="21">
        <v>1414677</v>
      </c>
      <c r="Q9" s="190"/>
      <c r="R9" s="20">
        <f t="shared" ref="R9:R17" si="4">P9-Q9</f>
        <v>1414677</v>
      </c>
      <c r="S9" s="191" t="s">
        <v>135</v>
      </c>
    </row>
    <row r="10" spans="1:19" x14ac:dyDescent="0.3">
      <c r="A10" s="140">
        <v>51918</v>
      </c>
      <c r="B10" s="187" t="s">
        <v>124</v>
      </c>
      <c r="C10" s="224">
        <v>44818</v>
      </c>
      <c r="D10" s="188">
        <v>24</v>
      </c>
      <c r="E10" s="189">
        <f>929.18*1450</f>
        <v>1347311</v>
      </c>
      <c r="F10" s="189">
        <v>0</v>
      </c>
      <c r="G10" s="189">
        <f t="shared" si="0"/>
        <v>1347311</v>
      </c>
      <c r="H10" s="189">
        <f t="shared" si="1"/>
        <v>67366</v>
      </c>
      <c r="I10" s="189">
        <f t="shared" si="2"/>
        <v>1414677</v>
      </c>
      <c r="J10" s="189">
        <v>0</v>
      </c>
      <c r="K10" s="189"/>
      <c r="L10" s="189"/>
      <c r="M10" s="189">
        <f t="shared" si="3"/>
        <v>1414677</v>
      </c>
      <c r="N10" s="189"/>
      <c r="O10" s="21" t="s">
        <v>127</v>
      </c>
      <c r="P10" s="21">
        <v>509352.5</v>
      </c>
      <c r="Q10" s="190"/>
      <c r="R10" s="20">
        <f t="shared" si="4"/>
        <v>509352.5</v>
      </c>
      <c r="S10" s="191" t="s">
        <v>136</v>
      </c>
    </row>
    <row r="11" spans="1:19" x14ac:dyDescent="0.3">
      <c r="A11" s="140">
        <v>51918</v>
      </c>
      <c r="B11" s="187" t="s">
        <v>124</v>
      </c>
      <c r="C11" s="224">
        <v>44840</v>
      </c>
      <c r="D11" s="188">
        <v>27</v>
      </c>
      <c r="E11" s="189">
        <f>334.55*1450</f>
        <v>485097.5</v>
      </c>
      <c r="F11" s="189">
        <v>0</v>
      </c>
      <c r="G11" s="189">
        <f t="shared" si="0"/>
        <v>485097.5</v>
      </c>
      <c r="H11" s="189">
        <f t="shared" si="1"/>
        <v>24255</v>
      </c>
      <c r="I11" s="189">
        <f t="shared" si="2"/>
        <v>509352.5</v>
      </c>
      <c r="J11" s="189">
        <v>0</v>
      </c>
      <c r="K11" s="189"/>
      <c r="L11" s="189"/>
      <c r="M11" s="189">
        <f t="shared" si="3"/>
        <v>509352.5</v>
      </c>
      <c r="N11" s="189"/>
      <c r="O11" s="21" t="s">
        <v>128</v>
      </c>
      <c r="P11" s="21">
        <v>1178537</v>
      </c>
      <c r="Q11" s="190"/>
      <c r="R11" s="20">
        <f t="shared" si="4"/>
        <v>1178537</v>
      </c>
      <c r="S11" s="191" t="s">
        <v>137</v>
      </c>
    </row>
    <row r="12" spans="1:19" x14ac:dyDescent="0.3">
      <c r="A12" s="140">
        <v>51918</v>
      </c>
      <c r="B12" s="187" t="s">
        <v>124</v>
      </c>
      <c r="C12" s="224">
        <v>44882</v>
      </c>
      <c r="D12" s="188">
        <v>35</v>
      </c>
      <c r="E12" s="189">
        <f>774.08*1450</f>
        <v>1122416</v>
      </c>
      <c r="F12" s="189">
        <v>0</v>
      </c>
      <c r="G12" s="189">
        <f t="shared" si="0"/>
        <v>1122416</v>
      </c>
      <c r="H12" s="189">
        <f t="shared" si="1"/>
        <v>56121</v>
      </c>
      <c r="I12" s="189">
        <f t="shared" si="2"/>
        <v>1178537</v>
      </c>
      <c r="J12" s="189">
        <v>0</v>
      </c>
      <c r="K12" s="189"/>
      <c r="L12" s="189"/>
      <c r="M12" s="189">
        <f t="shared" si="3"/>
        <v>1178537</v>
      </c>
      <c r="N12" s="189"/>
      <c r="O12" s="21" t="s">
        <v>129</v>
      </c>
      <c r="P12" s="21">
        <v>1220727</v>
      </c>
      <c r="Q12" s="190"/>
      <c r="R12" s="20">
        <f t="shared" si="4"/>
        <v>1220727</v>
      </c>
      <c r="S12" s="191" t="s">
        <v>138</v>
      </c>
    </row>
    <row r="13" spans="1:19" x14ac:dyDescent="0.3">
      <c r="A13" s="140">
        <v>51918</v>
      </c>
      <c r="B13" s="187" t="s">
        <v>124</v>
      </c>
      <c r="C13" s="224">
        <v>44930</v>
      </c>
      <c r="D13" s="188">
        <v>37</v>
      </c>
      <c r="E13" s="189">
        <f>802.2*1450</f>
        <v>1163190</v>
      </c>
      <c r="F13" s="189">
        <v>0</v>
      </c>
      <c r="G13" s="189">
        <f t="shared" si="0"/>
        <v>1163190</v>
      </c>
      <c r="H13" s="189">
        <f t="shared" si="1"/>
        <v>58160</v>
      </c>
      <c r="I13" s="189">
        <f t="shared" si="2"/>
        <v>1221350</v>
      </c>
      <c r="J13" s="189">
        <f t="shared" ref="J13:J21" si="5">E13*0.1%</f>
        <v>1163.19</v>
      </c>
      <c r="K13" s="189"/>
      <c r="L13" s="189"/>
      <c r="M13" s="189">
        <f t="shared" si="3"/>
        <v>1220186.81</v>
      </c>
      <c r="N13" s="189"/>
      <c r="O13" s="21" t="s">
        <v>130</v>
      </c>
      <c r="P13" s="21">
        <v>1126961</v>
      </c>
      <c r="Q13" s="190"/>
      <c r="R13" s="20">
        <f t="shared" si="4"/>
        <v>1126961</v>
      </c>
      <c r="S13" s="191" t="s">
        <v>139</v>
      </c>
    </row>
    <row r="14" spans="1:19" x14ac:dyDescent="0.3">
      <c r="A14" s="140">
        <v>51918</v>
      </c>
      <c r="B14" s="187" t="s">
        <v>124</v>
      </c>
      <c r="C14" s="224">
        <v>44984</v>
      </c>
      <c r="D14" s="188">
        <v>40</v>
      </c>
      <c r="E14" s="189">
        <v>1074319.5</v>
      </c>
      <c r="F14" s="189"/>
      <c r="G14" s="189">
        <f t="shared" si="0"/>
        <v>1074319.5</v>
      </c>
      <c r="H14" s="189">
        <f t="shared" si="1"/>
        <v>53716</v>
      </c>
      <c r="I14" s="189">
        <f t="shared" si="2"/>
        <v>1128035.5</v>
      </c>
      <c r="J14" s="189">
        <f t="shared" si="5"/>
        <v>1074.3195000000001</v>
      </c>
      <c r="K14" s="189"/>
      <c r="L14" s="189"/>
      <c r="M14" s="189">
        <f t="shared" si="3"/>
        <v>1126961.1805</v>
      </c>
      <c r="N14" s="189"/>
      <c r="O14" s="21" t="s">
        <v>131</v>
      </c>
      <c r="P14" s="21">
        <v>771938</v>
      </c>
      <c r="Q14" s="190"/>
      <c r="R14" s="20">
        <f t="shared" si="4"/>
        <v>771938</v>
      </c>
      <c r="S14" s="191" t="s">
        <v>140</v>
      </c>
    </row>
    <row r="15" spans="1:19" x14ac:dyDescent="0.3">
      <c r="A15" s="140">
        <v>51918</v>
      </c>
      <c r="B15" s="187" t="s">
        <v>124</v>
      </c>
      <c r="C15" s="224">
        <v>45020</v>
      </c>
      <c r="D15" s="188">
        <v>1</v>
      </c>
      <c r="E15" s="189">
        <v>735179</v>
      </c>
      <c r="F15" s="189"/>
      <c r="G15" s="189">
        <f t="shared" si="0"/>
        <v>735179</v>
      </c>
      <c r="H15" s="189">
        <f t="shared" si="1"/>
        <v>36759</v>
      </c>
      <c r="I15" s="189">
        <f t="shared" si="2"/>
        <v>771938</v>
      </c>
      <c r="J15" s="189">
        <f t="shared" si="5"/>
        <v>735.17899999999997</v>
      </c>
      <c r="K15" s="189"/>
      <c r="L15" s="189"/>
      <c r="M15" s="189">
        <f t="shared" si="3"/>
        <v>771202.821</v>
      </c>
      <c r="N15" s="189"/>
      <c r="O15" s="21" t="s">
        <v>132</v>
      </c>
      <c r="P15" s="21">
        <v>1376490</v>
      </c>
      <c r="Q15" s="190"/>
      <c r="R15" s="20">
        <f t="shared" si="4"/>
        <v>1376490</v>
      </c>
      <c r="S15" s="191" t="s">
        <v>141</v>
      </c>
    </row>
    <row r="16" spans="1:19" x14ac:dyDescent="0.3">
      <c r="A16" s="140">
        <v>51918</v>
      </c>
      <c r="B16" s="187" t="s">
        <v>124</v>
      </c>
      <c r="C16" s="224">
        <v>45026</v>
      </c>
      <c r="D16" s="188">
        <v>2</v>
      </c>
      <c r="E16" s="189">
        <v>1310943</v>
      </c>
      <c r="F16" s="189"/>
      <c r="G16" s="189">
        <f t="shared" si="0"/>
        <v>1310943</v>
      </c>
      <c r="H16" s="189">
        <f t="shared" si="1"/>
        <v>65547</v>
      </c>
      <c r="I16" s="189">
        <f t="shared" si="2"/>
        <v>1376490</v>
      </c>
      <c r="J16" s="189">
        <v>0</v>
      </c>
      <c r="K16" s="189"/>
      <c r="L16" s="189"/>
      <c r="M16" s="189">
        <f t="shared" si="3"/>
        <v>1376490</v>
      </c>
      <c r="N16" s="189"/>
      <c r="O16" s="21" t="s">
        <v>133</v>
      </c>
      <c r="P16" s="21">
        <v>1502196</v>
      </c>
      <c r="Q16" s="190"/>
      <c r="R16" s="20">
        <f t="shared" si="4"/>
        <v>1502196</v>
      </c>
      <c r="S16" s="191" t="s">
        <v>142</v>
      </c>
    </row>
    <row r="17" spans="1:19" x14ac:dyDescent="0.3">
      <c r="A17" s="140">
        <v>51918</v>
      </c>
      <c r="B17" s="187" t="s">
        <v>124</v>
      </c>
      <c r="C17" s="224">
        <v>45082</v>
      </c>
      <c r="D17" s="188">
        <v>7</v>
      </c>
      <c r="E17" s="189">
        <v>1431289</v>
      </c>
      <c r="F17" s="189"/>
      <c r="G17" s="189">
        <f t="shared" si="0"/>
        <v>1431289</v>
      </c>
      <c r="H17" s="189">
        <f t="shared" si="1"/>
        <v>71564</v>
      </c>
      <c r="I17" s="189">
        <f t="shared" si="2"/>
        <v>1502853</v>
      </c>
      <c r="J17" s="189">
        <v>0</v>
      </c>
      <c r="K17" s="189"/>
      <c r="L17" s="189"/>
      <c r="M17" s="189">
        <f t="shared" si="3"/>
        <v>1502853</v>
      </c>
      <c r="N17" s="189"/>
      <c r="O17" s="21" t="s">
        <v>147</v>
      </c>
      <c r="P17" s="21">
        <v>2588698</v>
      </c>
      <c r="Q17" s="190"/>
      <c r="R17" s="20">
        <f t="shared" si="4"/>
        <v>2588698</v>
      </c>
      <c r="S17" s="21" t="s">
        <v>151</v>
      </c>
    </row>
    <row r="18" spans="1:19" x14ac:dyDescent="0.3">
      <c r="A18" s="140">
        <v>51918</v>
      </c>
      <c r="B18" s="187" t="s">
        <v>124</v>
      </c>
      <c r="C18" s="224">
        <v>45101</v>
      </c>
      <c r="D18" s="188">
        <v>12</v>
      </c>
      <c r="E18" s="189">
        <v>2467777</v>
      </c>
      <c r="F18" s="189"/>
      <c r="G18" s="189">
        <f t="shared" si="0"/>
        <v>2467777</v>
      </c>
      <c r="H18" s="189">
        <f t="shared" si="1"/>
        <v>123389</v>
      </c>
      <c r="I18" s="189">
        <f t="shared" si="2"/>
        <v>2591166</v>
      </c>
      <c r="J18" s="189">
        <f t="shared" si="5"/>
        <v>2467.777</v>
      </c>
      <c r="K18" s="189"/>
      <c r="L18" s="189"/>
      <c r="M18" s="189">
        <f t="shared" si="3"/>
        <v>2588698.2230000002</v>
      </c>
      <c r="N18" s="191"/>
      <c r="O18" s="21" t="s">
        <v>147</v>
      </c>
      <c r="P18" s="21">
        <v>1475551</v>
      </c>
      <c r="Q18" s="190"/>
      <c r="R18" s="20">
        <f t="shared" ref="R18:R20" si="6">P18-Q18</f>
        <v>1475551</v>
      </c>
      <c r="S18" s="21" t="s">
        <v>143</v>
      </c>
    </row>
    <row r="19" spans="1:19" x14ac:dyDescent="0.3">
      <c r="A19" s="140">
        <v>51918</v>
      </c>
      <c r="B19" s="187" t="s">
        <v>124</v>
      </c>
      <c r="C19" s="224">
        <v>45121</v>
      </c>
      <c r="D19" s="188">
        <v>13</v>
      </c>
      <c r="E19" s="189">
        <v>1406627</v>
      </c>
      <c r="F19" s="189"/>
      <c r="G19" s="189">
        <f t="shared" si="0"/>
        <v>1406627</v>
      </c>
      <c r="H19" s="189">
        <f t="shared" si="1"/>
        <v>70331</v>
      </c>
      <c r="I19" s="189">
        <f t="shared" si="2"/>
        <v>1476958</v>
      </c>
      <c r="J19" s="189">
        <f t="shared" si="5"/>
        <v>1406.627</v>
      </c>
      <c r="K19" s="189"/>
      <c r="L19" s="189"/>
      <c r="M19" s="189">
        <f t="shared" si="3"/>
        <v>1475551.3729999999</v>
      </c>
      <c r="N19" s="191"/>
      <c r="O19" s="21" t="s">
        <v>148</v>
      </c>
      <c r="P19" s="189">
        <v>1000000</v>
      </c>
      <c r="Q19" s="190"/>
      <c r="R19" s="20">
        <f t="shared" si="6"/>
        <v>1000000</v>
      </c>
      <c r="S19" s="21" t="s">
        <v>144</v>
      </c>
    </row>
    <row r="20" spans="1:19" x14ac:dyDescent="0.3">
      <c r="A20" s="140">
        <v>51918</v>
      </c>
      <c r="B20" s="187" t="s">
        <v>124</v>
      </c>
      <c r="C20" s="224">
        <v>45154</v>
      </c>
      <c r="D20" s="188">
        <v>14</v>
      </c>
      <c r="E20" s="189">
        <v>1226032</v>
      </c>
      <c r="F20" s="189"/>
      <c r="G20" s="189">
        <f t="shared" si="0"/>
        <v>1226032</v>
      </c>
      <c r="H20" s="189">
        <f t="shared" si="1"/>
        <v>61302</v>
      </c>
      <c r="I20" s="189">
        <f t="shared" si="2"/>
        <v>1287334</v>
      </c>
      <c r="J20" s="189">
        <f t="shared" si="5"/>
        <v>1226.0319999999999</v>
      </c>
      <c r="K20" s="189"/>
      <c r="L20" s="189"/>
      <c r="M20" s="189">
        <f t="shared" si="3"/>
        <v>1286107.9680000001</v>
      </c>
      <c r="N20" s="191"/>
      <c r="O20" s="21" t="s">
        <v>149</v>
      </c>
      <c r="P20" s="189">
        <v>286108</v>
      </c>
      <c r="Q20" s="190"/>
      <c r="R20" s="20">
        <f t="shared" si="6"/>
        <v>286108</v>
      </c>
      <c r="S20" s="21" t="s">
        <v>145</v>
      </c>
    </row>
    <row r="21" spans="1:19" x14ac:dyDescent="0.3">
      <c r="A21" s="140">
        <v>51918</v>
      </c>
      <c r="B21" s="187" t="s">
        <v>124</v>
      </c>
      <c r="C21" s="224">
        <v>45188</v>
      </c>
      <c r="D21" s="188">
        <v>19</v>
      </c>
      <c r="E21" s="189">
        <v>2085554</v>
      </c>
      <c r="F21" s="189"/>
      <c r="G21" s="189">
        <f t="shared" si="0"/>
        <v>2085554</v>
      </c>
      <c r="H21" s="189">
        <f t="shared" si="1"/>
        <v>104278</v>
      </c>
      <c r="I21" s="189">
        <f t="shared" si="2"/>
        <v>2189832</v>
      </c>
      <c r="J21" s="189">
        <f t="shared" si="5"/>
        <v>2085.5540000000001</v>
      </c>
      <c r="K21" s="189"/>
      <c r="L21" s="189"/>
      <c r="M21" s="189">
        <f t="shared" si="3"/>
        <v>2187746.446</v>
      </c>
      <c r="N21" s="191"/>
      <c r="O21" s="191"/>
      <c r="P21" s="191"/>
      <c r="Q21" s="190"/>
      <c r="R21" s="20">
        <v>1000000</v>
      </c>
      <c r="S21" s="212" t="s">
        <v>152</v>
      </c>
    </row>
    <row r="22" spans="1:19" x14ac:dyDescent="0.3">
      <c r="A22" s="140">
        <v>51918</v>
      </c>
      <c r="B22" s="206"/>
      <c r="C22" s="224"/>
      <c r="D22" s="188"/>
      <c r="E22" s="189"/>
      <c r="F22" s="189"/>
      <c r="G22" s="189"/>
      <c r="H22" s="189"/>
      <c r="I22" s="189"/>
      <c r="J22" s="189"/>
      <c r="K22" s="189"/>
      <c r="L22" s="189"/>
      <c r="M22" s="189"/>
      <c r="N22" s="193"/>
      <c r="O22" s="193"/>
      <c r="P22" s="193"/>
      <c r="Q22" s="194"/>
      <c r="R22" s="208">
        <v>300000</v>
      </c>
      <c r="S22" s="212" t="s">
        <v>153</v>
      </c>
    </row>
    <row r="23" spans="1:19" x14ac:dyDescent="0.3">
      <c r="A23" s="140">
        <v>51918</v>
      </c>
      <c r="B23" s="206"/>
      <c r="C23" s="224"/>
      <c r="D23" s="188"/>
      <c r="E23" s="189"/>
      <c r="F23" s="189"/>
      <c r="G23" s="189"/>
      <c r="H23" s="189"/>
      <c r="I23" s="189"/>
      <c r="J23" s="189"/>
      <c r="K23" s="189"/>
      <c r="L23" s="189"/>
      <c r="M23" s="189"/>
      <c r="N23" s="193"/>
      <c r="O23" s="193"/>
      <c r="P23" s="193"/>
      <c r="Q23" s="194"/>
      <c r="R23" s="208">
        <v>400000</v>
      </c>
      <c r="S23" s="212" t="s">
        <v>154</v>
      </c>
    </row>
    <row r="24" spans="1:19" x14ac:dyDescent="0.3">
      <c r="A24" s="140">
        <v>51918</v>
      </c>
      <c r="B24" s="206"/>
      <c r="C24" s="224"/>
      <c r="D24" s="188"/>
      <c r="E24" s="189"/>
      <c r="F24" s="189"/>
      <c r="G24" s="189"/>
      <c r="H24" s="189"/>
      <c r="I24" s="189"/>
      <c r="J24" s="189"/>
      <c r="K24" s="189"/>
      <c r="L24" s="189"/>
      <c r="M24" s="189"/>
      <c r="N24" s="193"/>
      <c r="O24" s="193"/>
      <c r="P24" s="193"/>
      <c r="Q24" s="194"/>
      <c r="R24" s="208"/>
      <c r="S24" s="212"/>
    </row>
    <row r="25" spans="1:19" x14ac:dyDescent="0.3">
      <c r="A25" s="140">
        <v>51918</v>
      </c>
      <c r="B25" s="206"/>
      <c r="C25" s="224"/>
      <c r="D25" s="188"/>
      <c r="E25" s="189"/>
      <c r="F25" s="189"/>
      <c r="G25" s="189"/>
      <c r="H25" s="189"/>
      <c r="I25" s="189"/>
      <c r="J25" s="189"/>
      <c r="K25" s="189"/>
      <c r="L25" s="189"/>
      <c r="M25" s="189"/>
      <c r="N25" s="193"/>
      <c r="O25" s="193"/>
      <c r="P25" s="193"/>
      <c r="Q25" s="194"/>
      <c r="R25" s="208"/>
      <c r="S25" s="212"/>
    </row>
    <row r="26" spans="1:19" ht="15" thickBot="1" x14ac:dyDescent="0.35">
      <c r="A26" s="192"/>
      <c r="B26" s="193"/>
      <c r="C26" s="224"/>
      <c r="D26" s="188"/>
      <c r="E26" s="189"/>
      <c r="F26" s="189"/>
      <c r="G26" s="189"/>
      <c r="H26" s="189"/>
      <c r="I26" s="189"/>
      <c r="J26" s="189"/>
      <c r="K26" s="189"/>
      <c r="L26" s="189"/>
      <c r="M26" s="189">
        <f t="shared" si="3"/>
        <v>0</v>
      </c>
      <c r="N26" s="193"/>
      <c r="O26" s="193"/>
      <c r="P26" s="193"/>
      <c r="Q26" s="194"/>
      <c r="R26" s="208"/>
      <c r="S26" s="211"/>
    </row>
    <row r="27" spans="1:19" ht="15" thickBot="1" x14ac:dyDescent="0.35">
      <c r="A27" s="195"/>
      <c r="B27" s="196"/>
      <c r="C27" s="225"/>
      <c r="D27" s="196"/>
      <c r="E27" s="196"/>
      <c r="F27" s="196"/>
      <c r="G27" s="196"/>
      <c r="H27" s="197"/>
      <c r="I27" s="197"/>
      <c r="J27" s="196"/>
      <c r="K27" s="196"/>
      <c r="L27" s="196"/>
      <c r="M27" s="200">
        <f>SUM(M8:M26)</f>
        <v>18218521.8215</v>
      </c>
      <c r="N27" s="196"/>
      <c r="O27" s="199" t="s">
        <v>146</v>
      </c>
      <c r="P27" s="199"/>
      <c r="Q27" s="3"/>
      <c r="R27" s="200">
        <f>SUM(R8:R26)</f>
        <v>17731393</v>
      </c>
      <c r="S27" s="198"/>
    </row>
    <row r="28" spans="1:19" ht="15" thickBot="1" x14ac:dyDescent="0.35">
      <c r="A28" s="201"/>
      <c r="B28" s="202"/>
      <c r="C28" s="226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4" t="s">
        <v>150</v>
      </c>
      <c r="P28" s="202"/>
      <c r="Q28" s="202"/>
      <c r="R28" s="205">
        <f>M27-R27</f>
        <v>487128.82149999961</v>
      </c>
      <c r="S28" s="2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Janta Boring </vt:lpstr>
      <vt:lpstr>Shivalik Enterprises</vt:lpstr>
      <vt:lpstr>Kanav gravels</vt:lpstr>
      <vt:lpstr>Shree Shyamji</vt:lpstr>
      <vt:lpstr>JB Construction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2025-05-28T11:19:53Z</dcterms:modified>
</cp:coreProperties>
</file>