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Updated Data\Updated Data\"/>
    </mc:Choice>
  </mc:AlternateContent>
  <xr:revisionPtr revIDLastSave="0" documentId="13_ncr:1_{4C16D24F-184B-46A7-BB57-217F0969BD4C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5" i="1" l="1"/>
  <c r="H115" i="1"/>
  <c r="I115" i="1"/>
  <c r="J115" i="1"/>
  <c r="T121" i="1"/>
  <c r="L134" i="1"/>
  <c r="U19" i="1"/>
  <c r="U45" i="1"/>
  <c r="U46" i="1"/>
  <c r="U47" i="1"/>
  <c r="U52" i="1"/>
  <c r="U53" i="1"/>
  <c r="U54" i="1"/>
  <c r="U103" i="1"/>
  <c r="U104" i="1"/>
  <c r="U102" i="1"/>
  <c r="U115" i="1"/>
  <c r="U116" i="1"/>
  <c r="U117" i="1"/>
  <c r="E73" i="1"/>
  <c r="Q73" i="1" s="1"/>
  <c r="E123" i="1"/>
  <c r="U28" i="1"/>
  <c r="U16" i="1"/>
  <c r="U18" i="1"/>
  <c r="U27" i="1"/>
  <c r="U75" i="1"/>
  <c r="U100" i="1"/>
  <c r="G73" i="1" l="1"/>
  <c r="K115" i="1"/>
  <c r="Q115" i="1" s="1"/>
  <c r="N115" i="1"/>
  <c r="G97" i="1"/>
  <c r="K97" i="1" l="1"/>
  <c r="M97" i="1"/>
  <c r="H97" i="1"/>
  <c r="N97" i="1" s="1"/>
  <c r="J97" i="1"/>
  <c r="Q97" i="1" s="1"/>
  <c r="G16" i="1"/>
  <c r="G47" i="1"/>
  <c r="F52" i="1"/>
  <c r="G52" i="1" l="1"/>
  <c r="K52" i="1" s="1"/>
  <c r="I97" i="1"/>
  <c r="K16" i="1"/>
  <c r="J16" i="1"/>
  <c r="H16" i="1"/>
  <c r="N16" i="1" s="1"/>
  <c r="J47" i="1"/>
  <c r="K47" i="1"/>
  <c r="H47" i="1"/>
  <c r="N47" i="1" s="1"/>
  <c r="H52" i="1"/>
  <c r="N52" i="1" s="1"/>
  <c r="J52" i="1"/>
  <c r="P120" i="1"/>
  <c r="O120" i="1"/>
  <c r="I16" i="1" l="1"/>
  <c r="Q16" i="1" s="1"/>
  <c r="Q47" i="1"/>
  <c r="I47" i="1"/>
  <c r="Q52" i="1"/>
  <c r="I52" i="1"/>
  <c r="G15" i="1"/>
  <c r="K15" i="1" s="1"/>
  <c r="U114" i="1"/>
  <c r="V114" i="1" s="1"/>
  <c r="G114" i="1"/>
  <c r="R113" i="1"/>
  <c r="V25" i="1"/>
  <c r="U26" i="1"/>
  <c r="V26" i="1" s="1"/>
  <c r="G25" i="1"/>
  <c r="J25" i="1" s="1"/>
  <c r="U110" i="1"/>
  <c r="V110" i="1" s="1"/>
  <c r="U17" i="1"/>
  <c r="V17" i="1" s="1"/>
  <c r="R101" i="1"/>
  <c r="Q103" i="1"/>
  <c r="G102" i="1"/>
  <c r="N102" i="1" s="1"/>
  <c r="Q51" i="1"/>
  <c r="Q35" i="1"/>
  <c r="N114" i="1" l="1"/>
  <c r="H15" i="1"/>
  <c r="J15" i="1"/>
  <c r="J114" i="1"/>
  <c r="K114" i="1"/>
  <c r="H114" i="1"/>
  <c r="I114" i="1" s="1"/>
  <c r="K25" i="1"/>
  <c r="H25" i="1"/>
  <c r="N25" i="1" s="1"/>
  <c r="I102" i="1"/>
  <c r="L102" i="1" s="1"/>
  <c r="G111" i="1"/>
  <c r="G14" i="1"/>
  <c r="K14" i="1" s="1"/>
  <c r="U23" i="1"/>
  <c r="V23" i="1" s="1"/>
  <c r="U24" i="1"/>
  <c r="V24" i="1" s="1"/>
  <c r="G24" i="1"/>
  <c r="J24" i="1" s="1"/>
  <c r="U22" i="1"/>
  <c r="V22" i="1" s="1"/>
  <c r="G22" i="1"/>
  <c r="K22" i="1" s="1"/>
  <c r="R21" i="1"/>
  <c r="G110" i="1"/>
  <c r="J110" i="1" s="1"/>
  <c r="U99" i="1"/>
  <c r="V99" i="1" s="1"/>
  <c r="G96" i="1"/>
  <c r="H96" i="1" s="1"/>
  <c r="N109" i="1"/>
  <c r="N90" i="1"/>
  <c r="V72" i="1"/>
  <c r="V75" i="1"/>
  <c r="U64" i="1"/>
  <c r="V64" i="1" s="1"/>
  <c r="U51" i="1"/>
  <c r="V51" i="1" s="1"/>
  <c r="G50" i="1"/>
  <c r="U37" i="1"/>
  <c r="V37" i="1" s="1"/>
  <c r="U38" i="1"/>
  <c r="V38" i="1" s="1"/>
  <c r="V16" i="1"/>
  <c r="G46" i="1"/>
  <c r="J46" i="1" s="1"/>
  <c r="G45" i="1"/>
  <c r="H45" i="1" s="1"/>
  <c r="G49" i="1"/>
  <c r="M49" i="1" s="1"/>
  <c r="N95" i="1"/>
  <c r="N93" i="1"/>
  <c r="G94" i="1"/>
  <c r="U97" i="1"/>
  <c r="V97" i="1" s="1"/>
  <c r="U98" i="1"/>
  <c r="V98" i="1" s="1"/>
  <c r="U109" i="1"/>
  <c r="V109" i="1" s="1"/>
  <c r="U93" i="1"/>
  <c r="V93" i="1" s="1"/>
  <c r="U94" i="1"/>
  <c r="V94" i="1" s="1"/>
  <c r="V95" i="1"/>
  <c r="U96" i="1"/>
  <c r="V96" i="1" s="1"/>
  <c r="U92" i="1"/>
  <c r="V92" i="1" s="1"/>
  <c r="G61" i="1"/>
  <c r="G59" i="1"/>
  <c r="U43" i="1"/>
  <c r="V43" i="1" s="1"/>
  <c r="U44" i="1"/>
  <c r="V44" i="1" s="1"/>
  <c r="F36" i="1"/>
  <c r="G12" i="1"/>
  <c r="N12" i="1" s="1"/>
  <c r="E13" i="1" s="1"/>
  <c r="G13" i="1" s="1"/>
  <c r="I13" i="1" s="1"/>
  <c r="Q13" i="1" s="1"/>
  <c r="U73" i="1"/>
  <c r="V73" i="1" s="1"/>
  <c r="U67" i="1"/>
  <c r="V67" i="1" s="1"/>
  <c r="V68" i="1"/>
  <c r="V69" i="1"/>
  <c r="V70" i="1"/>
  <c r="V71" i="1"/>
  <c r="V74" i="1"/>
  <c r="N68" i="1"/>
  <c r="N70" i="1"/>
  <c r="G69" i="1"/>
  <c r="N72" i="1"/>
  <c r="G71" i="1"/>
  <c r="J71" i="1" s="1"/>
  <c r="R91" i="1"/>
  <c r="G92" i="1"/>
  <c r="K92" i="1" s="1"/>
  <c r="G36" i="1" l="1"/>
  <c r="F120" i="1"/>
  <c r="F123" i="1"/>
  <c r="Q114" i="1"/>
  <c r="X118" i="1" s="1"/>
  <c r="I15" i="1"/>
  <c r="N15" i="1"/>
  <c r="M102" i="1"/>
  <c r="J102" i="1"/>
  <c r="I25" i="1"/>
  <c r="Q25" i="1" s="1"/>
  <c r="K102" i="1"/>
  <c r="K111" i="1"/>
  <c r="M111" i="1"/>
  <c r="H111" i="1"/>
  <c r="N111" i="1" s="1"/>
  <c r="J111" i="1"/>
  <c r="M24" i="1"/>
  <c r="N14" i="1"/>
  <c r="M14" i="1"/>
  <c r="H14" i="1"/>
  <c r="I14" i="1" s="1"/>
  <c r="J14" i="1"/>
  <c r="K24" i="1"/>
  <c r="H24" i="1"/>
  <c r="N24" i="1" s="1"/>
  <c r="H22" i="1"/>
  <c r="J22" i="1"/>
  <c r="M96" i="1"/>
  <c r="M110" i="1"/>
  <c r="M46" i="1"/>
  <c r="K110" i="1"/>
  <c r="H110" i="1"/>
  <c r="N110" i="1" s="1"/>
  <c r="N96" i="1"/>
  <c r="I96" i="1"/>
  <c r="J96" i="1"/>
  <c r="K96" i="1"/>
  <c r="K50" i="1"/>
  <c r="H50" i="1"/>
  <c r="N50" i="1" s="1"/>
  <c r="M50" i="1"/>
  <c r="J50" i="1"/>
  <c r="M45" i="1"/>
  <c r="J45" i="1"/>
  <c r="N45" i="1"/>
  <c r="I45" i="1"/>
  <c r="K46" i="1"/>
  <c r="K45" i="1"/>
  <c r="H46" i="1"/>
  <c r="N46" i="1" s="1"/>
  <c r="H49" i="1"/>
  <c r="N49" i="1" s="1"/>
  <c r="J49" i="1"/>
  <c r="K49" i="1"/>
  <c r="J94" i="1"/>
  <c r="K94" i="1"/>
  <c r="H94" i="1"/>
  <c r="N94" i="1" s="1"/>
  <c r="E95" i="1" s="1"/>
  <c r="G95" i="1" s="1"/>
  <c r="I95" i="1" s="1"/>
  <c r="Q95" i="1" s="1"/>
  <c r="K61" i="1"/>
  <c r="J61" i="1"/>
  <c r="H61" i="1"/>
  <c r="N61" i="1" s="1"/>
  <c r="E62" i="1" s="1"/>
  <c r="G62" i="1" s="1"/>
  <c r="I62" i="1" s="1"/>
  <c r="Q62" i="1" s="1"/>
  <c r="K59" i="1"/>
  <c r="H59" i="1"/>
  <c r="N59" i="1" s="1"/>
  <c r="E60" i="1" s="1"/>
  <c r="G60" i="1" s="1"/>
  <c r="I60" i="1" s="1"/>
  <c r="Q60" i="1" s="1"/>
  <c r="J59" i="1"/>
  <c r="N36" i="1"/>
  <c r="E37" i="1" s="1"/>
  <c r="H36" i="1"/>
  <c r="I36" i="1" s="1"/>
  <c r="K36" i="1"/>
  <c r="J36" i="1"/>
  <c r="J12" i="1"/>
  <c r="K12" i="1"/>
  <c r="H12" i="1"/>
  <c r="I12" i="1" s="1"/>
  <c r="L69" i="1"/>
  <c r="M69" i="1"/>
  <c r="H69" i="1"/>
  <c r="N69" i="1" s="1"/>
  <c r="E70" i="1" s="1"/>
  <c r="Q70" i="1" s="1"/>
  <c r="J69" i="1"/>
  <c r="K69" i="1"/>
  <c r="K71" i="1"/>
  <c r="H71" i="1"/>
  <c r="N71" i="1" s="1"/>
  <c r="E72" i="1" s="1"/>
  <c r="Q72" i="1" s="1"/>
  <c r="L71" i="1"/>
  <c r="M71" i="1"/>
  <c r="N92" i="1"/>
  <c r="E93" i="1" s="1"/>
  <c r="G93" i="1" s="1"/>
  <c r="I93" i="1" s="1"/>
  <c r="Q93" i="1" s="1"/>
  <c r="H92" i="1"/>
  <c r="I92" i="1" s="1"/>
  <c r="J92" i="1"/>
  <c r="Q15" i="1" l="1"/>
  <c r="Q102" i="1"/>
  <c r="X107" i="1" s="1"/>
  <c r="Q111" i="1"/>
  <c r="I111" i="1"/>
  <c r="Q110" i="1"/>
  <c r="I22" i="1"/>
  <c r="N22" i="1"/>
  <c r="E23" i="1" s="1"/>
  <c r="G23" i="1" s="1"/>
  <c r="I23" i="1" s="1"/>
  <c r="Q23" i="1" s="1"/>
  <c r="Q14" i="1"/>
  <c r="I24" i="1"/>
  <c r="Q24" i="1" s="1"/>
  <c r="Q96" i="1"/>
  <c r="Q46" i="1"/>
  <c r="I94" i="1"/>
  <c r="I110" i="1"/>
  <c r="Q94" i="1"/>
  <c r="I50" i="1"/>
  <c r="Q50" i="1"/>
  <c r="I46" i="1"/>
  <c r="Q45" i="1"/>
  <c r="Q49" i="1"/>
  <c r="Q59" i="1"/>
  <c r="Q61" i="1"/>
  <c r="I49" i="1"/>
  <c r="I61" i="1"/>
  <c r="I59" i="1"/>
  <c r="Q92" i="1"/>
  <c r="Q36" i="1"/>
  <c r="Q71" i="1"/>
  <c r="Q12" i="1"/>
  <c r="I71" i="1"/>
  <c r="Q69" i="1"/>
  <c r="I69" i="1"/>
  <c r="X101" i="1" l="1"/>
  <c r="Q22" i="1"/>
  <c r="X29" i="1" s="1"/>
  <c r="G34" i="1"/>
  <c r="H34" i="1" s="1"/>
  <c r="I34" i="1" s="1"/>
  <c r="U108" i="1"/>
  <c r="V108" i="1" s="1"/>
  <c r="J34" i="1" l="1"/>
  <c r="N34" i="1"/>
  <c r="Q37" i="1" s="1"/>
  <c r="K34" i="1"/>
  <c r="G108" i="1"/>
  <c r="R107" i="1"/>
  <c r="U63" i="1"/>
  <c r="V63" i="1" s="1"/>
  <c r="U89" i="1"/>
  <c r="V89" i="1" s="1"/>
  <c r="G42" i="1"/>
  <c r="K42" i="1" s="1"/>
  <c r="G89" i="1"/>
  <c r="R88" i="1"/>
  <c r="N85" i="1"/>
  <c r="G85" i="1"/>
  <c r="I85" i="1" s="1"/>
  <c r="N84" i="1"/>
  <c r="G84" i="1"/>
  <c r="I84" i="1" s="1"/>
  <c r="Q84" i="1" s="1"/>
  <c r="V83" i="1"/>
  <c r="G83" i="1"/>
  <c r="J83" i="1" s="1"/>
  <c r="V82" i="1"/>
  <c r="G82" i="1"/>
  <c r="J82" i="1" s="1"/>
  <c r="V81" i="1"/>
  <c r="N81" i="1"/>
  <c r="G81" i="1"/>
  <c r="I81" i="1" s="1"/>
  <c r="V80" i="1"/>
  <c r="G80" i="1"/>
  <c r="J80" i="1" s="1"/>
  <c r="V79" i="1"/>
  <c r="Q79" i="1"/>
  <c r="N79" i="1"/>
  <c r="V78" i="1"/>
  <c r="G78" i="1"/>
  <c r="J78" i="1" s="1"/>
  <c r="V77" i="1"/>
  <c r="G77" i="1"/>
  <c r="J77" i="1" s="1"/>
  <c r="R76" i="1"/>
  <c r="Q85" i="1" l="1"/>
  <c r="Q34" i="1"/>
  <c r="Q81" i="1"/>
  <c r="H108" i="1"/>
  <c r="N108" i="1" s="1"/>
  <c r="E109" i="1" s="1"/>
  <c r="J108" i="1"/>
  <c r="K108" i="1"/>
  <c r="H42" i="1"/>
  <c r="N42" i="1" s="1"/>
  <c r="E44" i="1" s="1"/>
  <c r="G44" i="1" s="1"/>
  <c r="I44" i="1" s="1"/>
  <c r="Q44" i="1" s="1"/>
  <c r="J42" i="1"/>
  <c r="Q42" i="1" s="1"/>
  <c r="H89" i="1"/>
  <c r="N89" i="1" s="1"/>
  <c r="E90" i="1" s="1"/>
  <c r="Q90" i="1" s="1"/>
  <c r="J89" i="1"/>
  <c r="K89" i="1"/>
  <c r="H77" i="1"/>
  <c r="N77" i="1" s="1"/>
  <c r="H78" i="1"/>
  <c r="N78" i="1" s="1"/>
  <c r="H80" i="1"/>
  <c r="N80" i="1" s="1"/>
  <c r="H82" i="1"/>
  <c r="N82" i="1" s="1"/>
  <c r="H83" i="1"/>
  <c r="N83" i="1" s="1"/>
  <c r="Q109" i="1" l="1"/>
  <c r="I42" i="1"/>
  <c r="I80" i="1"/>
  <c r="Q80" i="1" s="1"/>
  <c r="I108" i="1"/>
  <c r="I78" i="1"/>
  <c r="Q78" i="1" s="1"/>
  <c r="I89" i="1"/>
  <c r="I77" i="1"/>
  <c r="Q77" i="1" s="1"/>
  <c r="Q89" i="1"/>
  <c r="X91" i="1" s="1"/>
  <c r="I83" i="1"/>
  <c r="Q83" i="1" s="1"/>
  <c r="I82" i="1"/>
  <c r="Q82" i="1" s="1"/>
  <c r="Q108" i="1"/>
  <c r="X113" i="1" s="1"/>
  <c r="U30" i="1"/>
  <c r="U32" i="1"/>
  <c r="V32" i="1" s="1"/>
  <c r="U34" i="1"/>
  <c r="V34" i="1" s="1"/>
  <c r="U35" i="1"/>
  <c r="V35" i="1" s="1"/>
  <c r="U36" i="1"/>
  <c r="V36" i="1" s="1"/>
  <c r="V31" i="1"/>
  <c r="V33" i="1"/>
  <c r="X88" i="1" l="1"/>
  <c r="U15" i="1"/>
  <c r="V15" i="1" s="1"/>
  <c r="G10" i="1"/>
  <c r="N10" i="1" s="1"/>
  <c r="E11" i="1" s="1"/>
  <c r="G11" i="1" s="1"/>
  <c r="I11" i="1" s="1"/>
  <c r="Q11" i="1" s="1"/>
  <c r="V9" i="1"/>
  <c r="U10" i="1"/>
  <c r="V10" i="1" s="1"/>
  <c r="V11" i="1"/>
  <c r="U12" i="1"/>
  <c r="V12" i="1" s="1"/>
  <c r="U14" i="1"/>
  <c r="V14" i="1" s="1"/>
  <c r="U13" i="1"/>
  <c r="V13" i="1" s="1"/>
  <c r="U8" i="1"/>
  <c r="U60" i="1"/>
  <c r="U58" i="1"/>
  <c r="U57" i="1"/>
  <c r="U41" i="1"/>
  <c r="V41" i="1" s="1"/>
  <c r="U50" i="1"/>
  <c r="V50" i="1" s="1"/>
  <c r="U62" i="1"/>
  <c r="V62" i="1" s="1"/>
  <c r="U42" i="1"/>
  <c r="V42" i="1" s="1"/>
  <c r="V49" i="1"/>
  <c r="R48" i="1"/>
  <c r="G41" i="1"/>
  <c r="K41" i="1" s="1"/>
  <c r="R40" i="1"/>
  <c r="X56" i="1" l="1"/>
  <c r="H10" i="1"/>
  <c r="I10" i="1" s="1"/>
  <c r="J10" i="1"/>
  <c r="K10" i="1"/>
  <c r="H41" i="1"/>
  <c r="N41" i="1" s="1"/>
  <c r="E43" i="1" s="1"/>
  <c r="G43" i="1" s="1"/>
  <c r="I43" i="1" s="1"/>
  <c r="Q43" i="1" s="1"/>
  <c r="J41" i="1"/>
  <c r="Q41" i="1" s="1"/>
  <c r="R7" i="1"/>
  <c r="R66" i="1"/>
  <c r="V58" i="1"/>
  <c r="V59" i="1"/>
  <c r="V60" i="1"/>
  <c r="V61" i="1"/>
  <c r="V57" i="1"/>
  <c r="R56" i="1"/>
  <c r="R29" i="1"/>
  <c r="G57" i="1"/>
  <c r="K57" i="1" l="1"/>
  <c r="X48" i="1"/>
  <c r="I41" i="1"/>
  <c r="H57" i="1"/>
  <c r="N57" i="1" s="1"/>
  <c r="E58" i="1" s="1"/>
  <c r="J57" i="1"/>
  <c r="Q57" i="1" s="1"/>
  <c r="Q10" i="1"/>
  <c r="G32" i="1"/>
  <c r="H32" i="1" s="1"/>
  <c r="G31" i="1"/>
  <c r="I31" i="1" s="1"/>
  <c r="Q31" i="1" s="1"/>
  <c r="V30" i="1"/>
  <c r="G30" i="1"/>
  <c r="J30" i="1" s="1"/>
  <c r="G67" i="1"/>
  <c r="L67" i="1" s="1"/>
  <c r="L120" i="1" s="1"/>
  <c r="G58" i="1" l="1"/>
  <c r="I58" i="1" s="1"/>
  <c r="Q58" i="1" s="1"/>
  <c r="X66" i="1" s="1"/>
  <c r="I57" i="1"/>
  <c r="J67" i="1"/>
  <c r="M67" i="1"/>
  <c r="M120" i="1" s="1"/>
  <c r="J32" i="1"/>
  <c r="N32" i="1"/>
  <c r="E33" i="1" s="1"/>
  <c r="G33" i="1" s="1"/>
  <c r="I33" i="1" s="1"/>
  <c r="Q33" i="1" s="1"/>
  <c r="I32" i="1"/>
  <c r="H30" i="1"/>
  <c r="N30" i="1" s="1"/>
  <c r="K32" i="1"/>
  <c r="K30" i="1"/>
  <c r="K67" i="1"/>
  <c r="H67" i="1"/>
  <c r="G8" i="1"/>
  <c r="G123" i="1" l="1"/>
  <c r="Q67" i="1"/>
  <c r="Q32" i="1"/>
  <c r="I30" i="1"/>
  <c r="Q30" i="1" s="1"/>
  <c r="N67" i="1"/>
  <c r="E68" i="1" s="1"/>
  <c r="I67" i="1"/>
  <c r="K8" i="1"/>
  <c r="H8" i="1"/>
  <c r="N8" i="1"/>
  <c r="N120" i="1" s="1"/>
  <c r="J8" i="1"/>
  <c r="V8" i="1"/>
  <c r="V121" i="1" s="1"/>
  <c r="Q68" i="1" l="1"/>
  <c r="X40" i="1"/>
  <c r="K120" i="1"/>
  <c r="L129" i="1" s="1"/>
  <c r="X76" i="1"/>
  <c r="E9" i="1"/>
  <c r="I8" i="1"/>
  <c r="Q8" i="1" s="1"/>
  <c r="G9" i="1" l="1"/>
  <c r="E120" i="1"/>
  <c r="E124" i="1"/>
  <c r="E121" i="1"/>
  <c r="E122" i="1" l="1"/>
  <c r="I9" i="1"/>
  <c r="Q9" i="1" s="1"/>
  <c r="G120" i="1"/>
  <c r="G122" i="1" s="1"/>
  <c r="L132" i="1" l="1"/>
  <c r="X21" i="1"/>
  <c r="X121" i="1" s="1"/>
  <c r="Q121" i="1"/>
  <c r="V123" i="1" s="1"/>
  <c r="L131" i="1" s="1"/>
  <c r="L133" i="1" s="1"/>
</calcChain>
</file>

<file path=xl/sharedStrings.xml><?xml version="1.0" encoding="utf-8"?>
<sst xmlns="http://schemas.openxmlformats.org/spreadsheetml/2006/main" count="281" uniqueCount="230">
  <si>
    <t>Amount</t>
  </si>
  <si>
    <t>PAYMENT NOTE No.</t>
  </si>
  <si>
    <t>UTR</t>
  </si>
  <si>
    <t>Total Payable Amount Rs. -</t>
  </si>
  <si>
    <t>Balance Payable Amount Rs. -</t>
  </si>
  <si>
    <t>Total Paid Amount Rs. -</t>
  </si>
  <si>
    <t>Hold Amount</t>
  </si>
  <si>
    <t xml:space="preserve">Painting and Finishing </t>
  </si>
  <si>
    <t>R S Construction</t>
  </si>
  <si>
    <t>15-05-2023 NEFT/AXISP00390249016/RIUP23/240/R S CONSTRUCTION 198000.00</t>
  </si>
  <si>
    <t>RIUP23/240</t>
  </si>
  <si>
    <t>Bhameri Village OHT WOK 225KL 12MTR STAGING</t>
  </si>
  <si>
    <t>28-08-2023 NEFT/AXISP00418870946/RIUP23/1758/R S CONSTRUCTION/ICIC0003726 99000.00</t>
  </si>
  <si>
    <t>Patnipratha village OHT work</t>
  </si>
  <si>
    <t>RIUP23/509</t>
  </si>
  <si>
    <t>05-06-2023 NEFT/AXISP00395602683/RIUP23/509/R S CONSTRUCTION 198000.00</t>
  </si>
  <si>
    <t>26-06-2023 NEFT/AXISP00400726014/RIUP23/852/R S CONSTRUCTION 99000.00</t>
  </si>
  <si>
    <t>28-08-2023 NEFT/AXISP00418870945/RIUP23/1759/R S CONSTRUCTION/ICIC0003726 99000.0</t>
  </si>
  <si>
    <t>26-09-2023 NEFT/AXISP00427655666/RIUP23/2285/R S CONSTRUCTION/ICIC0003726 148500.00</t>
  </si>
  <si>
    <t>Khanpur Jatan  Village Pipe Laying Work</t>
  </si>
  <si>
    <t>21-04-2023 NEFT/AXISP00383588436/RIUP23/050/R S CONSTRUCTION 346500.00</t>
  </si>
  <si>
    <t>01-05-2023 NEFT/AXISP00385697769/SPUP23/0322A/R S CONSTRUCTION 155025.00</t>
  </si>
  <si>
    <t>12-05-2023 NEFT/AXISP00389894118/RIUP23/213/R S CONSTRUCTION 251640.00</t>
  </si>
  <si>
    <t>25-05-2023 NEFT/AXISP00392595800/RIUP23/368/R S CONSTRUCTION 121992.00</t>
  </si>
  <si>
    <t>22-06-2023 NEFT/AXISP00400190436/RIUP23/802/R S CONSTRUCTION 39502.00</t>
  </si>
  <si>
    <t>01-07-2023 NEFT/AXISP00402764252/RIUP23/972/R S CONSTRUCTION 70818.00</t>
  </si>
  <si>
    <t>RIUP23/050</t>
  </si>
  <si>
    <t>RIUP24/0322</t>
  </si>
  <si>
    <t>RIUP25/213</t>
  </si>
  <si>
    <t>RIUP23/368</t>
  </si>
  <si>
    <t>RIUP24/802</t>
  </si>
  <si>
    <t>RIUP25/972</t>
  </si>
  <si>
    <t>RIUP23/2285</t>
  </si>
  <si>
    <t>GST Release note</t>
  </si>
  <si>
    <t>RIUP23/1220</t>
  </si>
  <si>
    <t>26-07-2023 NEFT/AXISP00409387508/RIUP23/1220/R S CONSTRUCTIO ₹ 1,48,419.00</t>
  </si>
  <si>
    <t>RIUP23/1510</t>
  </si>
  <si>
    <t>14-08-2023 NEFT/AXISP00415726132/RIUP23/1510/R S CONSTRUCTIO 198000.00</t>
  </si>
  <si>
    <t>RIUP23/1615</t>
  </si>
  <si>
    <t>19-08-2023 NEFT/AXISP00416873977/RIUP23/1615/R S CONSTRUCTIO 66335.00</t>
  </si>
  <si>
    <t>RIUP23/1758</t>
  </si>
  <si>
    <t>RIUP23/1894</t>
  </si>
  <si>
    <t>RIUP23/344</t>
  </si>
  <si>
    <t>RIUP23/390</t>
  </si>
  <si>
    <t>19-08-2023 NEFT/AXISP00416873978/RIUP23/1616/R S CONSTRUCTIO 75627.00</t>
  </si>
  <si>
    <t>08-08-2023 NEFT/AXISP00413896714/RIUP23/1400/R S CONSTRUCTIO 148500.00</t>
  </si>
  <si>
    <t>01-08-2023 NEFT/AXISP00411668990/RIUPP23/1307/R S CONSTRUCTI 97941.00</t>
  </si>
  <si>
    <t>22-05-2023 NEFT/AXISP00391758882/RIUP23/344/R S CONSTRUCTION 198000.00</t>
  </si>
  <si>
    <t>25-05-2023 NEFT/AXISP00392563371/RIUP23/390/R S CONSTRUCTION 99000.00</t>
  </si>
  <si>
    <t>RIUP23/1307</t>
  </si>
  <si>
    <t>RIUP23/1400</t>
  </si>
  <si>
    <t>RIUP23/1616</t>
  </si>
  <si>
    <t>26-06-2023 NEFT/AXISP00400726013/RIUP23/851/R S CONSTRUCTION 99000.00</t>
  </si>
  <si>
    <t>12-06-2023 NEFT/AXISP00397581456/RIUP23/594/R S CONSTRUCTION 198000.00</t>
  </si>
  <si>
    <t>RIUP23/594</t>
  </si>
  <si>
    <t>RIUP23/851</t>
  </si>
  <si>
    <t>20-06-2023 NEFT/AXISP00399713958/RIUP23/753/R S CONSTRUCTION ₹ 1,98,000.00</t>
  </si>
  <si>
    <t>RIUP23/753</t>
  </si>
  <si>
    <t>11-10-2023 NEFT/AXISP00433203143/RIUP23/2620/R S CONSTRUCTION/ICIC0003726 99000.00</t>
  </si>
  <si>
    <t>RIUP23/2620</t>
  </si>
  <si>
    <t>11-10-2023 NEFT/AXISP00433203144/RIUP23/2619/R S CONSTRUCTION/ICIC0003726 99000.00</t>
  </si>
  <si>
    <t>RIUP23/2619</t>
  </si>
  <si>
    <t>22-09-2023 NEFT/AXISP00426907984/RIUP23/2215/R S CONSTRUCTION/ICIC0003726 99000.00</t>
  </si>
  <si>
    <t>02-08-2023 NEFT/AXISP00412149934/RIUP23/1306/R S CONSTRUCTIO 189274.00</t>
  </si>
  <si>
    <t>08-08-2023 NEFT/AXISP00413896713/RIUP23/1401/R S CONSTRUCTIO 148500.00</t>
  </si>
  <si>
    <t>19-08-2023 NEFT/AXISP00416873979/RIUP23/1614/R S CONSTRUCTIO 74159.00</t>
  </si>
  <si>
    <t>28-08-2023 NEFT/AXISP00418870947/RIUP23/1760/R S CONSTRUCTION/ICIC0003726 99000.00</t>
  </si>
  <si>
    <t>RIUP23/1306</t>
  </si>
  <si>
    <t>RIUP23/1401</t>
  </si>
  <si>
    <t>RIUP23/1614</t>
  </si>
  <si>
    <t>RIUP23/1760</t>
  </si>
  <si>
    <t>RIUP23/1895</t>
  </si>
  <si>
    <t>RIUP23/2215</t>
  </si>
  <si>
    <t>25-10-2023 NEFT/AXISP00436928379/RIUP23/2868/R S CONSTRUCTION/ICIC0003726 49500.00</t>
  </si>
  <si>
    <t>RIUP23/2216</t>
  </si>
  <si>
    <t>25-10-2023 NEFT/AXISP00436928378/RIUP23/2867/R S CONSTRUCTION/ICIC0003726 198000.00</t>
  </si>
  <si>
    <t>RIUP23/2867</t>
  </si>
  <si>
    <t>RIUP23/112</t>
  </si>
  <si>
    <t>06-05-2023 NEFT/AXISP00388047277/RIUP23/112/R S CONSTRUCTION 95415.00</t>
  </si>
  <si>
    <t>RIUP23/369</t>
  </si>
  <si>
    <t>25-05-2023 NEFT/AXISP00392595801/RIUP23/369/R S CONSTRUCTION 17525.00</t>
  </si>
  <si>
    <t>GST release note</t>
  </si>
  <si>
    <t>RIUP23/555</t>
  </si>
  <si>
    <t>09-06-2023 NEFT/AXISP00397387009/RIUP23/555/R S CONSTRUCTION 76440.00</t>
  </si>
  <si>
    <t>RIUP23/913</t>
  </si>
  <si>
    <t>28-06-2023 NEFT/AXISP00401332298/RIUP23/913/R S CONSTRUCTION 70497.0</t>
  </si>
  <si>
    <t>RIUP23/973</t>
  </si>
  <si>
    <t>01-07-2023 NEFT/AXISP00402820434/RIUP23/973/R S CONSTRUCTION 14040.00</t>
  </si>
  <si>
    <t>RIUP23/1669</t>
  </si>
  <si>
    <t>11-09-2023 NEFT/AXISP00423501800/RIUP23/1669/R S CONSTRUCTION 99581.00</t>
  </si>
  <si>
    <t>RIUP23/2085</t>
  </si>
  <si>
    <t>21-09-2023 NEFT/AXISP00426527274/RIUP23/2085/R S CONSTRUCTION 18290.00</t>
  </si>
  <si>
    <t>Sikandarpur Village OHT Work</t>
  </si>
  <si>
    <t>RIUP23/2213</t>
  </si>
  <si>
    <t>22-09-2023 NEFT/AXISP00426907982/RIUP23/2213/R S CONSTRUCTION 198000.00</t>
  </si>
  <si>
    <t>25-10-2023 NEFT/AXISP00436928377/RIUP23/2866/R S CONSTRUCTION/ICIC0003726 99000.00</t>
  </si>
  <si>
    <t>RIUP23/2866</t>
  </si>
  <si>
    <t>Patniprathapur Village OHT work</t>
  </si>
  <si>
    <t>20-09-2023 NEFT/AXISP00426340665/RIUP23/2132/R S CONSTRUCTION/ICIC0003726 46988.00</t>
  </si>
  <si>
    <t>22-09-2023 NEFT/AXISP00426907983/RIUP23/2214/R S CONSTRUCTION/ICIC0003726 148500.00</t>
  </si>
  <si>
    <t>03-10-2023 NEFT/AXISP00430096882/RIUP23/2447/R S CONSTRUCTION/ICIC0003726 83064.00</t>
  </si>
  <si>
    <t>RIUP23/2447</t>
  </si>
  <si>
    <t>10-11-2023 NEFT/AXISP00443237214/RIUP23/3212/R S CONSTRUCTION/ICIC0003726 198000.00</t>
  </si>
  <si>
    <t>RIUP23/852</t>
  </si>
  <si>
    <t>RIUP23/3212</t>
  </si>
  <si>
    <t>RIUP23/3575</t>
  </si>
  <si>
    <t>RIUP23/1759</t>
  </si>
  <si>
    <t>RIUP23/2132</t>
  </si>
  <si>
    <t>RIUP23/2214</t>
  </si>
  <si>
    <t>27-10-2023 NEFT/AXISP00437384100/RIUP23/2967/R S CONSTRUCTION/ICIC0003726 148500.00</t>
  </si>
  <si>
    <t>RIUP23/2967</t>
  </si>
  <si>
    <t>10-11-2023 NEFT/AXISP00443237215/RIUP23/3213/R S CONSTRUCTION/ICIC0003726 99000.00</t>
  </si>
  <si>
    <t>RIUP23/3213</t>
  </si>
  <si>
    <t>04-12-2023 NEFT/AXISP00449508364/RIUP23/3576/R S CONSTRUCTION/ICIC0003726 99000.00</t>
  </si>
  <si>
    <t>09-11-2023 NEFT/AXISP00442541874/RIUP23/3166/R S CONSTRUCTION/ICIC0003726 198000.00</t>
  </si>
  <si>
    <t>RIUP23/3166</t>
  </si>
  <si>
    <t>RIUP23/3576</t>
  </si>
  <si>
    <t>14-12-2023 NEFT/AXISP00452866511/RIUP23/3719/R S CONSTRUCTION/ICIC0003726 69300.00</t>
  </si>
  <si>
    <t>RIUP23/3719</t>
  </si>
  <si>
    <t>14-12-2023 NEFT/AXISP00452866510/RIUP23/3718/R S CONSTRUCTION/ICIC0003726 99000.00</t>
  </si>
  <si>
    <t>RIUP23/3718</t>
  </si>
  <si>
    <t>09-11-2023 NEFT/AXISP00442541869/RIUP23/3165/R S CONSTRUCTION/ICIC0003726 148500.00</t>
  </si>
  <si>
    <t>RIUP23/3165</t>
  </si>
  <si>
    <t xml:space="preserve"> </t>
  </si>
  <si>
    <t>20-12-2023 NEFT/AXISP00454416128/RIUP23/3876B/R S CONSTRUCTION/ICIC0003726 29700.00</t>
  </si>
  <si>
    <t>RIUP23/3876</t>
  </si>
  <si>
    <t>20-12-2023 NEFT/AXISP00454416129/RIUP23/3874/R S CONSTRUCTION/ICIC0003726 49500.00</t>
  </si>
  <si>
    <t>RIUP23/3874</t>
  </si>
  <si>
    <t>14-12-2023 NEFT/AXISP00452866509/RIUP23/3717/R S CONSTRUCTION/ICIC0003726 49500.00</t>
  </si>
  <si>
    <t>RIUP23/3717</t>
  </si>
  <si>
    <t>20-12-2023 NEFT/AXISP00454416130/RIUP23/3875/R S CONSTRUCTION/ICIC0003726 59400.00</t>
  </si>
  <si>
    <t>RIUP23/3875</t>
  </si>
  <si>
    <t>22-05-2023 NEFT/AXISP00391758881/RIUP23/343/R S CONSTRUCTION 198000.00</t>
  </si>
  <si>
    <t>RIUP23/343</t>
  </si>
  <si>
    <t>25-05-2023 NEFT/AXISP00392563370/RIUP23/389/R S CONSTRUCTION 99000.00</t>
  </si>
  <si>
    <t>21-09-2023 NEFT/AXISP00426527276/RIUP23/2133/R S CONSTRUCTION/ICIC0003726 77849.00</t>
  </si>
  <si>
    <t>15-05-2023 NEFT/AXISP00390249015/RIUP23/241/R S CONSTRUCTION 198000.00</t>
  </si>
  <si>
    <t>RIUP23/389</t>
  </si>
  <si>
    <t>RIUP23/2062</t>
  </si>
  <si>
    <t>RIUP23/2133</t>
  </si>
  <si>
    <t xml:space="preserve">Total Hold </t>
  </si>
  <si>
    <t>Total Debit</t>
  </si>
  <si>
    <t>Advance/ Surplus</t>
  </si>
  <si>
    <t>Advance Village Wise</t>
  </si>
  <si>
    <t>GST Remaining</t>
  </si>
  <si>
    <t>17-01-2024 NEFT/AXISP00463195067/RIUP23/4343/R S CONSTRUCTION/ICIC0003726 198000.00</t>
  </si>
  <si>
    <t>RIUP23/4343</t>
  </si>
  <si>
    <t>04-01-2024 NEFT/AXISP00459339755/RIUP23/4111/R S CONSTRUCTION/ICIC0003726 198000.00</t>
  </si>
  <si>
    <t>RIUP23/4111</t>
  </si>
  <si>
    <t>GST Release Note</t>
  </si>
  <si>
    <t>11-01-2024 NEFT/AXISP00461589001/RIUP23/4234/R S CONSTRUCTION/ICIC0003726 198000.00</t>
  </si>
  <si>
    <t>RIUP23/4234</t>
  </si>
  <si>
    <t>16-01-2024 NEFT/AXISP00462907317/RIUP23/4287/R S CONSTRUCTION/ICIC0003726 148500.00</t>
  </si>
  <si>
    <t>RIUP23/4287</t>
  </si>
  <si>
    <t>21-03-2023 NEFT/AXISP00373201707/RIUP22/2690/R S CONSTRUCTIO 297000.00</t>
  </si>
  <si>
    <t>RIUP23/2690</t>
  </si>
  <si>
    <t>27-03-2023 NEFT/AXISP00374579151/RIUP22/2741/R S CONSTRUCTIO 99000.00</t>
  </si>
  <si>
    <t>RIUP23/2741</t>
  </si>
  <si>
    <t>11-04-2023 NEFT/AXISP00380905275/SPUP23/0081/R S CONSTRUCTIO 29700.00</t>
  </si>
  <si>
    <t>RIUP23/0081</t>
  </si>
  <si>
    <t>02-05-2023 NEFT/AXISP00386671979/SPUP23/0322D/R S CONSTRUCTION 32223.00</t>
  </si>
  <si>
    <t>27-06-2023 NEFT/AXISP00401137693/RIUP23/249/R S CONSTRUCTION 111387.00</t>
  </si>
  <si>
    <t>RIUP23/0322</t>
  </si>
  <si>
    <t>RIUP23/249</t>
  </si>
  <si>
    <t>15-02-2024 NEFT/AXISP00471706639/RIUP23/4688/R S CONSTRUCTION/ICIC0003726 198000.00</t>
  </si>
  <si>
    <t>RIUP23/4688</t>
  </si>
  <si>
    <t>01-02-2024 NEFT/AXISP00467277196/RIUP23/4527/R S CONSTRUCTION/ICIC0003726 148500.00</t>
  </si>
  <si>
    <t>RIUP23/4527</t>
  </si>
  <si>
    <t>09-11-2023 NEFT/AXISP00442541934/RIUP23/3178/R S CONSTRUCTION/ICIC0003726 148500.00</t>
  </si>
  <si>
    <t>RIUP23/3178</t>
  </si>
  <si>
    <t>08-04-2024 NEFT/AXISP00489561227/RIUP24/099/R S CONSTRUCTION/ICIC0003726 99000.00</t>
  </si>
  <si>
    <t>22-03-2024 NEFT/AXISP00483444834/RIUP23/5255/R S CONSTRUCTION/ICIC0003726 99000.00</t>
  </si>
  <si>
    <t>21-03-2024 NEFT/AXISP00483037819/RIUP23/5228/R S CONSTRUCTION/ICIC0003726 198000.00</t>
  </si>
  <si>
    <t>21-03-2024 NEFT/AXISP00483037818/RIUP23/5229/R S CONSTRUCTION/ICIC0003726 99000.00</t>
  </si>
  <si>
    <t>22-03-2024 NEFT/AXISP00483444833/RIUP23/5254/R S CONSTRUCTION/ICIC0003726 99000.00</t>
  </si>
  <si>
    <t>22-02-2024 NEFT/AXISP00473278698/RIUP23/4806/R S CONSTRUCTION/ICIC0003726 148500.00</t>
  </si>
  <si>
    <t>14-06-2024 NEFT/AXISP00509460940/RIUP24/0868/R S CONSTRUCTION/ICIC0003726 198000.00</t>
  </si>
  <si>
    <t>14-06-2024 NEFT/AXISP00509460941/RIUP24/0867/R S CONSTRUCTION/ICIC0003726 99000.00</t>
  </si>
  <si>
    <t>04-12-2023 NEFT/AXISP00449363810/RIUP23/3575/R S CONSTRUCTION/ICIC0003726 148500.00</t>
  </si>
  <si>
    <t>22-02-2024 NEFT/AXISP00473278699/RIUP23/4807/R S CONSTRUCTION/ICIC0003726 198000.00</t>
  </si>
  <si>
    <t>28-02-2024 NEFT/AXISP00474825366/RIUP23/4901/R S CONSTRUCTION/ICIC0003726 198000.00</t>
  </si>
  <si>
    <t>GSB Bills Not processed</t>
  </si>
  <si>
    <t>Balance</t>
  </si>
  <si>
    <t>OHT Bills</t>
  </si>
  <si>
    <t>OHT GST</t>
  </si>
  <si>
    <t>04-04-2023 NEFT/AXISP00378278928/SWMH2223/205/R S CONSTRUCTI 171882.00 (Wrongly Paid to R S Construction)</t>
  </si>
  <si>
    <t>Updated On 03-01-2025</t>
  </si>
  <si>
    <t>Hold release Note</t>
  </si>
  <si>
    <t>07-09-2023 NEFT/AXISP00422772199/RIUP23/1895/R S CONSTRUCTION/ICIC0003726 198000.00</t>
  </si>
  <si>
    <t>16-09-2023 NEFT/AXISP00425555998/RIUP23/2062/R S CONSTRUCTION/ICIC0003726  148500.00</t>
  </si>
  <si>
    <t>07-09-2023 NEFT/AXISP00422772200/RIUP23/1894/R S CONSTRUCTION/ICIC0003726 198000.00</t>
  </si>
  <si>
    <t>Bills not Entered</t>
  </si>
  <si>
    <t xml:space="preserve">Extra  Debit </t>
  </si>
  <si>
    <t>Subcontractor:</t>
  </si>
  <si>
    <t>State:</t>
  </si>
  <si>
    <t>Uttar Pradesh</t>
  </si>
  <si>
    <t>District:</t>
  </si>
  <si>
    <t>Shamli</t>
  </si>
  <si>
    <t>Block:</t>
  </si>
  <si>
    <t>Bhameri Village OHT WOK 225KL 12MTR STAGING work</t>
  </si>
  <si>
    <t xml:space="preserve">KALAMAZRA Village OHT 275KL 16MTR work </t>
  </si>
  <si>
    <t>Rangana Village OHT WOK 300KL 12MTR STAGING work</t>
  </si>
  <si>
    <t>Singhra  Village OHT WOK 200KL 14MTR STAGING work</t>
  </si>
  <si>
    <t>Khanpur jatan Village OHT WOK 200KL 14MTR STAGING work</t>
  </si>
  <si>
    <t>Dhargapur Village OHT WOK 200KL 14MTR STAGING work</t>
  </si>
  <si>
    <t>Rajak Nagar village Pipeline work</t>
  </si>
  <si>
    <t xml:space="preserve">GUJJARPUR RAMNAGAR Village OHT 150KL 12MTR work </t>
  </si>
  <si>
    <t xml:space="preserve">Udpur Village OHT 250KL 18MTR work 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</si>
  <si>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</si>
  <si>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</si>
  <si>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</si>
  <si>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</si>
  <si>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</si>
  <si>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</si>
  <si>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</si>
  <si>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</si>
  <si>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</si>
  <si>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</si>
  <si>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</si>
  <si>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</si>
  <si>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</si>
  <si>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</si>
  <si>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</si>
  <si>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</si>
  <si>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</si>
  <si>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 xml:space="preserve"> common village JCB Hire works</t>
  </si>
  <si>
    <t xml:space="preserve"> common village 01-04-2023 to 30-04-2023 work</t>
  </si>
  <si>
    <t xml:space="preserve"> common village 01-05-2023 to 31-05-2023 work</t>
  </si>
  <si>
    <t xml:space="preserve"> common village June Month work</t>
  </si>
  <si>
    <t xml:space="preserve"> common village July Month 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</si>
</sst>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 * #,##0.00_ ;_ * \-#,##0.00_ ;_ * &quot;-&quot;??_ ;_ @_ "/>
    <numFmt numFmtId="165" formatCode="&quot;₹&quot;\ #,##0.00"/>
    <numFmt numFmtId="166" formatCode="mm/dd/yy;@"/>
    <numFmt numFmtId="167" formatCode="[$-409]d/mmm/yyyy;@"/>
    <numFmt numFmtId="168" formatCode="[$-409]d/mmm/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0"/>
      <color theme="1"/>
      <name val="Comic Sans MS"/>
      <family val="4"/>
    </font>
    <font>
      <sz val="10"/>
      <color theme="1"/>
      <name val="Comic Sans MS"/>
      <family val="4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0"/>
      <color rgb="FFFF0000"/>
      <name val="Comic Sans MS"/>
      <family val="4"/>
    </font>
    <font>
      <b/>
      <sz val="12"/>
      <color theme="1"/>
      <name val="Calibri"/>
      <family val="2"/>
      <scheme val="minor"/>
    </font>
    <font>
      <sz val="10"/>
      <color rgb="FFFF0000"/>
      <name val="Comic Sans MS"/>
      <family val="4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0" fillId="2" borderId="0" xfId="0" applyFill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164" fontId="6" fillId="2" borderId="6" xfId="1" applyNumberFormat="1" applyFont="1" applyFill="1" applyBorder="1" applyAlignment="1">
      <alignment vertical="center"/>
    </xf>
    <xf numFmtId="164" fontId="6" fillId="2" borderId="9" xfId="1" applyNumberFormat="1" applyFont="1" applyFill="1" applyBorder="1" applyAlignment="1">
      <alignment vertical="center"/>
    </xf>
    <xf numFmtId="164" fontId="6" fillId="2" borderId="3" xfId="1" applyNumberFormat="1" applyFont="1" applyFill="1" applyBorder="1" applyAlignment="1">
      <alignment vertical="center"/>
    </xf>
    <xf numFmtId="164" fontId="6" fillId="2" borderId="2" xfId="1" applyNumberFormat="1" applyFont="1" applyFill="1" applyBorder="1" applyAlignment="1">
      <alignment vertical="center"/>
    </xf>
    <xf numFmtId="164" fontId="6" fillId="2" borderId="4" xfId="1" applyNumberFormat="1" applyFont="1" applyFill="1" applyBorder="1" applyAlignment="1">
      <alignment vertical="center"/>
    </xf>
    <xf numFmtId="164" fontId="6" fillId="2" borderId="7" xfId="1" applyNumberFormat="1" applyFont="1" applyFill="1" applyBorder="1" applyAlignment="1">
      <alignment vertical="center"/>
    </xf>
    <xf numFmtId="164" fontId="5" fillId="2" borderId="2" xfId="1" applyNumberFormat="1" applyFont="1" applyFill="1" applyBorder="1" applyAlignment="1">
      <alignment vertical="center"/>
    </xf>
    <xf numFmtId="164" fontId="5" fillId="2" borderId="3" xfId="1" applyNumberFormat="1" applyFont="1" applyFill="1" applyBorder="1" applyAlignment="1">
      <alignment vertical="center"/>
    </xf>
    <xf numFmtId="0" fontId="0" fillId="2" borderId="0" xfId="0" applyFill="1" applyAlignment="1">
      <alignment vertical="center" wrapText="1"/>
    </xf>
    <xf numFmtId="164" fontId="2" fillId="2" borderId="3" xfId="1" applyNumberFormat="1" applyFont="1" applyFill="1" applyBorder="1" applyAlignment="1">
      <alignment vertical="center"/>
    </xf>
    <xf numFmtId="164" fontId="6" fillId="2" borderId="1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6" fillId="2" borderId="0" xfId="1" applyNumberFormat="1" applyFont="1" applyFill="1" applyBorder="1" applyAlignment="1">
      <alignment vertical="center"/>
    </xf>
    <xf numFmtId="164" fontId="2" fillId="3" borderId="6" xfId="1" applyNumberFormat="1" applyFont="1" applyFill="1" applyBorder="1" applyAlignment="1">
      <alignment vertical="center"/>
    </xf>
    <xf numFmtId="9" fontId="6" fillId="2" borderId="10" xfId="1" applyNumberFormat="1" applyFont="1" applyFill="1" applyBorder="1" applyAlignment="1">
      <alignment vertical="center"/>
    </xf>
    <xf numFmtId="164" fontId="6" fillId="3" borderId="6" xfId="1" applyNumberFormat="1" applyFont="1" applyFill="1" applyBorder="1" applyAlignment="1">
      <alignment vertical="center"/>
    </xf>
    <xf numFmtId="9" fontId="6" fillId="3" borderId="6" xfId="1" applyNumberFormat="1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9" fontId="2" fillId="3" borderId="6" xfId="1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164" fontId="6" fillId="2" borderId="7" xfId="1" applyNumberFormat="1" applyFont="1" applyFill="1" applyBorder="1" applyAlignment="1">
      <alignment horizontal="right" vertical="center"/>
    </xf>
    <xf numFmtId="164" fontId="6" fillId="2" borderId="6" xfId="1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164" fontId="0" fillId="3" borderId="6" xfId="0" applyNumberFormat="1" applyFill="1" applyBorder="1" applyAlignment="1">
      <alignment vertical="center"/>
    </xf>
    <xf numFmtId="164" fontId="0" fillId="2" borderId="6" xfId="0" applyNumberFormat="1" applyFill="1" applyBorder="1" applyAlignment="1">
      <alignment vertical="center"/>
    </xf>
    <xf numFmtId="164" fontId="6" fillId="2" borderId="12" xfId="1" applyNumberFormat="1" applyFont="1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164" fontId="3" fillId="2" borderId="6" xfId="0" applyNumberFormat="1" applyFont="1" applyFill="1" applyBorder="1" applyAlignment="1">
      <alignment horizontal="center" vertical="center" wrapText="1"/>
    </xf>
    <xf numFmtId="43" fontId="0" fillId="2" borderId="6" xfId="0" applyNumberFormat="1" applyFill="1" applyBorder="1" applyAlignment="1">
      <alignment vertical="center"/>
    </xf>
    <xf numFmtId="0" fontId="10" fillId="3" borderId="6" xfId="0" applyFont="1" applyFill="1" applyBorder="1"/>
    <xf numFmtId="0" fontId="5" fillId="2" borderId="7" xfId="0" applyFont="1" applyFill="1" applyBorder="1" applyAlignment="1">
      <alignment horizontal="center" vertical="center" wrapText="1"/>
    </xf>
    <xf numFmtId="164" fontId="0" fillId="3" borderId="7" xfId="0" applyNumberForma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2" borderId="10" xfId="1" applyNumberFormat="1" applyFont="1" applyFill="1" applyBorder="1" applyAlignment="1">
      <alignment horizontal="center" vertical="center"/>
    </xf>
    <xf numFmtId="0" fontId="6" fillId="3" borderId="6" xfId="1" applyNumberFormat="1" applyFont="1" applyFill="1" applyBorder="1" applyAlignment="1">
      <alignment horizontal="center" vertical="center"/>
    </xf>
    <xf numFmtId="0" fontId="6" fillId="2" borderId="6" xfId="1" applyNumberFormat="1" applyFont="1" applyFill="1" applyBorder="1" applyAlignment="1">
      <alignment horizontal="center" vertical="center"/>
    </xf>
    <xf numFmtId="0" fontId="2" fillId="3" borderId="6" xfId="1" applyNumberFormat="1" applyFont="1" applyFill="1" applyBorder="1" applyAlignment="1">
      <alignment horizontal="center" vertical="center"/>
    </xf>
    <xf numFmtId="0" fontId="6" fillId="2" borderId="2" xfId="1" applyNumberFormat="1" applyFont="1" applyFill="1" applyBorder="1" applyAlignment="1">
      <alignment horizontal="center" vertical="center"/>
    </xf>
    <xf numFmtId="0" fontId="6" fillId="2" borderId="4" xfId="1" applyNumberFormat="1" applyFont="1" applyFill="1" applyBorder="1" applyAlignment="1">
      <alignment horizontal="center" vertical="center"/>
    </xf>
    <xf numFmtId="0" fontId="6" fillId="2" borderId="0" xfId="1" applyNumberFormat="1" applyFont="1" applyFill="1" applyBorder="1" applyAlignment="1">
      <alignment horizontal="center" vertical="center"/>
    </xf>
    <xf numFmtId="165" fontId="0" fillId="2" borderId="0" xfId="0" applyNumberFormat="1" applyFill="1" applyAlignment="1">
      <alignment vertical="center"/>
    </xf>
    <xf numFmtId="0" fontId="11" fillId="2" borderId="6" xfId="0" applyFont="1" applyFill="1" applyBorder="1" applyAlignment="1">
      <alignment horizontal="center" vertical="center" wrapText="1"/>
    </xf>
    <xf numFmtId="164" fontId="13" fillId="2" borderId="6" xfId="1" applyNumberFormat="1" applyFont="1" applyFill="1" applyBorder="1" applyAlignment="1">
      <alignment vertical="center"/>
    </xf>
    <xf numFmtId="0" fontId="5" fillId="2" borderId="4" xfId="1" applyNumberFormat="1" applyFont="1" applyFill="1" applyBorder="1" applyAlignment="1">
      <alignment horizontal="center" vertical="center"/>
    </xf>
    <xf numFmtId="164" fontId="5" fillId="2" borderId="4" xfId="1" applyNumberFormat="1" applyFont="1" applyFill="1" applyBorder="1" applyAlignment="1">
      <alignment vertical="center"/>
    </xf>
    <xf numFmtId="164" fontId="5" fillId="2" borderId="9" xfId="1" applyNumberFormat="1" applyFont="1" applyFill="1" applyBorder="1" applyAlignment="1">
      <alignment vertical="center"/>
    </xf>
    <xf numFmtId="43" fontId="12" fillId="2" borderId="13" xfId="1" applyFont="1" applyFill="1" applyBorder="1" applyAlignment="1">
      <alignment vertical="center"/>
    </xf>
    <xf numFmtId="164" fontId="14" fillId="2" borderId="2" xfId="1" applyNumberFormat="1" applyFont="1" applyFill="1" applyBorder="1" applyAlignment="1">
      <alignment vertical="center"/>
    </xf>
    <xf numFmtId="164" fontId="15" fillId="2" borderId="2" xfId="1" applyNumberFormat="1" applyFont="1" applyFill="1" applyBorder="1" applyAlignment="1">
      <alignment vertical="center"/>
    </xf>
    <xf numFmtId="164" fontId="14" fillId="2" borderId="4" xfId="1" applyNumberFormat="1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166" fontId="0" fillId="0" borderId="0" xfId="0" applyNumberFormat="1" applyFont="1"/>
    <xf numFmtId="166" fontId="6" fillId="2" borderId="10" xfId="1" applyNumberFormat="1" applyFont="1" applyFill="1" applyBorder="1" applyAlignment="1">
      <alignment vertical="center"/>
    </xf>
    <xf numFmtId="166" fontId="6" fillId="3" borderId="6" xfId="1" applyNumberFormat="1" applyFont="1" applyFill="1" applyBorder="1" applyAlignment="1">
      <alignment vertical="center"/>
    </xf>
    <xf numFmtId="166" fontId="6" fillId="2" borderId="6" xfId="0" applyNumberFormat="1" applyFont="1" applyFill="1" applyBorder="1" applyAlignment="1">
      <alignment horizontal="center" vertical="center"/>
    </xf>
    <xf numFmtId="166" fontId="6" fillId="3" borderId="6" xfId="0" applyNumberFormat="1" applyFont="1" applyFill="1" applyBorder="1" applyAlignment="1">
      <alignment horizontal="center" vertical="center"/>
    </xf>
    <xf numFmtId="166" fontId="6" fillId="2" borderId="6" xfId="1" applyNumberFormat="1" applyFont="1" applyFill="1" applyBorder="1" applyAlignment="1">
      <alignment vertical="center"/>
    </xf>
    <xf numFmtId="166" fontId="2" fillId="2" borderId="6" xfId="0" applyNumberFormat="1" applyFont="1" applyFill="1" applyBorder="1" applyAlignment="1">
      <alignment horizontal="center" vertical="center"/>
    </xf>
    <xf numFmtId="166" fontId="2" fillId="3" borderId="6" xfId="1" applyNumberFormat="1" applyFont="1" applyFill="1" applyBorder="1" applyAlignment="1">
      <alignment vertical="center"/>
    </xf>
    <xf numFmtId="166" fontId="6" fillId="2" borderId="7" xfId="0" applyNumberFormat="1" applyFont="1" applyFill="1" applyBorder="1" applyAlignment="1">
      <alignment horizontal="center" vertical="center"/>
    </xf>
    <xf numFmtId="166" fontId="6" fillId="2" borderId="2" xfId="1" applyNumberFormat="1" applyFont="1" applyFill="1" applyBorder="1" applyAlignment="1">
      <alignment vertical="center"/>
    </xf>
    <xf numFmtId="166" fontId="6" fillId="2" borderId="4" xfId="1" applyNumberFormat="1" applyFont="1" applyFill="1" applyBorder="1" applyAlignment="1">
      <alignment vertical="center"/>
    </xf>
    <xf numFmtId="166" fontId="6" fillId="2" borderId="0" xfId="1" applyNumberFormat="1" applyFont="1" applyFill="1" applyBorder="1" applyAlignment="1">
      <alignment vertical="center"/>
    </xf>
    <xf numFmtId="166" fontId="0" fillId="2" borderId="0" xfId="0" applyNumberFormat="1" applyFill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 wrapText="1"/>
    </xf>
    <xf numFmtId="14" fontId="4" fillId="2" borderId="10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64" fontId="16" fillId="2" borderId="10" xfId="1" applyNumberFormat="1" applyFont="1" applyFill="1" applyBorder="1" applyAlignment="1">
      <alignment horizontal="center" vertical="center"/>
    </xf>
    <xf numFmtId="164" fontId="4" fillId="2" borderId="10" xfId="1" applyNumberFormat="1" applyFont="1" applyFill="1" applyBorder="1" applyAlignment="1">
      <alignment horizontal="center" vertical="center"/>
    </xf>
    <xf numFmtId="167" fontId="6" fillId="2" borderId="6" xfId="0" applyNumberFormat="1" applyFont="1" applyFill="1" applyBorder="1" applyAlignment="1">
      <alignment horizontal="center" vertical="center"/>
    </xf>
    <xf numFmtId="168" fontId="6" fillId="2" borderId="6" xfId="0" applyNumberFormat="1" applyFont="1" applyFill="1" applyBorder="1" applyAlignment="1">
      <alignment horizontal="center" vertical="center"/>
    </xf>
    <xf numFmtId="168" fontId="6" fillId="2" borderId="6" xfId="1" applyNumberFormat="1" applyFont="1" applyFill="1" applyBorder="1" applyAlignment="1">
      <alignment vertical="center"/>
    </xf>
    <xf numFmtId="168" fontId="2" fillId="2" borderId="6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165" fontId="4" fillId="2" borderId="19" xfId="0" applyNumberFormat="1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5" fontId="4" fillId="2" borderId="21" xfId="0" applyNumberFormat="1" applyFont="1" applyFill="1" applyBorder="1" applyAlignment="1">
      <alignment horizontal="center" vertical="center"/>
    </xf>
    <xf numFmtId="165" fontId="4" fillId="2" borderId="22" xfId="0" applyNumberFormat="1" applyFont="1" applyFill="1" applyBorder="1" applyAlignment="1">
      <alignment horizontal="center" vertical="center"/>
    </xf>
    <xf numFmtId="165" fontId="4" fillId="2" borderId="2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5"/>
  <sheetViews>
    <sheetView tabSelected="1" zoomScaleNormal="100" workbookViewId="0">
      <pane ySplit="5" topLeftCell="A112" activePane="bottomLeft" state="frozen"/>
      <selection pane="bottomLeft" activeCell="B4" sqref="B4"/>
    </sheetView>
  </sheetViews>
  <sheetFormatPr defaultColWidth="9" defaultRowHeight="24.9" customHeight="1" x14ac:dyDescent="0.3"/>
  <cols>
    <col min="1" max="1" width="9" style="1"/>
    <col min="2" max="2" width="32" style="1" customWidth="1"/>
    <col min="3" max="3" width="12.5546875" style="90" customWidth="1"/>
    <col min="4" max="4" width="11.5546875" style="57" customWidth="1"/>
    <col min="5" max="5" width="19.33203125" style="1" customWidth="1"/>
    <col min="6" max="6" width="15.6640625" style="1" customWidth="1"/>
    <col min="7" max="7" width="19.6640625" style="1" customWidth="1"/>
    <col min="8" max="8" width="14.6640625" style="3" customWidth="1"/>
    <col min="9" max="9" width="12.88671875" style="3" customWidth="1"/>
    <col min="10" max="10" width="10.6640625" style="1" customWidth="1"/>
    <col min="11" max="11" width="14.5546875" style="1" customWidth="1"/>
    <col min="12" max="12" width="14.88671875" style="1" customWidth="1"/>
    <col min="13" max="14" width="16.33203125" style="1" customWidth="1"/>
    <col min="15" max="15" width="13.88671875" style="1" customWidth="1"/>
    <col min="16" max="16" width="14.5546875" style="1" customWidth="1"/>
    <col min="17" max="17" width="17.6640625" style="1" customWidth="1"/>
    <col min="18" max="18" width="15.44140625" style="1" customWidth="1"/>
    <col min="19" max="19" width="24.44140625" style="1" customWidth="1"/>
    <col min="20" max="20" width="18.33203125" style="1" bestFit="1" customWidth="1"/>
    <col min="21" max="21" width="14.5546875" style="1" customWidth="1"/>
    <col min="22" max="22" width="18" style="1" customWidth="1"/>
    <col min="23" max="23" width="98.6640625" style="1" customWidth="1"/>
    <col min="24" max="24" width="17" style="1" customWidth="1"/>
    <col min="25" max="16384" width="9" style="1"/>
  </cols>
  <sheetData>
    <row r="1" spans="1:24" s="77" customFormat="1" ht="24.9" customHeight="1" x14ac:dyDescent="0.3">
      <c r="A1" s="75" t="s">
        <v>193</v>
      </c>
      <c r="B1" s="76" t="s">
        <v>8</v>
      </c>
      <c r="C1" s="78"/>
    </row>
    <row r="2" spans="1:24" s="77" customFormat="1" ht="24.9" customHeight="1" x14ac:dyDescent="0.3">
      <c r="A2" s="75" t="s">
        <v>194</v>
      </c>
      <c r="B2" s="77" t="s">
        <v>195</v>
      </c>
      <c r="C2" s="78"/>
    </row>
    <row r="3" spans="1:24" s="77" customFormat="1" ht="30.6" customHeight="1" x14ac:dyDescent="0.3">
      <c r="A3" s="75" t="s">
        <v>196</v>
      </c>
      <c r="B3" s="75" t="s">
        <v>197</v>
      </c>
      <c r="C3" s="78"/>
    </row>
    <row r="4" spans="1:24" s="77" customFormat="1" ht="24.9" customHeight="1" thickBot="1" x14ac:dyDescent="0.35">
      <c r="A4" s="75" t="s">
        <v>198</v>
      </c>
      <c r="B4" s="75" t="s">
        <v>197</v>
      </c>
      <c r="C4" s="78"/>
    </row>
    <row r="5" spans="1:24" s="13" customFormat="1" ht="31.5" customHeight="1" thickBot="1" x14ac:dyDescent="0.35">
      <c r="A5" s="91" t="s">
        <v>208</v>
      </c>
      <c r="B5" s="92" t="s">
        <v>209</v>
      </c>
      <c r="C5" s="93" t="s">
        <v>210</v>
      </c>
      <c r="D5" s="94" t="s">
        <v>211</v>
      </c>
      <c r="E5" s="92" t="s">
        <v>212</v>
      </c>
      <c r="F5" s="92" t="s">
        <v>213</v>
      </c>
      <c r="G5" s="94" t="s">
        <v>214</v>
      </c>
      <c r="H5" s="95" t="s">
        <v>215</v>
      </c>
      <c r="I5" s="96" t="s">
        <v>0</v>
      </c>
      <c r="J5" s="92" t="s">
        <v>216</v>
      </c>
      <c r="K5" s="92" t="s">
        <v>217</v>
      </c>
      <c r="L5" s="92" t="s">
        <v>218</v>
      </c>
      <c r="M5" s="92" t="s">
        <v>219</v>
      </c>
      <c r="N5" s="92" t="s">
        <v>220</v>
      </c>
      <c r="O5" s="38" t="s">
        <v>7</v>
      </c>
      <c r="P5" s="38" t="s">
        <v>6</v>
      </c>
      <c r="Q5" s="92" t="s">
        <v>221</v>
      </c>
      <c r="R5" s="4"/>
      <c r="S5" s="37" t="s">
        <v>1</v>
      </c>
      <c r="T5" s="92" t="s">
        <v>222</v>
      </c>
      <c r="U5" s="92" t="s">
        <v>223</v>
      </c>
      <c r="V5" s="92" t="s">
        <v>224</v>
      </c>
      <c r="W5" s="92" t="s">
        <v>2</v>
      </c>
      <c r="X5" s="39" t="s">
        <v>143</v>
      </c>
    </row>
    <row r="6" spans="1:24" ht="24.9" customHeight="1" x14ac:dyDescent="0.3">
      <c r="B6" s="15"/>
      <c r="C6" s="79"/>
      <c r="D6" s="58"/>
      <c r="E6" s="15"/>
      <c r="F6" s="15"/>
      <c r="G6" s="15"/>
      <c r="H6" s="15"/>
      <c r="I6" s="15"/>
      <c r="J6" s="19">
        <v>0.01</v>
      </c>
      <c r="K6" s="19">
        <v>0.05</v>
      </c>
      <c r="L6" s="19">
        <v>0.1</v>
      </c>
      <c r="M6" s="19">
        <v>0.1</v>
      </c>
      <c r="N6" s="19">
        <v>0.18</v>
      </c>
      <c r="O6" s="15">
        <v>0</v>
      </c>
      <c r="P6" s="15"/>
      <c r="Q6" s="15"/>
      <c r="R6" s="40"/>
      <c r="S6" s="15"/>
      <c r="T6" s="15"/>
      <c r="U6" s="19">
        <v>0.01</v>
      </c>
      <c r="V6" s="15"/>
      <c r="W6" s="15"/>
      <c r="X6" s="41"/>
    </row>
    <row r="7" spans="1:24" s="16" customFormat="1" ht="24.9" customHeight="1" x14ac:dyDescent="0.3">
      <c r="B7" s="20"/>
      <c r="C7" s="80"/>
      <c r="D7" s="59"/>
      <c r="E7" s="20"/>
      <c r="F7" s="20"/>
      <c r="G7" s="20"/>
      <c r="H7" s="20"/>
      <c r="I7" s="20"/>
      <c r="J7" s="21"/>
      <c r="K7" s="21"/>
      <c r="L7" s="21"/>
      <c r="M7" s="21"/>
      <c r="N7" s="21"/>
      <c r="O7" s="20"/>
      <c r="P7" s="20"/>
      <c r="Q7" s="20"/>
      <c r="R7" s="42">
        <f>A8</f>
        <v>57278</v>
      </c>
      <c r="S7" s="20"/>
      <c r="T7" s="20"/>
      <c r="U7" s="21"/>
      <c r="V7" s="20"/>
      <c r="W7" s="20"/>
      <c r="X7" s="31"/>
    </row>
    <row r="8" spans="1:24" ht="24.9" customHeight="1" x14ac:dyDescent="0.3">
      <c r="A8" s="1">
        <v>57278</v>
      </c>
      <c r="B8" s="22" t="s">
        <v>199</v>
      </c>
      <c r="C8" s="98">
        <v>45131</v>
      </c>
      <c r="D8" s="54">
        <v>8</v>
      </c>
      <c r="E8" s="5">
        <v>472500</v>
      </c>
      <c r="F8" s="5">
        <v>60505.95</v>
      </c>
      <c r="G8" s="5">
        <f t="shared" ref="G8:G13" si="0">E8-F8</f>
        <v>411994.05</v>
      </c>
      <c r="H8" s="5">
        <f>ROUND(G8*18%,)</f>
        <v>74159</v>
      </c>
      <c r="I8" s="5">
        <f t="shared" ref="I8:I13" si="1">G8+H8</f>
        <v>486153.05</v>
      </c>
      <c r="J8" s="5">
        <f>ROUND(G8*1%,)</f>
        <v>4120</v>
      </c>
      <c r="K8" s="5">
        <f>G8*5%</f>
        <v>20599.702499999999</v>
      </c>
      <c r="L8" s="5">
        <v>0</v>
      </c>
      <c r="M8" s="5">
        <v>0</v>
      </c>
      <c r="N8" s="5">
        <f>G8*N6</f>
        <v>74158.928999999989</v>
      </c>
      <c r="O8" s="5">
        <v>0</v>
      </c>
      <c r="P8" s="5">
        <v>0</v>
      </c>
      <c r="Q8" s="5">
        <f t="shared" ref="Q8:Q13" si="2">I8-SUM(J8:P8)</f>
        <v>387274.41850000003</v>
      </c>
      <c r="R8" s="43"/>
      <c r="S8" s="5" t="s">
        <v>10</v>
      </c>
      <c r="T8" s="5">
        <v>200000</v>
      </c>
      <c r="U8" s="5">
        <f>T8*1%</f>
        <v>2000</v>
      </c>
      <c r="V8" s="5">
        <f>T8-U8</f>
        <v>198000</v>
      </c>
      <c r="W8" s="5" t="s">
        <v>136</v>
      </c>
      <c r="X8" s="30"/>
    </row>
    <row r="9" spans="1:24" ht="24.9" customHeight="1" x14ac:dyDescent="0.3">
      <c r="A9" s="1">
        <v>57278</v>
      </c>
      <c r="B9" s="22" t="s">
        <v>33</v>
      </c>
      <c r="C9" s="98">
        <v>45156</v>
      </c>
      <c r="D9" s="54">
        <v>8</v>
      </c>
      <c r="E9" s="5">
        <f>N8</f>
        <v>74158.928999999989</v>
      </c>
      <c r="F9" s="5"/>
      <c r="G9" s="5">
        <f t="shared" si="0"/>
        <v>74158.928999999989</v>
      </c>
      <c r="H9" s="5"/>
      <c r="I9" s="5">
        <f t="shared" si="1"/>
        <v>74158.928999999989</v>
      </c>
      <c r="J9" s="5"/>
      <c r="K9" s="5"/>
      <c r="L9" s="5"/>
      <c r="M9" s="5"/>
      <c r="N9" s="5"/>
      <c r="O9" s="5"/>
      <c r="P9" s="5"/>
      <c r="Q9" s="5">
        <f t="shared" si="2"/>
        <v>74158.928999999989</v>
      </c>
      <c r="R9" s="43"/>
      <c r="S9" s="5" t="s">
        <v>67</v>
      </c>
      <c r="T9" s="5">
        <v>189274</v>
      </c>
      <c r="U9" s="5">
        <v>0</v>
      </c>
      <c r="V9" s="5">
        <f t="shared" ref="V9:V12" si="3">T9-U9</f>
        <v>189274</v>
      </c>
      <c r="W9" s="5" t="s">
        <v>63</v>
      </c>
      <c r="X9" s="30"/>
    </row>
    <row r="10" spans="1:24" ht="24.9" customHeight="1" x14ac:dyDescent="0.3">
      <c r="A10" s="1">
        <v>57278</v>
      </c>
      <c r="B10" s="22" t="s">
        <v>199</v>
      </c>
      <c r="C10" s="98">
        <v>45182</v>
      </c>
      <c r="D10" s="54">
        <v>14</v>
      </c>
      <c r="E10" s="5">
        <v>315000</v>
      </c>
      <c r="F10" s="5">
        <v>146355</v>
      </c>
      <c r="G10" s="5">
        <f t="shared" si="0"/>
        <v>168645</v>
      </c>
      <c r="H10" s="5">
        <f>ROUND(G10*18%,)</f>
        <v>30356</v>
      </c>
      <c r="I10" s="5">
        <f t="shared" si="1"/>
        <v>199001</v>
      </c>
      <c r="J10" s="5">
        <f>ROUND(G10*1%,)</f>
        <v>1686</v>
      </c>
      <c r="K10" s="5">
        <f>G10*5%</f>
        <v>8432.25</v>
      </c>
      <c r="L10" s="5">
        <v>0</v>
      </c>
      <c r="M10" s="5">
        <v>0</v>
      </c>
      <c r="N10" s="5">
        <f>G10*N6</f>
        <v>30356.1</v>
      </c>
      <c r="O10" s="5">
        <v>0</v>
      </c>
      <c r="P10" s="5">
        <v>0</v>
      </c>
      <c r="Q10" s="5">
        <f t="shared" si="2"/>
        <v>158526.65</v>
      </c>
      <c r="R10" s="43"/>
      <c r="S10" s="5" t="s">
        <v>68</v>
      </c>
      <c r="T10" s="5">
        <v>150000</v>
      </c>
      <c r="U10" s="5">
        <f t="shared" ref="U10:U12" si="4">T10*1%</f>
        <v>1500</v>
      </c>
      <c r="V10" s="5">
        <f t="shared" si="3"/>
        <v>148500</v>
      </c>
      <c r="W10" s="5" t="s">
        <v>64</v>
      </c>
      <c r="X10" s="30"/>
    </row>
    <row r="11" spans="1:24" ht="24.9" customHeight="1" x14ac:dyDescent="0.3">
      <c r="A11" s="1">
        <v>57278</v>
      </c>
      <c r="B11" s="22" t="s">
        <v>33</v>
      </c>
      <c r="C11" s="98">
        <v>45156</v>
      </c>
      <c r="D11" s="54">
        <v>14</v>
      </c>
      <c r="E11" s="5">
        <f>N10</f>
        <v>30356.1</v>
      </c>
      <c r="F11" s="5"/>
      <c r="G11" s="5">
        <f t="shared" si="0"/>
        <v>30356.1</v>
      </c>
      <c r="H11" s="5"/>
      <c r="I11" s="5">
        <f t="shared" si="1"/>
        <v>30356.1</v>
      </c>
      <c r="J11" s="5"/>
      <c r="K11" s="5"/>
      <c r="L11" s="5"/>
      <c r="M11" s="5"/>
      <c r="N11" s="5"/>
      <c r="O11" s="5"/>
      <c r="P11" s="5"/>
      <c r="Q11" s="5">
        <f t="shared" si="2"/>
        <v>30356.1</v>
      </c>
      <c r="R11" s="43"/>
      <c r="S11" s="5" t="s">
        <v>69</v>
      </c>
      <c r="T11" s="5">
        <v>74159</v>
      </c>
      <c r="U11" s="5">
        <v>0</v>
      </c>
      <c r="V11" s="5">
        <f t="shared" si="3"/>
        <v>74159</v>
      </c>
      <c r="W11" s="5" t="s">
        <v>65</v>
      </c>
      <c r="X11" s="30"/>
    </row>
    <row r="12" spans="1:24" ht="24.9" customHeight="1" x14ac:dyDescent="0.3">
      <c r="A12" s="1">
        <v>57278</v>
      </c>
      <c r="B12" s="22" t="s">
        <v>199</v>
      </c>
      <c r="C12" s="98">
        <v>45189</v>
      </c>
      <c r="D12" s="54">
        <v>16</v>
      </c>
      <c r="E12" s="5">
        <v>315000</v>
      </c>
      <c r="F12" s="5">
        <v>71384</v>
      </c>
      <c r="G12" s="5">
        <f t="shared" si="0"/>
        <v>243616</v>
      </c>
      <c r="H12" s="5">
        <f>ROUND(G12*18%,)</f>
        <v>43851</v>
      </c>
      <c r="I12" s="5">
        <f t="shared" si="1"/>
        <v>287467</v>
      </c>
      <c r="J12" s="5">
        <f>ROUND(G12*1%,)</f>
        <v>2436</v>
      </c>
      <c r="K12" s="5">
        <f>G12*5%</f>
        <v>12180.800000000001</v>
      </c>
      <c r="L12" s="5">
        <v>0</v>
      </c>
      <c r="M12" s="5">
        <v>0</v>
      </c>
      <c r="N12" s="5">
        <f>G12*N6</f>
        <v>43850.879999999997</v>
      </c>
      <c r="O12" s="5">
        <v>0</v>
      </c>
      <c r="P12" s="5">
        <v>0</v>
      </c>
      <c r="Q12" s="5">
        <f t="shared" si="2"/>
        <v>228999.32</v>
      </c>
      <c r="R12" s="43"/>
      <c r="S12" s="5" t="s">
        <v>70</v>
      </c>
      <c r="T12" s="5">
        <v>100000</v>
      </c>
      <c r="U12" s="5">
        <f t="shared" si="4"/>
        <v>1000</v>
      </c>
      <c r="V12" s="5">
        <f t="shared" si="3"/>
        <v>99000</v>
      </c>
      <c r="W12" s="5" t="s">
        <v>66</v>
      </c>
      <c r="X12" s="30"/>
    </row>
    <row r="13" spans="1:24" ht="24.9" customHeight="1" x14ac:dyDescent="0.3">
      <c r="A13" s="1">
        <v>57278</v>
      </c>
      <c r="B13" s="22" t="s">
        <v>33</v>
      </c>
      <c r="C13" s="98">
        <v>45156</v>
      </c>
      <c r="D13" s="54">
        <v>16</v>
      </c>
      <c r="E13" s="5">
        <f>N12</f>
        <v>43850.879999999997</v>
      </c>
      <c r="F13" s="5"/>
      <c r="G13" s="5">
        <f t="shared" si="0"/>
        <v>43850.879999999997</v>
      </c>
      <c r="H13" s="5"/>
      <c r="I13" s="5">
        <f t="shared" si="1"/>
        <v>43850.879999999997</v>
      </c>
      <c r="J13" s="5"/>
      <c r="K13" s="5"/>
      <c r="L13" s="5"/>
      <c r="M13" s="5"/>
      <c r="N13" s="5"/>
      <c r="O13" s="5"/>
      <c r="P13" s="5"/>
      <c r="Q13" s="5">
        <f t="shared" si="2"/>
        <v>43850.879999999997</v>
      </c>
      <c r="R13" s="43"/>
      <c r="S13" s="5" t="s">
        <v>71</v>
      </c>
      <c r="T13" s="5">
        <v>200000</v>
      </c>
      <c r="U13" s="5">
        <f t="shared" ref="U13:U19" si="5">T13*1%</f>
        <v>2000</v>
      </c>
      <c r="V13" s="5">
        <f>T13-U13</f>
        <v>198000</v>
      </c>
      <c r="W13" s="5" t="s">
        <v>188</v>
      </c>
      <c r="X13" s="30"/>
    </row>
    <row r="14" spans="1:24" ht="24.9" customHeight="1" x14ac:dyDescent="0.3">
      <c r="A14" s="1">
        <v>57278</v>
      </c>
      <c r="B14" s="22" t="s">
        <v>199</v>
      </c>
      <c r="C14" s="98">
        <v>45304</v>
      </c>
      <c r="D14" s="54">
        <v>33</v>
      </c>
      <c r="E14" s="5">
        <v>315000</v>
      </c>
      <c r="F14" s="5">
        <v>274731</v>
      </c>
      <c r="G14" s="5">
        <f t="shared" ref="G14" si="6">E14-F14</f>
        <v>40269</v>
      </c>
      <c r="H14" s="5">
        <f>ROUND(G14*18%,)</f>
        <v>7248</v>
      </c>
      <c r="I14" s="5">
        <f t="shared" ref="I14" si="7">G14+H14</f>
        <v>47517</v>
      </c>
      <c r="J14" s="5">
        <f>ROUND(G14*1%,)</f>
        <v>403</v>
      </c>
      <c r="K14" s="5">
        <f>G14*5%</f>
        <v>2013.45</v>
      </c>
      <c r="L14" s="5">
        <v>0</v>
      </c>
      <c r="M14" s="5">
        <f>G14*10%</f>
        <v>4026.9</v>
      </c>
      <c r="N14" s="5">
        <f>G14*N6</f>
        <v>7248.42</v>
      </c>
      <c r="O14" s="5">
        <v>0</v>
      </c>
      <c r="P14" s="5">
        <v>0</v>
      </c>
      <c r="Q14" s="5">
        <f t="shared" ref="Q14" si="8">I14-SUM(J14:P14)</f>
        <v>33825.229999999996</v>
      </c>
      <c r="R14" s="43"/>
      <c r="S14" s="5" t="s">
        <v>72</v>
      </c>
      <c r="T14" s="5">
        <v>100000</v>
      </c>
      <c r="U14" s="5">
        <f t="shared" si="5"/>
        <v>1000</v>
      </c>
      <c r="V14" s="5">
        <f>T14-U14</f>
        <v>99000</v>
      </c>
      <c r="W14" s="5" t="s">
        <v>62</v>
      </c>
      <c r="X14" s="30"/>
    </row>
    <row r="15" spans="1:24" ht="24.9" customHeight="1" x14ac:dyDescent="0.3">
      <c r="A15" s="1">
        <v>57278</v>
      </c>
      <c r="B15" s="22" t="s">
        <v>11</v>
      </c>
      <c r="C15" s="98">
        <v>45304</v>
      </c>
      <c r="D15" s="54">
        <v>38</v>
      </c>
      <c r="E15" s="5">
        <v>315000</v>
      </c>
      <c r="F15" s="5">
        <v>0</v>
      </c>
      <c r="G15" s="5">
        <f t="shared" ref="G15" si="9">E15-F15</f>
        <v>315000</v>
      </c>
      <c r="H15" s="5">
        <f>ROUND(G15*18%,)</f>
        <v>56700</v>
      </c>
      <c r="I15" s="5">
        <f t="shared" ref="I15" si="10">G15+H15</f>
        <v>371700</v>
      </c>
      <c r="J15" s="5">
        <f>ROUND(G15*1%,)</f>
        <v>3150</v>
      </c>
      <c r="K15" s="5">
        <f>G15*5%</f>
        <v>15750</v>
      </c>
      <c r="L15" s="5">
        <v>0</v>
      </c>
      <c r="M15" s="5">
        <v>0</v>
      </c>
      <c r="N15" s="5">
        <f>H15</f>
        <v>56700</v>
      </c>
      <c r="O15" s="5">
        <v>0</v>
      </c>
      <c r="P15" s="5">
        <v>0</v>
      </c>
      <c r="Q15" s="5">
        <f t="shared" ref="Q15" si="11">I15-SUM(J15:P15)</f>
        <v>296100</v>
      </c>
      <c r="R15" s="43"/>
      <c r="S15" s="5" t="s">
        <v>74</v>
      </c>
      <c r="T15" s="5">
        <v>50000</v>
      </c>
      <c r="U15" s="5">
        <f t="shared" si="5"/>
        <v>500</v>
      </c>
      <c r="V15" s="5">
        <f>T15-U15</f>
        <v>49500</v>
      </c>
      <c r="W15" s="5" t="s">
        <v>73</v>
      </c>
      <c r="X15" s="30"/>
    </row>
    <row r="16" spans="1:24" ht="24.9" customHeight="1" x14ac:dyDescent="0.3">
      <c r="A16" s="1">
        <v>57278</v>
      </c>
      <c r="B16" s="22" t="s">
        <v>199</v>
      </c>
      <c r="C16" s="98">
        <v>45371</v>
      </c>
      <c r="D16" s="54">
        <v>41</v>
      </c>
      <c r="E16" s="5">
        <v>472500</v>
      </c>
      <c r="F16" s="5">
        <v>20757</v>
      </c>
      <c r="G16" s="5">
        <f t="shared" ref="G16" si="12">E16-F16</f>
        <v>451743</v>
      </c>
      <c r="H16" s="5">
        <f>ROUND(G16*18%,)</f>
        <v>81314</v>
      </c>
      <c r="I16" s="5">
        <f t="shared" ref="I16" si="13">G16+H16</f>
        <v>533057</v>
      </c>
      <c r="J16" s="5">
        <f>ROUND(G16*1%,)</f>
        <v>4517</v>
      </c>
      <c r="K16" s="5">
        <f>G16*5%</f>
        <v>22587.15</v>
      </c>
      <c r="L16" s="5">
        <v>0</v>
      </c>
      <c r="M16" s="5">
        <v>0</v>
      </c>
      <c r="N16" s="5">
        <f>H16</f>
        <v>81314</v>
      </c>
      <c r="O16" s="5">
        <v>0</v>
      </c>
      <c r="P16" s="5">
        <v>0</v>
      </c>
      <c r="Q16" s="5">
        <f t="shared" ref="Q16" si="14">I16-SUM(J16:P16)</f>
        <v>424638.85</v>
      </c>
      <c r="R16" s="43"/>
      <c r="S16" s="5" t="s">
        <v>118</v>
      </c>
      <c r="T16" s="5">
        <v>70000</v>
      </c>
      <c r="U16" s="5">
        <f t="shared" si="5"/>
        <v>700</v>
      </c>
      <c r="V16" s="5">
        <f>T16-U16</f>
        <v>69300</v>
      </c>
      <c r="W16" s="5" t="s">
        <v>117</v>
      </c>
      <c r="X16" s="30"/>
    </row>
    <row r="17" spans="1:24" ht="24.9" customHeight="1" x14ac:dyDescent="0.3">
      <c r="A17" s="1">
        <v>57278</v>
      </c>
      <c r="B17" s="22"/>
      <c r="C17" s="81"/>
      <c r="D17" s="5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43"/>
      <c r="S17" s="5" t="s">
        <v>165</v>
      </c>
      <c r="T17" s="5">
        <v>200000</v>
      </c>
      <c r="U17" s="5">
        <f t="shared" si="5"/>
        <v>2000</v>
      </c>
      <c r="V17" s="5">
        <f>T17-U17</f>
        <v>198000</v>
      </c>
      <c r="W17" s="5" t="s">
        <v>164</v>
      </c>
      <c r="X17" s="33"/>
    </row>
    <row r="18" spans="1:24" ht="24.9" customHeight="1" x14ac:dyDescent="0.3">
      <c r="A18" s="1">
        <v>57278</v>
      </c>
      <c r="B18" s="22"/>
      <c r="C18" s="81"/>
      <c r="D18" s="5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43"/>
      <c r="S18" s="5"/>
      <c r="T18" s="5">
        <v>150000</v>
      </c>
      <c r="U18" s="5">
        <f t="shared" si="5"/>
        <v>1500</v>
      </c>
      <c r="V18" s="5">
        <v>148500</v>
      </c>
      <c r="W18" s="5" t="s">
        <v>175</v>
      </c>
      <c r="X18" s="33"/>
    </row>
    <row r="19" spans="1:24" ht="24.9" customHeight="1" x14ac:dyDescent="0.3">
      <c r="A19" s="1">
        <v>57278</v>
      </c>
      <c r="B19" s="22"/>
      <c r="C19" s="81"/>
      <c r="D19" s="5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43"/>
      <c r="S19" s="5"/>
      <c r="T19" s="5">
        <v>200000</v>
      </c>
      <c r="U19" s="5">
        <f t="shared" si="5"/>
        <v>2000</v>
      </c>
      <c r="V19" s="5">
        <v>198000</v>
      </c>
      <c r="W19" s="5" t="s">
        <v>176</v>
      </c>
      <c r="X19" s="33"/>
    </row>
    <row r="20" spans="1:24" ht="24.9" customHeight="1" x14ac:dyDescent="0.3">
      <c r="A20" s="1">
        <v>57278</v>
      </c>
      <c r="B20" s="22"/>
      <c r="C20" s="81"/>
      <c r="D20" s="5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43"/>
      <c r="S20" s="5"/>
      <c r="T20" s="5"/>
      <c r="U20" s="5"/>
      <c r="V20" s="5"/>
      <c r="W20" s="5"/>
      <c r="X20" s="33"/>
    </row>
    <row r="21" spans="1:24" ht="24.9" customHeight="1" x14ac:dyDescent="0.3">
      <c r="A21" s="16"/>
      <c r="B21" s="20"/>
      <c r="C21" s="80"/>
      <c r="D21" s="59"/>
      <c r="E21" s="20"/>
      <c r="F21" s="20"/>
      <c r="G21" s="20"/>
      <c r="H21" s="20"/>
      <c r="I21" s="20"/>
      <c r="J21" s="21"/>
      <c r="K21" s="21"/>
      <c r="L21" s="21"/>
      <c r="M21" s="21"/>
      <c r="N21" s="21"/>
      <c r="O21" s="20"/>
      <c r="P21" s="20"/>
      <c r="Q21" s="20"/>
      <c r="R21" s="42">
        <f>A22</f>
        <v>57273</v>
      </c>
      <c r="S21" s="20"/>
      <c r="T21" s="20"/>
      <c r="U21" s="21"/>
      <c r="V21" s="20"/>
      <c r="W21" s="20"/>
      <c r="X21" s="32">
        <f>SUM(Q8:Q20,0)-SUM(V8:V20,0)</f>
        <v>8497.3774999999441</v>
      </c>
    </row>
    <row r="22" spans="1:24" ht="24.9" customHeight="1" x14ac:dyDescent="0.3">
      <c r="A22" s="1">
        <v>57273</v>
      </c>
      <c r="B22" s="22" t="s">
        <v>200</v>
      </c>
      <c r="C22" s="98">
        <v>45168</v>
      </c>
      <c r="D22" s="54">
        <v>12</v>
      </c>
      <c r="E22" s="5">
        <v>579562</v>
      </c>
      <c r="F22" s="5">
        <v>147066</v>
      </c>
      <c r="G22" s="5">
        <f t="shared" ref="G22:G23" si="15">E22-F22</f>
        <v>432496</v>
      </c>
      <c r="H22" s="5">
        <f>ROUND(G22*18%,)</f>
        <v>77849</v>
      </c>
      <c r="I22" s="5">
        <f t="shared" ref="I22:I23" si="16">G22+H22</f>
        <v>510345</v>
      </c>
      <c r="J22" s="5">
        <f>ROUND(G22*1%,)</f>
        <v>4325</v>
      </c>
      <c r="K22" s="5">
        <f>G22*5%</f>
        <v>21624.800000000003</v>
      </c>
      <c r="L22" s="5">
        <v>0</v>
      </c>
      <c r="M22" s="5">
        <v>0</v>
      </c>
      <c r="N22" s="5">
        <f>H22</f>
        <v>77849</v>
      </c>
      <c r="O22" s="5">
        <v>0</v>
      </c>
      <c r="P22" s="5">
        <v>0</v>
      </c>
      <c r="Q22" s="5">
        <f t="shared" ref="Q22:Q23" si="17">I22-SUM(J22:P22)</f>
        <v>406546.2</v>
      </c>
      <c r="R22" s="43"/>
      <c r="S22" s="5" t="s">
        <v>133</v>
      </c>
      <c r="T22" s="5">
        <v>200000</v>
      </c>
      <c r="U22" s="5">
        <f>T22*1%</f>
        <v>2000</v>
      </c>
      <c r="V22" s="5">
        <f>T22-U22</f>
        <v>198000</v>
      </c>
      <c r="W22" s="5" t="s">
        <v>132</v>
      </c>
      <c r="X22" s="30"/>
    </row>
    <row r="23" spans="1:24" ht="24.9" customHeight="1" x14ac:dyDescent="0.3">
      <c r="A23" s="1">
        <v>57273</v>
      </c>
      <c r="B23" s="22" t="s">
        <v>33</v>
      </c>
      <c r="C23" s="81"/>
      <c r="D23" s="54">
        <v>12</v>
      </c>
      <c r="E23" s="5">
        <f>N22</f>
        <v>77849</v>
      </c>
      <c r="F23" s="5"/>
      <c r="G23" s="5">
        <f t="shared" si="15"/>
        <v>77849</v>
      </c>
      <c r="H23" s="5"/>
      <c r="I23" s="5">
        <f t="shared" si="16"/>
        <v>77849</v>
      </c>
      <c r="J23" s="5"/>
      <c r="K23" s="5"/>
      <c r="L23" s="5"/>
      <c r="M23" s="5"/>
      <c r="N23" s="5"/>
      <c r="O23" s="5"/>
      <c r="P23" s="5"/>
      <c r="Q23" s="5">
        <f t="shared" si="17"/>
        <v>77849</v>
      </c>
      <c r="R23" s="43"/>
      <c r="S23" s="5" t="s">
        <v>137</v>
      </c>
      <c r="T23" s="5">
        <v>100000</v>
      </c>
      <c r="U23" s="5">
        <f t="shared" ref="U23:U28" si="18">T23*1%</f>
        <v>1000</v>
      </c>
      <c r="V23" s="5">
        <f t="shared" ref="V23:V26" si="19">T23-U23</f>
        <v>99000</v>
      </c>
      <c r="W23" s="5" t="s">
        <v>134</v>
      </c>
      <c r="X23" s="30"/>
    </row>
    <row r="24" spans="1:24" ht="24.9" customHeight="1" x14ac:dyDescent="0.3">
      <c r="A24" s="1">
        <v>57273</v>
      </c>
      <c r="B24" s="22" t="s">
        <v>200</v>
      </c>
      <c r="C24" s="98">
        <v>45304</v>
      </c>
      <c r="D24" s="54">
        <v>31</v>
      </c>
      <c r="E24" s="5">
        <v>579562</v>
      </c>
      <c r="F24" s="5">
        <v>576595</v>
      </c>
      <c r="G24" s="5">
        <f t="shared" ref="G24" si="20">E24-F24</f>
        <v>2967</v>
      </c>
      <c r="H24" s="5">
        <f>ROUND(G24*18%,)</f>
        <v>534</v>
      </c>
      <c r="I24" s="5">
        <f t="shared" ref="I24" si="21">G24+H24</f>
        <v>3501</v>
      </c>
      <c r="J24" s="5">
        <f>ROUND(G24*1%,)</f>
        <v>30</v>
      </c>
      <c r="K24" s="5">
        <f>G24*5%</f>
        <v>148.35</v>
      </c>
      <c r="L24" s="5">
        <v>0</v>
      </c>
      <c r="M24" s="5">
        <f>G24*10%</f>
        <v>296.7</v>
      </c>
      <c r="N24" s="5">
        <f>H24</f>
        <v>534</v>
      </c>
      <c r="O24" s="5">
        <v>0</v>
      </c>
      <c r="P24" s="5">
        <v>0</v>
      </c>
      <c r="Q24" s="5">
        <f t="shared" ref="Q24" si="22">I24-SUM(J24:P24)</f>
        <v>2491.9499999999998</v>
      </c>
      <c r="R24" s="43"/>
      <c r="S24" s="5" t="s">
        <v>138</v>
      </c>
      <c r="T24" s="5">
        <v>150000</v>
      </c>
      <c r="U24" s="5">
        <f t="shared" si="18"/>
        <v>1500</v>
      </c>
      <c r="V24" s="5">
        <f t="shared" si="19"/>
        <v>148500</v>
      </c>
      <c r="W24" s="5" t="s">
        <v>189</v>
      </c>
      <c r="X24" s="30"/>
    </row>
    <row r="25" spans="1:24" ht="24.9" customHeight="1" x14ac:dyDescent="0.3">
      <c r="A25" s="1">
        <v>57273</v>
      </c>
      <c r="B25" s="22" t="s">
        <v>200</v>
      </c>
      <c r="C25" s="98">
        <v>45330</v>
      </c>
      <c r="D25" s="54">
        <v>37</v>
      </c>
      <c r="E25" s="5">
        <v>579562</v>
      </c>
      <c r="F25" s="5">
        <v>169334</v>
      </c>
      <c r="G25" s="5">
        <f t="shared" ref="G25" si="23">E25-F25</f>
        <v>410228</v>
      </c>
      <c r="H25" s="5">
        <f>ROUND(G25*18%,)</f>
        <v>73841</v>
      </c>
      <c r="I25" s="5">
        <f t="shared" ref="I25" si="24">G25+H25</f>
        <v>484069</v>
      </c>
      <c r="J25" s="5">
        <f>ROUND(G25*1%,)</f>
        <v>4102</v>
      </c>
      <c r="K25" s="5">
        <f>G25*5%</f>
        <v>20511.400000000001</v>
      </c>
      <c r="L25" s="5">
        <v>0</v>
      </c>
      <c r="M25" s="5">
        <v>0</v>
      </c>
      <c r="N25" s="5">
        <f>H25</f>
        <v>73841</v>
      </c>
      <c r="O25" s="5">
        <v>0</v>
      </c>
      <c r="P25" s="5">
        <v>0</v>
      </c>
      <c r="Q25" s="5">
        <f t="shared" ref="Q25" si="25">I25-SUM(J25:P25)</f>
        <v>385614.6</v>
      </c>
      <c r="R25" s="43"/>
      <c r="S25" s="5" t="s">
        <v>139</v>
      </c>
      <c r="T25" s="5">
        <v>77849</v>
      </c>
      <c r="U25" s="5"/>
      <c r="V25" s="5">
        <f t="shared" si="19"/>
        <v>77849</v>
      </c>
      <c r="W25" s="5" t="s">
        <v>135</v>
      </c>
      <c r="X25" s="30"/>
    </row>
    <row r="26" spans="1:24" ht="24.9" customHeight="1" x14ac:dyDescent="0.3">
      <c r="A26" s="1">
        <v>57273</v>
      </c>
      <c r="B26" s="22"/>
      <c r="C26" s="81"/>
      <c r="D26" s="5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43"/>
      <c r="S26" s="5" t="s">
        <v>146</v>
      </c>
      <c r="T26" s="5">
        <v>200000</v>
      </c>
      <c r="U26" s="5">
        <f t="shared" si="18"/>
        <v>2000</v>
      </c>
      <c r="V26" s="5">
        <f t="shared" si="19"/>
        <v>198000</v>
      </c>
      <c r="W26" s="5" t="s">
        <v>145</v>
      </c>
      <c r="X26" s="30"/>
    </row>
    <row r="27" spans="1:24" ht="24.9" customHeight="1" x14ac:dyDescent="0.3">
      <c r="A27" s="1">
        <v>57273</v>
      </c>
      <c r="B27" s="22"/>
      <c r="C27" s="81"/>
      <c r="D27" s="5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43"/>
      <c r="S27" s="5"/>
      <c r="T27" s="5">
        <v>100000</v>
      </c>
      <c r="U27" s="5">
        <f t="shared" si="18"/>
        <v>1000</v>
      </c>
      <c r="V27" s="5">
        <v>99000</v>
      </c>
      <c r="W27" s="5" t="s">
        <v>177</v>
      </c>
      <c r="X27" s="30"/>
    </row>
    <row r="28" spans="1:24" ht="24.9" customHeight="1" x14ac:dyDescent="0.3">
      <c r="A28" s="1">
        <v>57273</v>
      </c>
      <c r="B28" s="22"/>
      <c r="C28" s="81"/>
      <c r="D28" s="5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43"/>
      <c r="S28" s="5"/>
      <c r="T28" s="67">
        <v>173618.18</v>
      </c>
      <c r="U28" s="67">
        <f t="shared" si="18"/>
        <v>1736.1818000000001</v>
      </c>
      <c r="V28" s="67">
        <v>171882</v>
      </c>
      <c r="W28" s="67" t="s">
        <v>185</v>
      </c>
      <c r="X28" s="30"/>
    </row>
    <row r="29" spans="1:24" s="16" customFormat="1" ht="24.9" customHeight="1" x14ac:dyDescent="0.3">
      <c r="B29" s="23"/>
      <c r="C29" s="82"/>
      <c r="D29" s="55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42">
        <f>A30</f>
        <v>57277</v>
      </c>
      <c r="S29" s="20"/>
      <c r="T29" s="20"/>
      <c r="U29" s="20"/>
      <c r="V29" s="20"/>
      <c r="W29" s="20"/>
      <c r="X29" s="32">
        <f>SUM(Q22:Q28,0)-SUM(V22:V28,0)</f>
        <v>-119729.25</v>
      </c>
    </row>
    <row r="30" spans="1:24" ht="24.9" customHeight="1" x14ac:dyDescent="0.3">
      <c r="A30" s="1">
        <v>57277</v>
      </c>
      <c r="B30" s="22" t="s">
        <v>201</v>
      </c>
      <c r="C30" s="98">
        <v>45131</v>
      </c>
      <c r="D30" s="54">
        <v>9</v>
      </c>
      <c r="E30" s="5">
        <v>594000</v>
      </c>
      <c r="F30" s="5">
        <v>225470.23</v>
      </c>
      <c r="G30" s="5">
        <f t="shared" ref="G30:G34" si="26">E30-F30</f>
        <v>368529.77</v>
      </c>
      <c r="H30" s="5">
        <f t="shared" ref="H30" si="27">ROUND(G30*18%,)</f>
        <v>66335</v>
      </c>
      <c r="I30" s="5">
        <f>G30+H30</f>
        <v>434864.77</v>
      </c>
      <c r="J30" s="5">
        <f>ROUND(G30*1%,)</f>
        <v>3685</v>
      </c>
      <c r="K30" s="5">
        <f>G30*5%</f>
        <v>18426.488500000003</v>
      </c>
      <c r="L30" s="5">
        <v>0</v>
      </c>
      <c r="M30" s="5">
        <v>0</v>
      </c>
      <c r="N30" s="5">
        <f>H30</f>
        <v>66335</v>
      </c>
      <c r="O30" s="5">
        <v>0</v>
      </c>
      <c r="P30" s="5">
        <v>0</v>
      </c>
      <c r="Q30" s="5">
        <f>I30-SUM(J30:P30)</f>
        <v>346418.28150000004</v>
      </c>
      <c r="R30" s="43"/>
      <c r="S30" s="5" t="s">
        <v>10</v>
      </c>
      <c r="T30" s="5">
        <v>200000</v>
      </c>
      <c r="U30" s="5">
        <f>T30*1%</f>
        <v>2000</v>
      </c>
      <c r="V30" s="5">
        <f>T30-U30</f>
        <v>198000</v>
      </c>
      <c r="W30" s="5" t="s">
        <v>9</v>
      </c>
      <c r="X30" s="30"/>
    </row>
    <row r="31" spans="1:24" ht="24.9" customHeight="1" x14ac:dyDescent="0.3">
      <c r="A31" s="1">
        <v>57277</v>
      </c>
      <c r="B31" s="22" t="s">
        <v>33</v>
      </c>
      <c r="C31" s="98">
        <v>45156</v>
      </c>
      <c r="D31" s="54">
        <v>9</v>
      </c>
      <c r="E31" s="5">
        <v>66335</v>
      </c>
      <c r="F31" s="5"/>
      <c r="G31" s="5">
        <f t="shared" si="26"/>
        <v>66335</v>
      </c>
      <c r="H31" s="5"/>
      <c r="I31" s="5">
        <f>G31+H31</f>
        <v>66335</v>
      </c>
      <c r="J31" s="5"/>
      <c r="K31" s="5"/>
      <c r="L31" s="5"/>
      <c r="M31" s="5"/>
      <c r="N31" s="5"/>
      <c r="O31" s="5"/>
      <c r="P31" s="5"/>
      <c r="Q31" s="5">
        <f>I31-SUM(J31:P31)</f>
        <v>66335</v>
      </c>
      <c r="R31" s="43"/>
      <c r="S31" s="5" t="s">
        <v>34</v>
      </c>
      <c r="T31" s="5">
        <v>148419</v>
      </c>
      <c r="U31" s="5"/>
      <c r="V31" s="5">
        <f t="shared" ref="V31:V37" si="28">T31-U31</f>
        <v>148419</v>
      </c>
      <c r="W31" s="5" t="s">
        <v>35</v>
      </c>
      <c r="X31" s="30"/>
    </row>
    <row r="32" spans="1:24" ht="24.9" customHeight="1" x14ac:dyDescent="0.3">
      <c r="A32" s="1">
        <v>57277</v>
      </c>
      <c r="B32" s="22" t="s">
        <v>201</v>
      </c>
      <c r="C32" s="97">
        <v>45182</v>
      </c>
      <c r="D32" s="54">
        <v>13</v>
      </c>
      <c r="E32" s="5">
        <v>396000</v>
      </c>
      <c r="F32" s="5">
        <v>146355.16</v>
      </c>
      <c r="G32" s="5">
        <f t="shared" si="26"/>
        <v>249644.84</v>
      </c>
      <c r="H32" s="5">
        <f t="shared" ref="H32" si="29">ROUND(G32*18%,)</f>
        <v>44936</v>
      </c>
      <c r="I32" s="5">
        <f>G32+H32</f>
        <v>294580.83999999997</v>
      </c>
      <c r="J32" s="5">
        <f>ROUND(G32*1%,)</f>
        <v>2496</v>
      </c>
      <c r="K32" s="5">
        <f>G32*5%</f>
        <v>12482.242</v>
      </c>
      <c r="L32" s="5">
        <v>0</v>
      </c>
      <c r="M32" s="5">
        <v>0</v>
      </c>
      <c r="N32" s="5">
        <f>H32</f>
        <v>44936</v>
      </c>
      <c r="O32" s="5">
        <v>0</v>
      </c>
      <c r="P32" s="5">
        <v>0</v>
      </c>
      <c r="Q32" s="5">
        <f>I32-SUM(J32:P32)</f>
        <v>234666.59799999997</v>
      </c>
      <c r="R32" s="43"/>
      <c r="S32" s="5" t="s">
        <v>36</v>
      </c>
      <c r="T32" s="5">
        <v>200000</v>
      </c>
      <c r="U32" s="5">
        <f>T32*1%</f>
        <v>2000</v>
      </c>
      <c r="V32" s="5">
        <f t="shared" si="28"/>
        <v>198000</v>
      </c>
      <c r="W32" s="5" t="s">
        <v>37</v>
      </c>
      <c r="X32" s="30"/>
    </row>
    <row r="33" spans="1:24" ht="24.9" customHeight="1" x14ac:dyDescent="0.3">
      <c r="A33" s="1">
        <v>57277</v>
      </c>
      <c r="B33" s="22" t="s">
        <v>33</v>
      </c>
      <c r="C33" s="97">
        <v>45182</v>
      </c>
      <c r="D33" s="54">
        <v>13</v>
      </c>
      <c r="E33" s="5">
        <f>N32</f>
        <v>44936</v>
      </c>
      <c r="F33" s="5"/>
      <c r="G33" s="5">
        <f t="shared" ref="G33" si="30">E33-F33</f>
        <v>44936</v>
      </c>
      <c r="H33" s="5"/>
      <c r="I33" s="5">
        <f>G33+H33</f>
        <v>44936</v>
      </c>
      <c r="J33" s="5"/>
      <c r="K33" s="5"/>
      <c r="L33" s="5"/>
      <c r="M33" s="5"/>
      <c r="N33" s="5"/>
      <c r="O33" s="5"/>
      <c r="P33" s="5"/>
      <c r="Q33" s="5">
        <f>I33-SUM(J33:P33)</f>
        <v>44936</v>
      </c>
      <c r="R33" s="43"/>
      <c r="S33" s="5" t="s">
        <v>38</v>
      </c>
      <c r="T33" s="5">
        <v>66335</v>
      </c>
      <c r="U33" s="5"/>
      <c r="V33" s="5">
        <f t="shared" si="28"/>
        <v>66335</v>
      </c>
      <c r="W33" s="5" t="s">
        <v>39</v>
      </c>
      <c r="X33" s="30"/>
    </row>
    <row r="34" spans="1:24" ht="24.9" customHeight="1" x14ac:dyDescent="0.3">
      <c r="A34" s="1">
        <v>57277</v>
      </c>
      <c r="B34" s="22" t="s">
        <v>201</v>
      </c>
      <c r="C34" s="99">
        <v>45237</v>
      </c>
      <c r="D34" s="60">
        <v>25</v>
      </c>
      <c r="E34" s="5">
        <v>183750</v>
      </c>
      <c r="F34" s="5">
        <v>31041</v>
      </c>
      <c r="G34" s="5">
        <f t="shared" si="26"/>
        <v>152709</v>
      </c>
      <c r="H34" s="5">
        <f>G34*18%</f>
        <v>27487.62</v>
      </c>
      <c r="I34" s="5">
        <f>G34+H34</f>
        <v>180196.62</v>
      </c>
      <c r="J34" s="5">
        <f>G34*1%</f>
        <v>1527.0900000000001</v>
      </c>
      <c r="K34" s="5">
        <f>G34*5%</f>
        <v>7635.4500000000007</v>
      </c>
      <c r="L34" s="5"/>
      <c r="M34" s="5"/>
      <c r="N34" s="5">
        <f>G34*18%</f>
        <v>27487.62</v>
      </c>
      <c r="O34" s="5"/>
      <c r="P34" s="5"/>
      <c r="Q34" s="5">
        <f>I34-J34-K34-N34</f>
        <v>143546.46</v>
      </c>
      <c r="R34" s="43"/>
      <c r="S34" s="5" t="s">
        <v>40</v>
      </c>
      <c r="T34" s="5">
        <v>100000</v>
      </c>
      <c r="U34" s="5">
        <f>T34*1%</f>
        <v>1000</v>
      </c>
      <c r="V34" s="5">
        <f t="shared" si="28"/>
        <v>99000</v>
      </c>
      <c r="W34" s="5" t="s">
        <v>12</v>
      </c>
      <c r="X34" s="30"/>
    </row>
    <row r="35" spans="1:24" ht="24.9" customHeight="1" x14ac:dyDescent="0.3">
      <c r="A35" s="1">
        <v>57277</v>
      </c>
      <c r="B35" s="22" t="s">
        <v>33</v>
      </c>
      <c r="C35" s="99">
        <v>45237</v>
      </c>
      <c r="D35" s="54">
        <v>25</v>
      </c>
      <c r="E35" s="5">
        <v>27487.62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>E35</f>
        <v>27487.62</v>
      </c>
      <c r="R35" s="43"/>
      <c r="S35" s="5" t="s">
        <v>41</v>
      </c>
      <c r="T35" s="5">
        <v>200000</v>
      </c>
      <c r="U35" s="5">
        <f>T35*1%</f>
        <v>2000</v>
      </c>
      <c r="V35" s="5">
        <f t="shared" si="28"/>
        <v>198000</v>
      </c>
      <c r="W35" s="5" t="s">
        <v>190</v>
      </c>
      <c r="X35" s="30"/>
    </row>
    <row r="36" spans="1:24" ht="24.9" customHeight="1" x14ac:dyDescent="0.3">
      <c r="A36" s="1">
        <v>57277</v>
      </c>
      <c r="B36" s="22" t="s">
        <v>201</v>
      </c>
      <c r="C36" s="99">
        <v>45202</v>
      </c>
      <c r="D36" s="60">
        <v>17</v>
      </c>
      <c r="E36" s="5">
        <v>551250</v>
      </c>
      <c r="F36" s="5">
        <f>96225+71250</f>
        <v>167475</v>
      </c>
      <c r="G36" s="5">
        <f t="shared" ref="G36" si="31">E36-F36</f>
        <v>383775</v>
      </c>
      <c r="H36" s="5">
        <f t="shared" ref="H36" si="32">G36*18%</f>
        <v>69079.5</v>
      </c>
      <c r="I36" s="5">
        <f t="shared" ref="I36" si="33">G36+H36</f>
        <v>452854.5</v>
      </c>
      <c r="J36" s="5">
        <f t="shared" ref="J36" si="34">G36*1%</f>
        <v>3837.75</v>
      </c>
      <c r="K36" s="5">
        <f>G36*5%</f>
        <v>19188.75</v>
      </c>
      <c r="L36" s="5"/>
      <c r="M36" s="5"/>
      <c r="N36" s="5">
        <f>G36*18%</f>
        <v>69079.5</v>
      </c>
      <c r="O36" s="5"/>
      <c r="P36" s="5"/>
      <c r="Q36" s="5">
        <f>I36-J36-K36-N36-P36</f>
        <v>360748.5</v>
      </c>
      <c r="R36" s="43"/>
      <c r="S36" s="5" t="s">
        <v>76</v>
      </c>
      <c r="T36" s="5">
        <v>200000</v>
      </c>
      <c r="U36" s="5">
        <f>T36*1%</f>
        <v>2000</v>
      </c>
      <c r="V36" s="5">
        <f t="shared" si="28"/>
        <v>198000</v>
      </c>
      <c r="W36" s="5" t="s">
        <v>75</v>
      </c>
      <c r="X36" s="30"/>
    </row>
    <row r="37" spans="1:24" ht="24.9" customHeight="1" x14ac:dyDescent="0.3">
      <c r="A37" s="1">
        <v>57277</v>
      </c>
      <c r="B37" s="22" t="s">
        <v>33</v>
      </c>
      <c r="C37" s="99">
        <v>45202</v>
      </c>
      <c r="D37" s="60">
        <v>17</v>
      </c>
      <c r="E37" s="5">
        <f>N36</f>
        <v>69079.5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f>E37</f>
        <v>69079.5</v>
      </c>
      <c r="R37" s="43"/>
      <c r="S37" s="5" t="s">
        <v>122</v>
      </c>
      <c r="T37" s="5">
        <v>150000</v>
      </c>
      <c r="U37" s="5">
        <f>T37*1%</f>
        <v>1500</v>
      </c>
      <c r="V37" s="5">
        <f t="shared" si="28"/>
        <v>148500</v>
      </c>
      <c r="W37" s="5" t="s">
        <v>121</v>
      </c>
      <c r="X37" s="30"/>
    </row>
    <row r="38" spans="1:24" ht="24.9" customHeight="1" x14ac:dyDescent="0.3">
      <c r="A38" s="1">
        <v>57277</v>
      </c>
      <c r="B38" s="22"/>
      <c r="C38" s="81"/>
      <c r="D38" s="5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43"/>
      <c r="S38" s="5" t="s">
        <v>120</v>
      </c>
      <c r="T38" s="5">
        <v>100000</v>
      </c>
      <c r="U38" s="5">
        <f>T38*1%</f>
        <v>1000</v>
      </c>
      <c r="V38" s="5">
        <f>T38-U38</f>
        <v>99000</v>
      </c>
      <c r="W38" s="5" t="s">
        <v>119</v>
      </c>
      <c r="X38" s="30"/>
    </row>
    <row r="39" spans="1:24" ht="24.9" customHeight="1" x14ac:dyDescent="0.3">
      <c r="A39" s="1">
        <v>57277</v>
      </c>
      <c r="B39" s="22"/>
      <c r="C39" s="81"/>
      <c r="D39" s="5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43"/>
      <c r="S39" s="5"/>
      <c r="T39" s="5"/>
      <c r="U39" s="5"/>
      <c r="V39" s="5"/>
      <c r="W39" s="5"/>
      <c r="X39" s="30"/>
    </row>
    <row r="40" spans="1:24" ht="24.9" customHeight="1" x14ac:dyDescent="0.3">
      <c r="A40" s="16"/>
      <c r="B40" s="20"/>
      <c r="C40" s="80"/>
      <c r="D40" s="5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2">
        <f>A41</f>
        <v>57276</v>
      </c>
      <c r="S40" s="20"/>
      <c r="T40" s="20"/>
      <c r="U40" s="20"/>
      <c r="V40" s="20"/>
      <c r="W40" s="44" t="s">
        <v>123</v>
      </c>
      <c r="X40" s="32">
        <f>SUM(Q30:Q39,0)-SUM(V30:V39,0)</f>
        <v>-60036.040500000119</v>
      </c>
    </row>
    <row r="41" spans="1:24" ht="24.9" customHeight="1" x14ac:dyDescent="0.3">
      <c r="A41" s="1">
        <v>57276</v>
      </c>
      <c r="B41" s="5" t="s">
        <v>202</v>
      </c>
      <c r="C41" s="98">
        <v>45208</v>
      </c>
      <c r="D41" s="60">
        <v>19</v>
      </c>
      <c r="E41" s="5">
        <v>175000</v>
      </c>
      <c r="F41" s="5">
        <v>0</v>
      </c>
      <c r="G41" s="5">
        <f>E41-F41</f>
        <v>175000</v>
      </c>
      <c r="H41" s="5">
        <f>G41*18%</f>
        <v>31500</v>
      </c>
      <c r="I41" s="5">
        <f t="shared" ref="I41:I46" si="35">G41+H41</f>
        <v>206500</v>
      </c>
      <c r="J41" s="5">
        <f>G41*1%</f>
        <v>1750</v>
      </c>
      <c r="K41" s="5">
        <f>G41*5%</f>
        <v>8750</v>
      </c>
      <c r="L41" s="5"/>
      <c r="M41" s="5"/>
      <c r="N41" s="5">
        <f>H41</f>
        <v>31500</v>
      </c>
      <c r="O41" s="5">
        <v>0</v>
      </c>
      <c r="P41" s="5">
        <v>0</v>
      </c>
      <c r="Q41" s="5">
        <f>G41-J41-K41-L41-M41-P41</f>
        <v>164500</v>
      </c>
      <c r="R41" s="43"/>
      <c r="S41" s="5" t="s">
        <v>54</v>
      </c>
      <c r="T41" s="5">
        <v>200000</v>
      </c>
      <c r="U41" s="5">
        <f>T41*1%</f>
        <v>2000</v>
      </c>
      <c r="V41" s="5">
        <f>T41-U41</f>
        <v>198000</v>
      </c>
      <c r="W41" s="5" t="s">
        <v>53</v>
      </c>
      <c r="X41" s="30"/>
    </row>
    <row r="42" spans="1:24" ht="24.9" customHeight="1" x14ac:dyDescent="0.3">
      <c r="A42" s="1">
        <v>57276</v>
      </c>
      <c r="B42" s="5" t="s">
        <v>202</v>
      </c>
      <c r="C42" s="98">
        <v>45226</v>
      </c>
      <c r="D42" s="60">
        <v>22</v>
      </c>
      <c r="E42" s="5">
        <v>350000</v>
      </c>
      <c r="F42" s="5">
        <v>260143</v>
      </c>
      <c r="G42" s="5">
        <f>E42-F42</f>
        <v>89857</v>
      </c>
      <c r="H42" s="5">
        <f>G42*18%</f>
        <v>16174.26</v>
      </c>
      <c r="I42" s="5">
        <f t="shared" si="35"/>
        <v>106031.26</v>
      </c>
      <c r="J42" s="5">
        <f>G42*1%</f>
        <v>898.57</v>
      </c>
      <c r="K42" s="5">
        <f>G42*5%</f>
        <v>4492.8500000000004</v>
      </c>
      <c r="L42" s="5"/>
      <c r="M42" s="5"/>
      <c r="N42" s="5">
        <f>H42</f>
        <v>16174.26</v>
      </c>
      <c r="O42" s="5">
        <v>0</v>
      </c>
      <c r="P42" s="5">
        <v>0</v>
      </c>
      <c r="Q42" s="5">
        <f>G42-J42-K42-L42-M42-P42</f>
        <v>84465.579999999987</v>
      </c>
      <c r="R42" s="43"/>
      <c r="S42" s="5" t="s">
        <v>55</v>
      </c>
      <c r="T42" s="5">
        <v>100000</v>
      </c>
      <c r="U42" s="5">
        <f>T42*1%</f>
        <v>1000</v>
      </c>
      <c r="V42" s="5">
        <f>T42-U42</f>
        <v>99000</v>
      </c>
      <c r="W42" s="5" t="s">
        <v>52</v>
      </c>
      <c r="X42" s="30"/>
    </row>
    <row r="43" spans="1:24" ht="24.9" customHeight="1" x14ac:dyDescent="0.3">
      <c r="A43" s="1">
        <v>57276</v>
      </c>
      <c r="B43" s="22" t="s">
        <v>33</v>
      </c>
      <c r="C43" s="81"/>
      <c r="D43" s="54">
        <v>19</v>
      </c>
      <c r="E43" s="5">
        <f>N41</f>
        <v>31500</v>
      </c>
      <c r="F43" s="5"/>
      <c r="G43" s="5">
        <f t="shared" ref="G43:G44" si="36">E43-F43</f>
        <v>31500</v>
      </c>
      <c r="H43" s="5"/>
      <c r="I43" s="5">
        <f t="shared" si="35"/>
        <v>31500</v>
      </c>
      <c r="J43" s="5"/>
      <c r="K43" s="5"/>
      <c r="L43" s="5"/>
      <c r="M43" s="5"/>
      <c r="N43" s="5"/>
      <c r="O43" s="5"/>
      <c r="P43" s="5"/>
      <c r="Q43" s="5">
        <f>I43-SUM(J43:P43)</f>
        <v>31500</v>
      </c>
      <c r="R43" s="43"/>
      <c r="S43" s="5" t="s">
        <v>104</v>
      </c>
      <c r="T43" s="5">
        <v>200000</v>
      </c>
      <c r="U43" s="5">
        <f t="shared" ref="U43:U47" si="37">T43*1%</f>
        <v>2000</v>
      </c>
      <c r="V43" s="5">
        <f t="shared" ref="V43:V44" si="38">T43-U43</f>
        <v>198000</v>
      </c>
      <c r="W43" s="5" t="s">
        <v>102</v>
      </c>
      <c r="X43" s="30"/>
    </row>
    <row r="44" spans="1:24" ht="24.9" customHeight="1" x14ac:dyDescent="0.3">
      <c r="A44" s="1">
        <v>57276</v>
      </c>
      <c r="B44" s="22" t="s">
        <v>33</v>
      </c>
      <c r="C44" s="81"/>
      <c r="D44" s="54">
        <v>22</v>
      </c>
      <c r="E44" s="5">
        <f>N42</f>
        <v>16174.26</v>
      </c>
      <c r="F44" s="5"/>
      <c r="G44" s="5">
        <f t="shared" si="36"/>
        <v>16174.26</v>
      </c>
      <c r="H44" s="5"/>
      <c r="I44" s="5">
        <f t="shared" si="35"/>
        <v>16174.26</v>
      </c>
      <c r="J44" s="5"/>
      <c r="K44" s="5"/>
      <c r="L44" s="5"/>
      <c r="M44" s="5"/>
      <c r="N44" s="5"/>
      <c r="O44" s="5"/>
      <c r="P44" s="5"/>
      <c r="Q44" s="5">
        <f>I44-SUM(J44:P44)</f>
        <v>16174.26</v>
      </c>
      <c r="R44" s="43"/>
      <c r="S44" s="5" t="s">
        <v>105</v>
      </c>
      <c r="T44" s="5">
        <v>150000</v>
      </c>
      <c r="U44" s="5">
        <f t="shared" si="37"/>
        <v>1500</v>
      </c>
      <c r="V44" s="5">
        <f t="shared" si="38"/>
        <v>148500</v>
      </c>
      <c r="W44" s="5" t="s">
        <v>178</v>
      </c>
      <c r="X44" s="30"/>
    </row>
    <row r="45" spans="1:24" ht="24.9" customHeight="1" x14ac:dyDescent="0.3">
      <c r="A45" s="1">
        <v>57276</v>
      </c>
      <c r="B45" s="5" t="s">
        <v>202</v>
      </c>
      <c r="C45" s="98">
        <v>45274</v>
      </c>
      <c r="D45" s="60">
        <v>27</v>
      </c>
      <c r="E45" s="5">
        <v>350000</v>
      </c>
      <c r="F45" s="5">
        <v>55204</v>
      </c>
      <c r="G45" s="5">
        <f>E45-F45</f>
        <v>294796</v>
      </c>
      <c r="H45" s="5">
        <f>G45*18%</f>
        <v>53063.28</v>
      </c>
      <c r="I45" s="5">
        <f t="shared" si="35"/>
        <v>347859.28</v>
      </c>
      <c r="J45" s="5">
        <f>G45*1%</f>
        <v>2947.96</v>
      </c>
      <c r="K45" s="5">
        <f>G45*5%</f>
        <v>14739.800000000001</v>
      </c>
      <c r="L45" s="5"/>
      <c r="M45" s="5">
        <f>G45*10%</f>
        <v>29479.600000000002</v>
      </c>
      <c r="N45" s="5">
        <f>H45</f>
        <v>53063.28</v>
      </c>
      <c r="O45" s="5">
        <v>0</v>
      </c>
      <c r="P45" s="5">
        <v>0</v>
      </c>
      <c r="Q45" s="5">
        <f>G45-J45-K45-L45-M45-P45</f>
        <v>247628.63999999998</v>
      </c>
      <c r="R45" s="43"/>
      <c r="S45" s="5" t="s">
        <v>148</v>
      </c>
      <c r="T45" s="5">
        <v>200000</v>
      </c>
      <c r="U45" s="5">
        <f t="shared" si="37"/>
        <v>2000</v>
      </c>
      <c r="V45" s="5">
        <v>198000</v>
      </c>
      <c r="W45" s="5" t="s">
        <v>147</v>
      </c>
      <c r="X45" s="30"/>
    </row>
    <row r="46" spans="1:24" ht="24.9" customHeight="1" x14ac:dyDescent="0.3">
      <c r="A46" s="1">
        <v>57276</v>
      </c>
      <c r="B46" s="5" t="s">
        <v>202</v>
      </c>
      <c r="C46" s="98">
        <v>45286</v>
      </c>
      <c r="D46" s="60">
        <v>28</v>
      </c>
      <c r="E46" s="5">
        <v>350000</v>
      </c>
      <c r="F46" s="5">
        <v>76300</v>
      </c>
      <c r="G46" s="5">
        <f>E46-F46</f>
        <v>273700</v>
      </c>
      <c r="H46" s="5">
        <f>G46*18%</f>
        <v>49266</v>
      </c>
      <c r="I46" s="5">
        <f t="shared" si="35"/>
        <v>322966</v>
      </c>
      <c r="J46" s="5">
        <f>G46*1%</f>
        <v>2737</v>
      </c>
      <c r="K46" s="5">
        <f>G46*5%</f>
        <v>13685</v>
      </c>
      <c r="L46" s="5"/>
      <c r="M46" s="5">
        <f>G46*10%</f>
        <v>27370</v>
      </c>
      <c r="N46" s="5">
        <f>H46</f>
        <v>49266</v>
      </c>
      <c r="O46" s="5">
        <v>0</v>
      </c>
      <c r="P46" s="5">
        <v>0</v>
      </c>
      <c r="Q46" s="5">
        <f>G46-J46-K46-L46-M46-P46</f>
        <v>229908</v>
      </c>
      <c r="R46" s="43"/>
      <c r="S46" s="5"/>
      <c r="T46" s="5">
        <v>100000</v>
      </c>
      <c r="U46" s="5">
        <f t="shared" si="37"/>
        <v>1000</v>
      </c>
      <c r="V46" s="5">
        <v>99000</v>
      </c>
      <c r="W46" s="5" t="s">
        <v>173</v>
      </c>
      <c r="X46" s="30"/>
    </row>
    <row r="47" spans="1:24" ht="24.9" customHeight="1" x14ac:dyDescent="0.3">
      <c r="A47" s="1">
        <v>57276</v>
      </c>
      <c r="B47" s="5" t="s">
        <v>202</v>
      </c>
      <c r="C47" s="98">
        <v>45433</v>
      </c>
      <c r="D47" s="60">
        <v>1</v>
      </c>
      <c r="E47" s="5">
        <v>350000</v>
      </c>
      <c r="F47" s="5">
        <v>22697</v>
      </c>
      <c r="G47" s="5">
        <f>E47-F47</f>
        <v>327303</v>
      </c>
      <c r="H47" s="5">
        <f>G47*18%</f>
        <v>58914.54</v>
      </c>
      <c r="I47" s="5">
        <f>G47+H47</f>
        <v>386217.54</v>
      </c>
      <c r="J47" s="5">
        <f>G47*1%</f>
        <v>3273.03</v>
      </c>
      <c r="K47" s="5">
        <f>G47*5%</f>
        <v>16365.150000000001</v>
      </c>
      <c r="L47" s="5"/>
      <c r="M47" s="5"/>
      <c r="N47" s="5">
        <f>H47</f>
        <v>58914.54</v>
      </c>
      <c r="O47" s="5">
        <v>0</v>
      </c>
      <c r="P47" s="5">
        <v>0</v>
      </c>
      <c r="Q47" s="5">
        <f>G47-J47-K47-L47-M47-P47</f>
        <v>307664.81999999995</v>
      </c>
      <c r="R47" s="43"/>
      <c r="S47" s="5"/>
      <c r="T47" s="5">
        <v>100000</v>
      </c>
      <c r="U47" s="5">
        <f t="shared" si="37"/>
        <v>1000</v>
      </c>
      <c r="V47" s="5">
        <v>99000</v>
      </c>
      <c r="W47" s="5" t="s">
        <v>174</v>
      </c>
      <c r="X47" s="30"/>
    </row>
    <row r="48" spans="1:24" ht="24.9" customHeight="1" x14ac:dyDescent="0.3">
      <c r="A48" s="16"/>
      <c r="B48" s="20"/>
      <c r="C48" s="80"/>
      <c r="D48" s="59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42">
        <f>A49</f>
        <v>57870</v>
      </c>
      <c r="S48" s="20"/>
      <c r="T48" s="20"/>
      <c r="U48" s="20"/>
      <c r="V48" s="20"/>
      <c r="W48" s="44"/>
      <c r="X48" s="32">
        <f>SUM(Q41:Q47,0)-SUM(V41:V47,0)</f>
        <v>42341.299999999814</v>
      </c>
    </row>
    <row r="49" spans="1:24" ht="24.9" customHeight="1" x14ac:dyDescent="0.3">
      <c r="A49" s="1">
        <v>57870</v>
      </c>
      <c r="B49" s="5" t="s">
        <v>203</v>
      </c>
      <c r="C49" s="98">
        <v>45208</v>
      </c>
      <c r="D49" s="60">
        <v>20</v>
      </c>
      <c r="E49" s="5">
        <v>188825</v>
      </c>
      <c r="F49" s="5">
        <v>0</v>
      </c>
      <c r="G49" s="5">
        <f>E49-F49</f>
        <v>188825</v>
      </c>
      <c r="H49" s="5">
        <f>G49*18%</f>
        <v>33988.5</v>
      </c>
      <c r="I49" s="5">
        <f>G49+H49</f>
        <v>222813.5</v>
      </c>
      <c r="J49" s="5">
        <f>G49*1%</f>
        <v>1888.25</v>
      </c>
      <c r="K49" s="5">
        <f>G49*5%</f>
        <v>9441.25</v>
      </c>
      <c r="L49" s="5"/>
      <c r="M49" s="5">
        <f>G49*10%</f>
        <v>18882.5</v>
      </c>
      <c r="N49" s="5">
        <f>H49</f>
        <v>33988.5</v>
      </c>
      <c r="O49" s="5">
        <v>0</v>
      </c>
      <c r="P49" s="5">
        <v>0</v>
      </c>
      <c r="Q49" s="5">
        <f>G49-J49-K49-L49-M49-P49</f>
        <v>158613</v>
      </c>
      <c r="R49" s="43"/>
      <c r="S49" s="5" t="s">
        <v>57</v>
      </c>
      <c r="T49" s="5">
        <v>200000</v>
      </c>
      <c r="U49" s="5">
        <v>2000</v>
      </c>
      <c r="V49" s="5">
        <f>T49-U49</f>
        <v>198000</v>
      </c>
      <c r="W49" s="5" t="s">
        <v>56</v>
      </c>
      <c r="X49" s="30"/>
    </row>
    <row r="50" spans="1:24" ht="24.9" customHeight="1" x14ac:dyDescent="0.3">
      <c r="A50" s="1">
        <v>57870</v>
      </c>
      <c r="B50" s="5" t="s">
        <v>203</v>
      </c>
      <c r="C50" s="98">
        <v>45286</v>
      </c>
      <c r="D50" s="60">
        <v>29</v>
      </c>
      <c r="E50" s="5">
        <v>377650</v>
      </c>
      <c r="F50" s="5">
        <v>281885</v>
      </c>
      <c r="G50" s="5">
        <f>E50-F50</f>
        <v>95765</v>
      </c>
      <c r="H50" s="5">
        <f>G50*18%</f>
        <v>17237.7</v>
      </c>
      <c r="I50" s="5">
        <f>G50+H50</f>
        <v>113002.7</v>
      </c>
      <c r="J50" s="5">
        <f>G50*1%</f>
        <v>957.65</v>
      </c>
      <c r="K50" s="5">
        <f>G50*5%</f>
        <v>4788.25</v>
      </c>
      <c r="L50" s="5"/>
      <c r="M50" s="5">
        <f>G50*10%</f>
        <v>9576.5</v>
      </c>
      <c r="N50" s="5">
        <f>H50</f>
        <v>17237.7</v>
      </c>
      <c r="O50" s="5">
        <v>0</v>
      </c>
      <c r="P50" s="5">
        <v>0</v>
      </c>
      <c r="Q50" s="5">
        <f>G50-J50-K50-L50-M50-P50</f>
        <v>80442.600000000006</v>
      </c>
      <c r="R50" s="43"/>
      <c r="S50" s="5" t="s">
        <v>61</v>
      </c>
      <c r="T50" s="5">
        <v>100000</v>
      </c>
      <c r="U50" s="5">
        <f>T50*1%</f>
        <v>1000</v>
      </c>
      <c r="V50" s="5">
        <f>T50-U50</f>
        <v>99000</v>
      </c>
      <c r="W50" s="5" t="s">
        <v>60</v>
      </c>
      <c r="X50" s="30"/>
    </row>
    <row r="51" spans="1:24" ht="24.9" customHeight="1" x14ac:dyDescent="0.3">
      <c r="A51" s="1">
        <v>57870</v>
      </c>
      <c r="B51" s="5" t="s">
        <v>149</v>
      </c>
      <c r="C51" s="98">
        <v>45208</v>
      </c>
      <c r="D51" s="60">
        <v>20</v>
      </c>
      <c r="E51" s="5">
        <v>33988.5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f>E51</f>
        <v>33988.5</v>
      </c>
      <c r="R51" s="43"/>
      <c r="S51" s="5" t="s">
        <v>125</v>
      </c>
      <c r="T51" s="5">
        <v>30000</v>
      </c>
      <c r="U51" s="5">
        <f>T51*1%</f>
        <v>300</v>
      </c>
      <c r="V51" s="5">
        <f>T51-U51</f>
        <v>29700</v>
      </c>
      <c r="W51" s="5" t="s">
        <v>124</v>
      </c>
      <c r="X51" s="30"/>
    </row>
    <row r="52" spans="1:24" ht="24.9" customHeight="1" x14ac:dyDescent="0.3">
      <c r="A52" s="1">
        <v>57870</v>
      </c>
      <c r="B52" s="5" t="s">
        <v>203</v>
      </c>
      <c r="C52" s="98">
        <v>45001</v>
      </c>
      <c r="D52" s="60">
        <v>40</v>
      </c>
      <c r="E52" s="5">
        <v>941875</v>
      </c>
      <c r="F52" s="5">
        <f>588548.94+1350</f>
        <v>589898.93999999994</v>
      </c>
      <c r="G52" s="5">
        <f>E52-F52</f>
        <v>351976.06000000006</v>
      </c>
      <c r="H52" s="5">
        <f>G52*18%</f>
        <v>63355.690800000011</v>
      </c>
      <c r="I52" s="5">
        <f>G52+H52</f>
        <v>415331.75080000004</v>
      </c>
      <c r="J52" s="5">
        <f>G52*1%</f>
        <v>3519.7606000000005</v>
      </c>
      <c r="K52" s="5">
        <f>G52*5%</f>
        <v>17598.803000000004</v>
      </c>
      <c r="L52" s="5"/>
      <c r="M52" s="5"/>
      <c r="N52" s="5">
        <f>H52</f>
        <v>63355.690800000011</v>
      </c>
      <c r="O52" s="5">
        <v>0</v>
      </c>
      <c r="P52" s="5">
        <v>0</v>
      </c>
      <c r="Q52" s="5">
        <f>G52-J52-K52-L52-M52-P52</f>
        <v>330857.49640000006</v>
      </c>
      <c r="R52" s="66" t="s">
        <v>191</v>
      </c>
      <c r="S52" s="5" t="s">
        <v>151</v>
      </c>
      <c r="T52" s="5">
        <v>200000</v>
      </c>
      <c r="U52" s="5">
        <f t="shared" ref="U52:U54" si="39">T52*1%</f>
        <v>2000</v>
      </c>
      <c r="V52" s="5">
        <v>198000</v>
      </c>
      <c r="W52" s="5" t="s">
        <v>150</v>
      </c>
      <c r="X52" s="30"/>
    </row>
    <row r="53" spans="1:24" ht="24.9" customHeight="1" x14ac:dyDescent="0.3">
      <c r="A53" s="1">
        <v>57870</v>
      </c>
      <c r="B53" s="5"/>
      <c r="C53" s="83"/>
      <c r="D53" s="6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43"/>
      <c r="S53" s="5"/>
      <c r="T53" s="5">
        <v>200000</v>
      </c>
      <c r="U53" s="5">
        <f t="shared" si="39"/>
        <v>2000</v>
      </c>
      <c r="V53" s="5">
        <v>198000</v>
      </c>
      <c r="W53" s="5" t="s">
        <v>172</v>
      </c>
      <c r="X53" s="30"/>
    </row>
    <row r="54" spans="1:24" ht="24.9" customHeight="1" x14ac:dyDescent="0.3">
      <c r="A54" s="1">
        <v>57870</v>
      </c>
      <c r="B54" s="5"/>
      <c r="C54" s="83"/>
      <c r="D54" s="60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43"/>
      <c r="S54" s="5"/>
      <c r="T54" s="5">
        <v>100000</v>
      </c>
      <c r="U54" s="5">
        <f t="shared" si="39"/>
        <v>1000</v>
      </c>
      <c r="V54" s="5">
        <v>99000</v>
      </c>
      <c r="W54" s="5" t="s">
        <v>171</v>
      </c>
      <c r="X54" s="30"/>
    </row>
    <row r="55" spans="1:24" ht="24.9" customHeight="1" x14ac:dyDescent="0.3">
      <c r="A55" s="1">
        <v>57870</v>
      </c>
      <c r="B55" s="5"/>
      <c r="C55" s="83"/>
      <c r="D55" s="60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43"/>
      <c r="S55" s="5"/>
      <c r="T55" s="5"/>
      <c r="U55" s="5"/>
      <c r="V55" s="5"/>
      <c r="W55" s="45"/>
      <c r="X55" s="30"/>
    </row>
    <row r="56" spans="1:24" s="16" customFormat="1" ht="24.9" customHeight="1" x14ac:dyDescent="0.3">
      <c r="B56" s="20"/>
      <c r="C56" s="80"/>
      <c r="D56" s="59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42">
        <f>A57</f>
        <v>57275</v>
      </c>
      <c r="S56" s="20"/>
      <c r="T56" s="20"/>
      <c r="U56" s="20"/>
      <c r="V56" s="20"/>
      <c r="W56" s="44"/>
      <c r="X56" s="32">
        <f>SUM(Q49:Q55,0)-SUM(V49:V55,0)</f>
        <v>-217798.40359999996</v>
      </c>
    </row>
    <row r="57" spans="1:24" ht="24.9" customHeight="1" x14ac:dyDescent="0.3">
      <c r="A57" s="1">
        <v>57275</v>
      </c>
      <c r="B57" s="5" t="s">
        <v>204</v>
      </c>
      <c r="C57" s="98">
        <v>45131</v>
      </c>
      <c r="D57" s="60">
        <v>10</v>
      </c>
      <c r="E57" s="5">
        <v>442500</v>
      </c>
      <c r="F57" s="5">
        <v>22351.23</v>
      </c>
      <c r="G57" s="5">
        <f>E57-F57</f>
        <v>420148.77</v>
      </c>
      <c r="H57" s="5">
        <f>G57*18%</f>
        <v>75626.778600000005</v>
      </c>
      <c r="I57" s="5">
        <f t="shared" ref="I57:I62" si="40">G57+H57</f>
        <v>495775.54860000004</v>
      </c>
      <c r="J57" s="5">
        <f>G57*1%</f>
        <v>4201.4877000000006</v>
      </c>
      <c r="K57" s="5">
        <f>G57*5%</f>
        <v>21007.438500000004</v>
      </c>
      <c r="L57" s="5"/>
      <c r="M57" s="5"/>
      <c r="N57" s="5">
        <f>H57</f>
        <v>75626.778600000005</v>
      </c>
      <c r="O57" s="5">
        <v>0</v>
      </c>
      <c r="P57" s="5">
        <v>0</v>
      </c>
      <c r="Q57" s="5">
        <f>G57-J57-K57-L57-M57</f>
        <v>394939.84380000003</v>
      </c>
      <c r="R57" s="43"/>
      <c r="S57" s="5" t="s">
        <v>42</v>
      </c>
      <c r="T57" s="5">
        <v>200000</v>
      </c>
      <c r="U57" s="5">
        <f>T57*1%</f>
        <v>2000</v>
      </c>
      <c r="V57" s="5">
        <f>T57-U57</f>
        <v>198000</v>
      </c>
      <c r="W57" s="5" t="s">
        <v>47</v>
      </c>
      <c r="X57" s="30"/>
    </row>
    <row r="58" spans="1:24" ht="24.9" customHeight="1" x14ac:dyDescent="0.3">
      <c r="A58" s="1">
        <v>57275</v>
      </c>
      <c r="B58" s="22" t="s">
        <v>33</v>
      </c>
      <c r="C58" s="81"/>
      <c r="D58" s="54">
        <v>10</v>
      </c>
      <c r="E58" s="5">
        <f>N57</f>
        <v>75626.778600000005</v>
      </c>
      <c r="F58" s="5"/>
      <c r="G58" s="5">
        <f t="shared" ref="G58" si="41">E58-F58</f>
        <v>75626.778600000005</v>
      </c>
      <c r="H58" s="5"/>
      <c r="I58" s="5">
        <f t="shared" si="40"/>
        <v>75626.778600000005</v>
      </c>
      <c r="J58" s="5"/>
      <c r="K58" s="5"/>
      <c r="L58" s="5"/>
      <c r="M58" s="5"/>
      <c r="N58" s="5"/>
      <c r="O58" s="5"/>
      <c r="P58" s="5"/>
      <c r="Q58" s="5">
        <f>I58-SUM(J58:P58)</f>
        <v>75626.778600000005</v>
      </c>
      <c r="R58" s="43"/>
      <c r="S58" s="5" t="s">
        <v>43</v>
      </c>
      <c r="T58" s="5">
        <v>100000</v>
      </c>
      <c r="U58" s="5">
        <f>T58*1%</f>
        <v>1000</v>
      </c>
      <c r="V58" s="5">
        <f t="shared" ref="V58:V61" si="42">T58-U58</f>
        <v>99000</v>
      </c>
      <c r="W58" s="5" t="s">
        <v>48</v>
      </c>
      <c r="X58" s="30"/>
    </row>
    <row r="59" spans="1:24" ht="24.9" customHeight="1" x14ac:dyDescent="0.3">
      <c r="A59" s="1">
        <v>57275</v>
      </c>
      <c r="B59" s="5" t="s">
        <v>204</v>
      </c>
      <c r="C59" s="98">
        <v>45202</v>
      </c>
      <c r="D59" s="60">
        <v>18</v>
      </c>
      <c r="E59" s="5">
        <v>295000</v>
      </c>
      <c r="F59" s="5">
        <v>138775</v>
      </c>
      <c r="G59" s="5">
        <f>E59-F59</f>
        <v>156225</v>
      </c>
      <c r="H59" s="5">
        <f>G59*18%</f>
        <v>28120.5</v>
      </c>
      <c r="I59" s="5">
        <f t="shared" si="40"/>
        <v>184345.5</v>
      </c>
      <c r="J59" s="5">
        <f>G59*1%</f>
        <v>1562.25</v>
      </c>
      <c r="K59" s="5">
        <f>5%*G59</f>
        <v>7811.25</v>
      </c>
      <c r="L59" s="5"/>
      <c r="M59" s="5"/>
      <c r="N59" s="5">
        <f>H59</f>
        <v>28120.5</v>
      </c>
      <c r="O59" s="5">
        <v>0</v>
      </c>
      <c r="P59" s="5">
        <v>0</v>
      </c>
      <c r="Q59" s="5">
        <f>G59-J59-K59-L59-M59</f>
        <v>146851.5</v>
      </c>
      <c r="R59" s="43"/>
      <c r="S59" s="5" t="s">
        <v>49</v>
      </c>
      <c r="T59" s="5">
        <v>97941</v>
      </c>
      <c r="U59" s="5"/>
      <c r="V59" s="5">
        <f t="shared" si="42"/>
        <v>97941</v>
      </c>
      <c r="W59" s="5" t="s">
        <v>46</v>
      </c>
      <c r="X59" s="30"/>
    </row>
    <row r="60" spans="1:24" ht="24.9" customHeight="1" x14ac:dyDescent="0.3">
      <c r="A60" s="1">
        <v>57275</v>
      </c>
      <c r="B60" s="22" t="s">
        <v>33</v>
      </c>
      <c r="C60" s="81"/>
      <c r="D60" s="54">
        <v>18</v>
      </c>
      <c r="E60" s="5">
        <f>N59</f>
        <v>28120.5</v>
      </c>
      <c r="F60" s="5"/>
      <c r="G60" s="5">
        <f t="shared" ref="G60" si="43">E60-F60</f>
        <v>28120.5</v>
      </c>
      <c r="H60" s="5"/>
      <c r="I60" s="5">
        <f t="shared" si="40"/>
        <v>28120.5</v>
      </c>
      <c r="J60" s="5"/>
      <c r="K60" s="5"/>
      <c r="L60" s="5"/>
      <c r="M60" s="5"/>
      <c r="N60" s="5"/>
      <c r="O60" s="5"/>
      <c r="P60" s="5"/>
      <c r="Q60" s="5">
        <f>I60-SUM(J60:P60)</f>
        <v>28120.5</v>
      </c>
      <c r="R60" s="43"/>
      <c r="S60" s="5" t="s">
        <v>50</v>
      </c>
      <c r="T60" s="5">
        <v>150000</v>
      </c>
      <c r="U60" s="5">
        <f>T60*1%</f>
        <v>1500</v>
      </c>
      <c r="V60" s="5">
        <f t="shared" si="42"/>
        <v>148500</v>
      </c>
      <c r="W60" s="5" t="s">
        <v>45</v>
      </c>
      <c r="X60" s="30"/>
    </row>
    <row r="61" spans="1:24" ht="24.9" customHeight="1" x14ac:dyDescent="0.3">
      <c r="A61" s="1">
        <v>57275</v>
      </c>
      <c r="B61" s="5" t="s">
        <v>204</v>
      </c>
      <c r="C61" s="98">
        <v>45222</v>
      </c>
      <c r="D61" s="60">
        <v>21</v>
      </c>
      <c r="E61" s="5">
        <v>295000</v>
      </c>
      <c r="F61" s="5">
        <v>119852</v>
      </c>
      <c r="G61" s="5">
        <f>E61-F61</f>
        <v>175148</v>
      </c>
      <c r="H61" s="5">
        <f>G61*18%</f>
        <v>31526.639999999999</v>
      </c>
      <c r="I61" s="5">
        <f t="shared" si="40"/>
        <v>206674.64</v>
      </c>
      <c r="J61" s="5">
        <f>G61*1%</f>
        <v>1751.48</v>
      </c>
      <c r="K61" s="5">
        <f>5%*G61</f>
        <v>8757.4</v>
      </c>
      <c r="L61" s="5"/>
      <c r="M61" s="5"/>
      <c r="N61" s="5">
        <f>H61</f>
        <v>31526.639999999999</v>
      </c>
      <c r="O61" s="5">
        <v>0</v>
      </c>
      <c r="P61" s="5">
        <v>0</v>
      </c>
      <c r="Q61" s="5">
        <f>G61-J61-K61-L61-M61</f>
        <v>164639.12</v>
      </c>
      <c r="R61" s="43"/>
      <c r="S61" s="5" t="s">
        <v>51</v>
      </c>
      <c r="T61" s="5">
        <v>75627</v>
      </c>
      <c r="U61" s="5"/>
      <c r="V61" s="5">
        <f t="shared" si="42"/>
        <v>75627</v>
      </c>
      <c r="W61" s="5" t="s">
        <v>44</v>
      </c>
      <c r="X61" s="30"/>
    </row>
    <row r="62" spans="1:24" ht="24.9" customHeight="1" x14ac:dyDescent="0.3">
      <c r="A62" s="1">
        <v>57275</v>
      </c>
      <c r="B62" s="22" t="s">
        <v>33</v>
      </c>
      <c r="C62" s="81"/>
      <c r="D62" s="54">
        <v>21</v>
      </c>
      <c r="E62" s="5">
        <f>N61</f>
        <v>31526.639999999999</v>
      </c>
      <c r="F62" s="5"/>
      <c r="G62" s="5">
        <f t="shared" ref="G62" si="44">E62-F62</f>
        <v>31526.639999999999</v>
      </c>
      <c r="H62" s="5"/>
      <c r="I62" s="5">
        <f t="shared" si="40"/>
        <v>31526.639999999999</v>
      </c>
      <c r="J62" s="5"/>
      <c r="K62" s="5"/>
      <c r="L62" s="5"/>
      <c r="M62" s="5"/>
      <c r="N62" s="5"/>
      <c r="O62" s="5"/>
      <c r="P62" s="5"/>
      <c r="Q62" s="5">
        <f>I62-SUM(J62:P62)</f>
        <v>31526.639999999999</v>
      </c>
      <c r="R62" s="43"/>
      <c r="S62" s="5" t="s">
        <v>59</v>
      </c>
      <c r="T62" s="5">
        <v>100000</v>
      </c>
      <c r="U62" s="5">
        <f>T62*1%</f>
        <v>1000</v>
      </c>
      <c r="V62" s="5">
        <f t="shared" ref="V62" si="45">T62-U62</f>
        <v>99000</v>
      </c>
      <c r="W62" s="5" t="s">
        <v>58</v>
      </c>
      <c r="X62" s="30"/>
    </row>
    <row r="63" spans="1:24" ht="24.9" customHeight="1" x14ac:dyDescent="0.3">
      <c r="A63" s="1">
        <v>57275</v>
      </c>
      <c r="B63" s="5"/>
      <c r="C63" s="83"/>
      <c r="D63" s="60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43"/>
      <c r="S63" s="5" t="s">
        <v>96</v>
      </c>
      <c r="T63" s="5">
        <v>100000</v>
      </c>
      <c r="U63" s="5">
        <f>T63*1%</f>
        <v>1000</v>
      </c>
      <c r="V63" s="5">
        <f t="shared" ref="V63" si="46">T63-U63</f>
        <v>99000</v>
      </c>
      <c r="W63" s="5" t="s">
        <v>95</v>
      </c>
      <c r="X63" s="30"/>
    </row>
    <row r="64" spans="1:24" ht="24.9" customHeight="1" x14ac:dyDescent="0.3">
      <c r="A64" s="1">
        <v>57275</v>
      </c>
      <c r="B64" s="5"/>
      <c r="C64" s="83"/>
      <c r="D64" s="60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43"/>
      <c r="S64" s="5" t="s">
        <v>127</v>
      </c>
      <c r="T64" s="5">
        <v>50000</v>
      </c>
      <c r="U64" s="5">
        <f>T64*1%</f>
        <v>500</v>
      </c>
      <c r="V64" s="5">
        <f t="shared" ref="V64" si="47">T64-U64</f>
        <v>49500</v>
      </c>
      <c r="W64" s="5" t="s">
        <v>126</v>
      </c>
      <c r="X64" s="30"/>
    </row>
    <row r="65" spans="1:24" ht="24.9" customHeight="1" x14ac:dyDescent="0.3">
      <c r="A65" s="1">
        <v>57275</v>
      </c>
      <c r="B65" s="5"/>
      <c r="C65" s="83"/>
      <c r="D65" s="60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43"/>
      <c r="S65" s="5"/>
      <c r="T65" s="5"/>
      <c r="U65" s="5"/>
      <c r="V65" s="5"/>
      <c r="W65" s="5"/>
      <c r="X65" s="30"/>
    </row>
    <row r="66" spans="1:24" ht="24.9" customHeight="1" x14ac:dyDescent="0.3">
      <c r="A66" s="16"/>
      <c r="B66" s="20"/>
      <c r="C66" s="80"/>
      <c r="D66" s="59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42">
        <f>A67</f>
        <v>56244</v>
      </c>
      <c r="S66" s="18"/>
      <c r="T66" s="18"/>
      <c r="U66" s="24"/>
      <c r="V66" s="18"/>
      <c r="W66" s="18"/>
      <c r="X66" s="32">
        <f>SUM(Q57:Q64,0)-SUM(V57:V64,0)</f>
        <v>-24863.617599999998</v>
      </c>
    </row>
    <row r="67" spans="1:24" ht="24.9" customHeight="1" x14ac:dyDescent="0.3">
      <c r="A67" s="1">
        <v>56244</v>
      </c>
      <c r="B67" s="5" t="s">
        <v>19</v>
      </c>
      <c r="C67" s="99">
        <v>45022</v>
      </c>
      <c r="D67" s="60">
        <v>1</v>
      </c>
      <c r="E67" s="5">
        <v>677736</v>
      </c>
      <c r="F67" s="5">
        <v>0</v>
      </c>
      <c r="G67" s="5">
        <f>E67-F67</f>
        <v>677736</v>
      </c>
      <c r="H67" s="5">
        <f>G67*18%</f>
        <v>121992.48</v>
      </c>
      <c r="I67" s="5">
        <f>G67+H67</f>
        <v>799728.48</v>
      </c>
      <c r="J67" s="5">
        <f>G67*1%</f>
        <v>6777.3600000000006</v>
      </c>
      <c r="K67" s="5">
        <f>G67*5%</f>
        <v>33886.800000000003</v>
      </c>
      <c r="L67" s="5">
        <f>G67*10%</f>
        <v>67773.600000000006</v>
      </c>
      <c r="M67" s="5">
        <f>G67*10%</f>
        <v>67773.600000000006</v>
      </c>
      <c r="N67" s="5">
        <f>H67</f>
        <v>121992.48</v>
      </c>
      <c r="O67" s="5">
        <v>0</v>
      </c>
      <c r="P67" s="5">
        <v>0</v>
      </c>
      <c r="Q67" s="5">
        <f>G67-J67-K67-L67-M67-P67</f>
        <v>501524.64</v>
      </c>
      <c r="R67" s="43"/>
      <c r="S67" s="5" t="s">
        <v>26</v>
      </c>
      <c r="T67" s="5">
        <v>350000</v>
      </c>
      <c r="U67" s="5">
        <f t="shared" ref="U67" si="48">T67*1%</f>
        <v>3500</v>
      </c>
      <c r="V67" s="5">
        <f>T67-U67</f>
        <v>346500</v>
      </c>
      <c r="W67" s="5" t="s">
        <v>20</v>
      </c>
      <c r="X67" s="30"/>
    </row>
    <row r="68" spans="1:24" ht="24.9" customHeight="1" x14ac:dyDescent="0.3">
      <c r="A68" s="1">
        <v>56244</v>
      </c>
      <c r="B68" s="25" t="s">
        <v>81</v>
      </c>
      <c r="C68" s="84"/>
      <c r="D68" s="56">
        <v>1</v>
      </c>
      <c r="E68" s="26">
        <f>N67</f>
        <v>121992.48</v>
      </c>
      <c r="F68" s="26"/>
      <c r="G68" s="26"/>
      <c r="H68" s="26"/>
      <c r="I68" s="26"/>
      <c r="J68" s="26"/>
      <c r="K68" s="26"/>
      <c r="L68" s="26"/>
      <c r="M68" s="26"/>
      <c r="N68" s="26">
        <f t="shared" ref="N68" si="49">H68</f>
        <v>0</v>
      </c>
      <c r="O68" s="26"/>
      <c r="P68" s="26"/>
      <c r="Q68" s="26">
        <f>E68</f>
        <v>121992.48</v>
      </c>
      <c r="R68" s="43"/>
      <c r="S68" s="5" t="s">
        <v>27</v>
      </c>
      <c r="T68" s="5">
        <v>155025</v>
      </c>
      <c r="U68" s="5"/>
      <c r="V68" s="5">
        <f t="shared" ref="V68:V74" si="50">T68-U68</f>
        <v>155025</v>
      </c>
      <c r="W68" s="5" t="s">
        <v>21</v>
      </c>
      <c r="X68" s="30"/>
    </row>
    <row r="69" spans="1:24" ht="24.9" customHeight="1" x14ac:dyDescent="0.3">
      <c r="A69" s="1">
        <v>56244</v>
      </c>
      <c r="B69" s="5" t="s">
        <v>19</v>
      </c>
      <c r="C69" s="99">
        <v>45055</v>
      </c>
      <c r="D69" s="60">
        <v>3</v>
      </c>
      <c r="E69" s="5">
        <v>393436</v>
      </c>
      <c r="F69" s="5">
        <v>0</v>
      </c>
      <c r="G69" s="5">
        <f>E69-F69</f>
        <v>393436</v>
      </c>
      <c r="H69" s="5">
        <f>G69*18%</f>
        <v>70818.48</v>
      </c>
      <c r="I69" s="5">
        <f>G69+H69</f>
        <v>464254.48</v>
      </c>
      <c r="J69" s="5">
        <f>G69*1%</f>
        <v>3934.36</v>
      </c>
      <c r="K69" s="5">
        <f>G69*5%</f>
        <v>19671.800000000003</v>
      </c>
      <c r="L69" s="5">
        <f>G69*10%</f>
        <v>39343.600000000006</v>
      </c>
      <c r="M69" s="5">
        <f>G69*10%</f>
        <v>39343.600000000006</v>
      </c>
      <c r="N69" s="5">
        <f>H69</f>
        <v>70818.48</v>
      </c>
      <c r="O69" s="5">
        <v>0</v>
      </c>
      <c r="P69" s="5">
        <v>39502</v>
      </c>
      <c r="Q69" s="5">
        <f>G69-J69-K69-L69-M69-P69</f>
        <v>251640.64</v>
      </c>
      <c r="R69" s="43"/>
      <c r="S69" s="5" t="s">
        <v>28</v>
      </c>
      <c r="T69" s="5">
        <v>251640</v>
      </c>
      <c r="U69" s="5"/>
      <c r="V69" s="5">
        <f t="shared" si="50"/>
        <v>251640</v>
      </c>
      <c r="W69" s="5" t="s">
        <v>22</v>
      </c>
      <c r="X69" s="30"/>
    </row>
    <row r="70" spans="1:24" ht="24.9" customHeight="1" x14ac:dyDescent="0.3">
      <c r="A70" s="1">
        <v>56244</v>
      </c>
      <c r="B70" s="25" t="s">
        <v>81</v>
      </c>
      <c r="C70" s="84"/>
      <c r="D70" s="56">
        <v>3</v>
      </c>
      <c r="E70" s="26">
        <f>N69</f>
        <v>70818.48</v>
      </c>
      <c r="F70" s="26"/>
      <c r="G70" s="26"/>
      <c r="H70" s="26"/>
      <c r="I70" s="26"/>
      <c r="J70" s="26"/>
      <c r="K70" s="26"/>
      <c r="L70" s="26"/>
      <c r="M70" s="26"/>
      <c r="N70" s="26">
        <f t="shared" ref="N70" si="51">H70</f>
        <v>0</v>
      </c>
      <c r="O70" s="26"/>
      <c r="P70" s="26"/>
      <c r="Q70" s="26">
        <f>E70</f>
        <v>70818.48</v>
      </c>
      <c r="R70" s="43"/>
      <c r="S70" s="5" t="s">
        <v>29</v>
      </c>
      <c r="T70" s="5">
        <v>121992</v>
      </c>
      <c r="U70" s="5"/>
      <c r="V70" s="5">
        <f t="shared" si="50"/>
        <v>121992</v>
      </c>
      <c r="W70" s="5" t="s">
        <v>23</v>
      </c>
      <c r="X70" s="30"/>
    </row>
    <row r="71" spans="1:24" ht="24.9" customHeight="1" x14ac:dyDescent="0.3">
      <c r="A71" s="1">
        <v>56244</v>
      </c>
      <c r="B71" s="5" t="s">
        <v>19</v>
      </c>
      <c r="C71" s="99">
        <v>45180</v>
      </c>
      <c r="D71" s="60">
        <v>15</v>
      </c>
      <c r="E71" s="5">
        <v>314624</v>
      </c>
      <c r="F71" s="5">
        <v>0</v>
      </c>
      <c r="G71" s="5">
        <f>E71-F71</f>
        <v>314624</v>
      </c>
      <c r="H71" s="5">
        <f>G71*18%</f>
        <v>56632.32</v>
      </c>
      <c r="I71" s="5">
        <f>G71+H71</f>
        <v>371256.32000000001</v>
      </c>
      <c r="J71" s="5">
        <f>G71*1%</f>
        <v>3146.2400000000002</v>
      </c>
      <c r="K71" s="5">
        <f>G71*5%</f>
        <v>15731.2</v>
      </c>
      <c r="L71" s="5">
        <f>G71*10%</f>
        <v>31462.400000000001</v>
      </c>
      <c r="M71" s="5">
        <f>G71*10%</f>
        <v>31462.400000000001</v>
      </c>
      <c r="N71" s="5">
        <f>H71</f>
        <v>56632.32</v>
      </c>
      <c r="O71" s="5">
        <v>0</v>
      </c>
      <c r="P71" s="5">
        <v>1259</v>
      </c>
      <c r="Q71" s="5">
        <f>G71-J71-K71-L71-M71-P71</f>
        <v>231562.75999999998</v>
      </c>
      <c r="R71" s="43"/>
      <c r="S71" s="5" t="s">
        <v>30</v>
      </c>
      <c r="T71" s="5">
        <v>39502</v>
      </c>
      <c r="U71" s="5"/>
      <c r="V71" s="5">
        <f t="shared" si="50"/>
        <v>39502</v>
      </c>
      <c r="W71" s="5" t="s">
        <v>24</v>
      </c>
      <c r="X71" s="30"/>
    </row>
    <row r="72" spans="1:24" ht="24.9" customHeight="1" x14ac:dyDescent="0.3">
      <c r="A72" s="1">
        <v>56244</v>
      </c>
      <c r="B72" s="25" t="s">
        <v>81</v>
      </c>
      <c r="C72" s="84"/>
      <c r="D72" s="56">
        <v>15</v>
      </c>
      <c r="E72" s="26">
        <f>N71</f>
        <v>56632.32</v>
      </c>
      <c r="F72" s="26"/>
      <c r="G72" s="26"/>
      <c r="H72" s="26"/>
      <c r="I72" s="26"/>
      <c r="J72" s="26"/>
      <c r="K72" s="26"/>
      <c r="L72" s="26"/>
      <c r="M72" s="26"/>
      <c r="N72" s="26">
        <f t="shared" ref="N72" si="52">H72</f>
        <v>0</v>
      </c>
      <c r="O72" s="26"/>
      <c r="P72" s="26"/>
      <c r="Q72" s="26">
        <f>E72</f>
        <v>56632.32</v>
      </c>
      <c r="R72" s="43"/>
      <c r="S72" s="5" t="s">
        <v>31</v>
      </c>
      <c r="T72" s="5">
        <v>70818</v>
      </c>
      <c r="U72" s="5"/>
      <c r="V72" s="5">
        <f t="shared" si="50"/>
        <v>70818</v>
      </c>
      <c r="W72" s="5" t="s">
        <v>25</v>
      </c>
      <c r="X72" s="30"/>
    </row>
    <row r="73" spans="1:24" ht="24.9" customHeight="1" x14ac:dyDescent="0.3">
      <c r="A73" s="1">
        <v>56244</v>
      </c>
      <c r="B73" s="5" t="s">
        <v>187</v>
      </c>
      <c r="C73" s="83"/>
      <c r="D73" s="60"/>
      <c r="E73" s="5">
        <f>P69</f>
        <v>39502</v>
      </c>
      <c r="F73" s="5"/>
      <c r="G73" s="5">
        <f>E73</f>
        <v>39502</v>
      </c>
      <c r="H73" s="5"/>
      <c r="I73" s="5"/>
      <c r="J73" s="5"/>
      <c r="K73" s="5"/>
      <c r="L73" s="5"/>
      <c r="M73" s="5"/>
      <c r="N73" s="5"/>
      <c r="O73" s="5"/>
      <c r="P73" s="5"/>
      <c r="Q73" s="5">
        <f>E73</f>
        <v>39502</v>
      </c>
      <c r="R73" s="43"/>
      <c r="S73" s="5" t="s">
        <v>32</v>
      </c>
      <c r="T73" s="5">
        <v>150000</v>
      </c>
      <c r="U73" s="5">
        <f t="shared" ref="U73:U75" si="53">T73*1%</f>
        <v>1500</v>
      </c>
      <c r="V73" s="5">
        <f t="shared" si="50"/>
        <v>148500</v>
      </c>
      <c r="W73" s="5" t="s">
        <v>18</v>
      </c>
      <c r="X73" s="30"/>
    </row>
    <row r="74" spans="1:24" ht="24.9" customHeight="1" x14ac:dyDescent="0.3">
      <c r="A74" s="1">
        <v>56244</v>
      </c>
      <c r="B74" s="5"/>
      <c r="C74" s="83"/>
      <c r="D74" s="60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43"/>
      <c r="S74" s="5" t="s">
        <v>101</v>
      </c>
      <c r="T74" s="5">
        <v>83064</v>
      </c>
      <c r="U74" s="5"/>
      <c r="V74" s="5">
        <f t="shared" si="50"/>
        <v>83064</v>
      </c>
      <c r="W74" s="5" t="s">
        <v>100</v>
      </c>
      <c r="X74" s="30"/>
    </row>
    <row r="75" spans="1:24" ht="24.9" customHeight="1" x14ac:dyDescent="0.3">
      <c r="A75" s="1">
        <v>56244</v>
      </c>
      <c r="B75" s="5"/>
      <c r="C75" s="83"/>
      <c r="D75" s="60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43"/>
      <c r="S75" s="5" t="s">
        <v>129</v>
      </c>
      <c r="T75" s="5">
        <v>50000</v>
      </c>
      <c r="U75" s="5">
        <f t="shared" si="53"/>
        <v>500</v>
      </c>
      <c r="V75" s="5">
        <f t="shared" ref="V75" si="54">T75-U75</f>
        <v>49500</v>
      </c>
      <c r="W75" s="5" t="s">
        <v>128</v>
      </c>
      <c r="X75" s="30"/>
    </row>
    <row r="76" spans="1:24" ht="24.9" customHeight="1" x14ac:dyDescent="0.3">
      <c r="A76" s="16"/>
      <c r="B76" s="18"/>
      <c r="C76" s="85"/>
      <c r="D76" s="61"/>
      <c r="E76" s="18"/>
      <c r="F76" s="18"/>
      <c r="G76" s="18"/>
      <c r="H76" s="18"/>
      <c r="I76" s="18"/>
      <c r="J76" s="24"/>
      <c r="K76" s="24"/>
      <c r="L76" s="24"/>
      <c r="M76" s="24"/>
      <c r="N76" s="24"/>
      <c r="O76" s="24"/>
      <c r="P76" s="24"/>
      <c r="Q76" s="18"/>
      <c r="R76" s="46">
        <f>A77</f>
        <v>56701</v>
      </c>
      <c r="S76" s="18"/>
      <c r="T76" s="18"/>
      <c r="U76" s="24"/>
      <c r="V76" s="18"/>
      <c r="W76" s="18"/>
      <c r="X76" s="32">
        <f>SUM(Q67:Q75,0)-SUM(V67:V75,0)</f>
        <v>7132.3200000000652</v>
      </c>
    </row>
    <row r="77" spans="1:24" ht="24.9" customHeight="1" x14ac:dyDescent="0.3">
      <c r="A77" s="1">
        <v>56701</v>
      </c>
      <c r="B77" s="25" t="s">
        <v>225</v>
      </c>
      <c r="C77" s="100">
        <v>45031</v>
      </c>
      <c r="D77" s="56">
        <v>2</v>
      </c>
      <c r="E77" s="26">
        <v>97361.75</v>
      </c>
      <c r="F77" s="26">
        <v>0</v>
      </c>
      <c r="G77" s="26">
        <f t="shared" ref="G77:G85" si="55">E77-F77</f>
        <v>97361.75</v>
      </c>
      <c r="H77" s="26">
        <f>ROUND(G77*18%,)</f>
        <v>17525</v>
      </c>
      <c r="I77" s="26">
        <f>ROUND(G77+H77,)</f>
        <v>114887</v>
      </c>
      <c r="J77" s="26">
        <f>G77*2%</f>
        <v>1947.2350000000001</v>
      </c>
      <c r="K77" s="26">
        <v>0</v>
      </c>
      <c r="L77" s="26"/>
      <c r="M77" s="26"/>
      <c r="N77" s="26">
        <f>H77</f>
        <v>17525</v>
      </c>
      <c r="O77" s="26"/>
      <c r="P77" s="26">
        <v>0</v>
      </c>
      <c r="Q77" s="26">
        <f>ROUND(I77-SUM(J77:P77),)</f>
        <v>95415</v>
      </c>
      <c r="R77" s="47"/>
      <c r="S77" s="26" t="s">
        <v>77</v>
      </c>
      <c r="T77" s="26">
        <v>95415</v>
      </c>
      <c r="U77" s="26">
        <v>0</v>
      </c>
      <c r="V77" s="26">
        <f>ROUND(T77-SUM(U77:U77),)</f>
        <v>95415</v>
      </c>
      <c r="W77" s="48" t="s">
        <v>78</v>
      </c>
      <c r="X77" s="30"/>
    </row>
    <row r="78" spans="1:24" ht="24.9" customHeight="1" x14ac:dyDescent="0.3">
      <c r="A78" s="1">
        <v>56701</v>
      </c>
      <c r="B78" s="25" t="s">
        <v>226</v>
      </c>
      <c r="C78" s="100">
        <v>45265</v>
      </c>
      <c r="D78" s="56">
        <v>4</v>
      </c>
      <c r="E78" s="26">
        <v>78000</v>
      </c>
      <c r="F78" s="26">
        <v>0</v>
      </c>
      <c r="G78" s="26">
        <f t="shared" si="55"/>
        <v>78000</v>
      </c>
      <c r="H78" s="26">
        <f>ROUND(G78*18%,)</f>
        <v>14040</v>
      </c>
      <c r="I78" s="26">
        <f>ROUND(G78+H78,)</f>
        <v>92040</v>
      </c>
      <c r="J78" s="26">
        <f>G78*2%</f>
        <v>1560</v>
      </c>
      <c r="K78" s="26">
        <v>0</v>
      </c>
      <c r="L78" s="26"/>
      <c r="M78" s="26"/>
      <c r="N78" s="26">
        <f t="shared" ref="N78:N85" si="56">H78</f>
        <v>14040</v>
      </c>
      <c r="O78" s="26"/>
      <c r="P78" s="26">
        <v>0</v>
      </c>
      <c r="Q78" s="26">
        <f>ROUND(I78-SUM(J78:P78),)</f>
        <v>76440</v>
      </c>
      <c r="R78" s="49"/>
      <c r="S78" s="26" t="s">
        <v>79</v>
      </c>
      <c r="T78" s="26">
        <v>17525</v>
      </c>
      <c r="U78" s="26">
        <v>0</v>
      </c>
      <c r="V78" s="26">
        <f t="shared" ref="V78:V83" si="57">T78-SUM(U78:U78)</f>
        <v>17525</v>
      </c>
      <c r="W78" s="48" t="s">
        <v>80</v>
      </c>
      <c r="X78" s="30"/>
    </row>
    <row r="79" spans="1:24" ht="24.9" customHeight="1" x14ac:dyDescent="0.3">
      <c r="A79" s="1">
        <v>56701</v>
      </c>
      <c r="B79" s="25" t="s">
        <v>81</v>
      </c>
      <c r="C79" s="100"/>
      <c r="D79" s="56">
        <v>2</v>
      </c>
      <c r="E79" s="26">
        <v>17525</v>
      </c>
      <c r="F79" s="26"/>
      <c r="G79" s="26"/>
      <c r="H79" s="26"/>
      <c r="I79" s="26"/>
      <c r="J79" s="26"/>
      <c r="K79" s="26"/>
      <c r="L79" s="26"/>
      <c r="M79" s="26"/>
      <c r="N79" s="26">
        <f t="shared" si="56"/>
        <v>0</v>
      </c>
      <c r="O79" s="26"/>
      <c r="P79" s="26"/>
      <c r="Q79" s="26">
        <f>E79</f>
        <v>17525</v>
      </c>
      <c r="R79" s="47"/>
      <c r="S79" s="26" t="s">
        <v>82</v>
      </c>
      <c r="T79" s="26">
        <v>76440</v>
      </c>
      <c r="U79" s="26">
        <v>0</v>
      </c>
      <c r="V79" s="26">
        <f t="shared" si="57"/>
        <v>76440</v>
      </c>
      <c r="W79" s="48" t="s">
        <v>83</v>
      </c>
      <c r="X79" s="30"/>
    </row>
    <row r="80" spans="1:24" ht="24.9" customHeight="1" x14ac:dyDescent="0.3">
      <c r="A80" s="1">
        <v>56701</v>
      </c>
      <c r="B80" s="25" t="s">
        <v>227</v>
      </c>
      <c r="C80" s="100">
        <v>45097</v>
      </c>
      <c r="D80" s="56">
        <v>5</v>
      </c>
      <c r="E80" s="26">
        <v>76935</v>
      </c>
      <c r="F80" s="26">
        <v>5000</v>
      </c>
      <c r="G80" s="26">
        <f t="shared" ref="G80" si="58">E80-F80</f>
        <v>71935</v>
      </c>
      <c r="H80" s="26">
        <f>ROUND(G80*18%,)</f>
        <v>12948</v>
      </c>
      <c r="I80" s="26">
        <f>ROUND(G80+H80,)</f>
        <v>84883</v>
      </c>
      <c r="J80" s="26">
        <f>G80*2%</f>
        <v>1438.7</v>
      </c>
      <c r="K80" s="26">
        <v>0</v>
      </c>
      <c r="L80" s="26"/>
      <c r="M80" s="26"/>
      <c r="N80" s="26">
        <f t="shared" si="56"/>
        <v>12948</v>
      </c>
      <c r="O80" s="26"/>
      <c r="P80" s="26">
        <v>0</v>
      </c>
      <c r="Q80" s="26">
        <f t="shared" ref="Q80:Q85" si="59">ROUND(I80-SUM(J80:P80),)</f>
        <v>70496</v>
      </c>
      <c r="R80" s="47"/>
      <c r="S80" s="26" t="s">
        <v>84</v>
      </c>
      <c r="T80" s="26">
        <v>70497</v>
      </c>
      <c r="U80" s="26">
        <v>0</v>
      </c>
      <c r="V80" s="26">
        <f t="shared" si="57"/>
        <v>70497</v>
      </c>
      <c r="W80" s="48" t="s">
        <v>85</v>
      </c>
      <c r="X80" s="30"/>
    </row>
    <row r="81" spans="1:24" ht="24.9" customHeight="1" x14ac:dyDescent="0.3">
      <c r="A81" s="1">
        <v>56701</v>
      </c>
      <c r="B81" s="25" t="s">
        <v>81</v>
      </c>
      <c r="C81" s="100">
        <v>45105</v>
      </c>
      <c r="D81" s="56">
        <v>4</v>
      </c>
      <c r="E81" s="26">
        <v>14040</v>
      </c>
      <c r="F81" s="26">
        <v>0</v>
      </c>
      <c r="G81" s="26">
        <f t="shared" si="55"/>
        <v>14040</v>
      </c>
      <c r="H81" s="26">
        <v>0</v>
      </c>
      <c r="I81" s="26">
        <f t="shared" ref="I81:I85" si="60">G81+H81</f>
        <v>14040</v>
      </c>
      <c r="J81" s="26">
        <v>0</v>
      </c>
      <c r="K81" s="26">
        <v>0</v>
      </c>
      <c r="L81" s="26"/>
      <c r="M81" s="26"/>
      <c r="N81" s="26">
        <f t="shared" si="56"/>
        <v>0</v>
      </c>
      <c r="O81" s="26"/>
      <c r="P81" s="26"/>
      <c r="Q81" s="26">
        <f t="shared" si="59"/>
        <v>14040</v>
      </c>
      <c r="R81" s="47"/>
      <c r="S81" s="26" t="s">
        <v>86</v>
      </c>
      <c r="T81" s="26">
        <v>14040</v>
      </c>
      <c r="U81" s="26">
        <v>0</v>
      </c>
      <c r="V81" s="26">
        <f t="shared" si="57"/>
        <v>14040</v>
      </c>
      <c r="W81" s="48" t="s">
        <v>87</v>
      </c>
      <c r="X81" s="30"/>
    </row>
    <row r="82" spans="1:24" ht="24.9" customHeight="1" x14ac:dyDescent="0.3">
      <c r="A82" s="1">
        <v>56701</v>
      </c>
      <c r="B82" s="25" t="s">
        <v>228</v>
      </c>
      <c r="C82" s="100">
        <v>45120</v>
      </c>
      <c r="D82" s="56">
        <v>6</v>
      </c>
      <c r="E82" s="26">
        <v>90000</v>
      </c>
      <c r="F82" s="26"/>
      <c r="G82" s="26">
        <f t="shared" si="55"/>
        <v>90000</v>
      </c>
      <c r="H82" s="26">
        <f>ROUND(G82*18%,)</f>
        <v>16200</v>
      </c>
      <c r="I82" s="26">
        <f>ROUND(G82+H82,)</f>
        <v>106200</v>
      </c>
      <c r="J82" s="26">
        <f>G82*2%</f>
        <v>1800</v>
      </c>
      <c r="K82" s="26">
        <v>0</v>
      </c>
      <c r="L82" s="26"/>
      <c r="M82" s="26"/>
      <c r="N82" s="26">
        <f t="shared" si="56"/>
        <v>16200</v>
      </c>
      <c r="O82" s="26"/>
      <c r="P82" s="26">
        <v>0</v>
      </c>
      <c r="Q82" s="26">
        <f t="shared" si="59"/>
        <v>88200</v>
      </c>
      <c r="R82" s="47"/>
      <c r="S82" s="26" t="s">
        <v>88</v>
      </c>
      <c r="T82" s="26">
        <v>99581</v>
      </c>
      <c r="U82" s="26">
        <v>0</v>
      </c>
      <c r="V82" s="26">
        <f t="shared" si="57"/>
        <v>99581</v>
      </c>
      <c r="W82" s="48" t="s">
        <v>89</v>
      </c>
      <c r="X82" s="30"/>
    </row>
    <row r="83" spans="1:24" ht="24.9" customHeight="1" x14ac:dyDescent="0.3">
      <c r="A83" s="1">
        <v>56701</v>
      </c>
      <c r="B83" s="25" t="s">
        <v>229</v>
      </c>
      <c r="C83" s="100">
        <v>45120</v>
      </c>
      <c r="D83" s="56">
        <v>7</v>
      </c>
      <c r="E83" s="26">
        <v>11612</v>
      </c>
      <c r="F83" s="26">
        <v>0</v>
      </c>
      <c r="G83" s="26">
        <f t="shared" si="55"/>
        <v>11612</v>
      </c>
      <c r="H83" s="26">
        <f>ROUND(G83*18%,)</f>
        <v>2090</v>
      </c>
      <c r="I83" s="26">
        <f t="shared" si="60"/>
        <v>13702</v>
      </c>
      <c r="J83" s="26">
        <f>G83*2%</f>
        <v>232.24</v>
      </c>
      <c r="K83" s="26">
        <v>0</v>
      </c>
      <c r="L83" s="26"/>
      <c r="M83" s="26"/>
      <c r="N83" s="26">
        <f t="shared" si="56"/>
        <v>2090</v>
      </c>
      <c r="O83" s="26"/>
      <c r="P83" s="26">
        <v>0</v>
      </c>
      <c r="Q83" s="26">
        <f t="shared" si="59"/>
        <v>11380</v>
      </c>
      <c r="R83" s="47"/>
      <c r="S83" s="26" t="s">
        <v>90</v>
      </c>
      <c r="T83" s="26">
        <v>18290</v>
      </c>
      <c r="U83" s="26">
        <v>0</v>
      </c>
      <c r="V83" s="26">
        <f t="shared" si="57"/>
        <v>18290</v>
      </c>
      <c r="W83" s="48" t="s">
        <v>91</v>
      </c>
      <c r="X83" s="30"/>
    </row>
    <row r="84" spans="1:24" ht="24.9" customHeight="1" x14ac:dyDescent="0.3">
      <c r="A84" s="1">
        <v>56701</v>
      </c>
      <c r="B84" s="25" t="s">
        <v>81</v>
      </c>
      <c r="C84" s="100">
        <v>45156</v>
      </c>
      <c r="D84" s="56">
        <v>6</v>
      </c>
      <c r="E84" s="26">
        <v>16200</v>
      </c>
      <c r="F84" s="26"/>
      <c r="G84" s="26">
        <f t="shared" si="55"/>
        <v>16200</v>
      </c>
      <c r="H84" s="26">
        <v>0</v>
      </c>
      <c r="I84" s="26">
        <f t="shared" si="60"/>
        <v>16200</v>
      </c>
      <c r="J84" s="26">
        <v>0</v>
      </c>
      <c r="K84" s="26">
        <v>0</v>
      </c>
      <c r="L84" s="26"/>
      <c r="M84" s="26"/>
      <c r="N84" s="26">
        <f t="shared" si="56"/>
        <v>0</v>
      </c>
      <c r="O84" s="26"/>
      <c r="P84" s="26"/>
      <c r="Q84" s="26">
        <f t="shared" si="59"/>
        <v>16200</v>
      </c>
      <c r="R84" s="47"/>
      <c r="S84" s="26"/>
      <c r="T84" s="26"/>
      <c r="U84" s="26"/>
      <c r="V84" s="26"/>
      <c r="W84" s="48"/>
      <c r="X84" s="30"/>
    </row>
    <row r="85" spans="1:24" ht="24.9" customHeight="1" x14ac:dyDescent="0.3">
      <c r="A85" s="1">
        <v>56701</v>
      </c>
      <c r="B85" s="25" t="s">
        <v>81</v>
      </c>
      <c r="C85" s="100">
        <v>45156</v>
      </c>
      <c r="D85" s="56">
        <v>7</v>
      </c>
      <c r="E85" s="26">
        <v>2090</v>
      </c>
      <c r="F85" s="26"/>
      <c r="G85" s="26">
        <f t="shared" si="55"/>
        <v>2090</v>
      </c>
      <c r="H85" s="26">
        <v>0</v>
      </c>
      <c r="I85" s="26">
        <f t="shared" si="60"/>
        <v>2090</v>
      </c>
      <c r="J85" s="26">
        <v>0</v>
      </c>
      <c r="K85" s="26">
        <v>0</v>
      </c>
      <c r="L85" s="26"/>
      <c r="M85" s="26"/>
      <c r="N85" s="26">
        <f t="shared" si="56"/>
        <v>0</v>
      </c>
      <c r="O85" s="26"/>
      <c r="P85" s="26"/>
      <c r="Q85" s="26">
        <f t="shared" si="59"/>
        <v>2090</v>
      </c>
      <c r="R85" s="47"/>
      <c r="S85" s="26"/>
      <c r="T85" s="26"/>
      <c r="U85" s="26"/>
      <c r="V85" s="26"/>
      <c r="W85" s="48"/>
      <c r="X85" s="30"/>
    </row>
    <row r="86" spans="1:24" ht="24.9" customHeight="1" x14ac:dyDescent="0.3">
      <c r="A86" s="1">
        <v>56701</v>
      </c>
      <c r="B86" s="5"/>
      <c r="C86" s="83"/>
      <c r="D86" s="60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43"/>
      <c r="S86" s="5"/>
      <c r="T86" s="5"/>
      <c r="U86" s="5"/>
      <c r="V86" s="5"/>
      <c r="W86" s="45"/>
      <c r="X86" s="30"/>
    </row>
    <row r="87" spans="1:24" ht="24.9" customHeight="1" x14ac:dyDescent="0.3">
      <c r="A87" s="1">
        <v>56701</v>
      </c>
      <c r="B87" s="5"/>
      <c r="C87" s="83"/>
      <c r="D87" s="60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43"/>
      <c r="S87" s="5"/>
      <c r="T87" s="5"/>
      <c r="U87" s="5"/>
      <c r="V87" s="5"/>
      <c r="W87" s="45"/>
      <c r="X87" s="30"/>
    </row>
    <row r="88" spans="1:24" ht="24.9" customHeight="1" x14ac:dyDescent="0.3">
      <c r="A88" s="16"/>
      <c r="B88" s="20"/>
      <c r="C88" s="80"/>
      <c r="D88" s="59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42">
        <f>A89</f>
        <v>59362</v>
      </c>
      <c r="S88" s="18"/>
      <c r="T88" s="18"/>
      <c r="U88" s="24"/>
      <c r="V88" s="18"/>
      <c r="W88" s="18"/>
      <c r="X88" s="32">
        <f>SUM(Q77:Q87,0)-SUM(V77:V87,0)</f>
        <v>-2</v>
      </c>
    </row>
    <row r="89" spans="1:24" ht="24.9" customHeight="1" x14ac:dyDescent="0.3">
      <c r="A89" s="1">
        <v>59362</v>
      </c>
      <c r="B89" s="5" t="s">
        <v>92</v>
      </c>
      <c r="C89" s="99">
        <v>45226</v>
      </c>
      <c r="D89" s="60">
        <v>23</v>
      </c>
      <c r="E89" s="5">
        <v>337500</v>
      </c>
      <c r="F89" s="5">
        <v>156705</v>
      </c>
      <c r="G89" s="5">
        <f>E89-F89</f>
        <v>180795</v>
      </c>
      <c r="H89" s="5">
        <f>G89*18%</f>
        <v>32543.1</v>
      </c>
      <c r="I89" s="5">
        <f>G89+H89</f>
        <v>213338.1</v>
      </c>
      <c r="J89" s="5">
        <f>G89*1%</f>
        <v>1807.95</v>
      </c>
      <c r="K89" s="5">
        <f>G89*5%</f>
        <v>9039.75</v>
      </c>
      <c r="L89" s="5">
        <v>0</v>
      </c>
      <c r="M89" s="5">
        <v>0</v>
      </c>
      <c r="N89" s="5">
        <f>H89</f>
        <v>32543.1</v>
      </c>
      <c r="O89" s="5">
        <v>0</v>
      </c>
      <c r="P89" s="5">
        <v>0</v>
      </c>
      <c r="Q89" s="5">
        <f>G89-J89-K89</f>
        <v>169947.3</v>
      </c>
      <c r="R89" s="43"/>
      <c r="S89" s="5" t="s">
        <v>93</v>
      </c>
      <c r="T89" s="5">
        <v>200000</v>
      </c>
      <c r="U89" s="5">
        <f t="shared" ref="U89" si="61">T89*1%</f>
        <v>2000</v>
      </c>
      <c r="V89" s="5">
        <f>T89-U89</f>
        <v>198000</v>
      </c>
      <c r="W89" s="5" t="s">
        <v>94</v>
      </c>
      <c r="X89" s="30"/>
    </row>
    <row r="90" spans="1:24" ht="24.9" customHeight="1" x14ac:dyDescent="0.3">
      <c r="A90" s="1">
        <v>59362</v>
      </c>
      <c r="B90" s="25" t="s">
        <v>81</v>
      </c>
      <c r="C90" s="84"/>
      <c r="D90" s="56">
        <v>23</v>
      </c>
      <c r="E90" s="26">
        <f>N89</f>
        <v>32543.1</v>
      </c>
      <c r="F90" s="26"/>
      <c r="G90" s="26"/>
      <c r="H90" s="26"/>
      <c r="I90" s="26"/>
      <c r="J90" s="26">
        <v>0</v>
      </c>
      <c r="K90" s="26">
        <v>0</v>
      </c>
      <c r="L90" s="26"/>
      <c r="M90" s="26"/>
      <c r="N90" s="26">
        <f t="shared" ref="N90" si="62">H90</f>
        <v>0</v>
      </c>
      <c r="O90" s="26"/>
      <c r="P90" s="26"/>
      <c r="Q90" s="26">
        <f>E90</f>
        <v>32543.1</v>
      </c>
      <c r="R90" s="43"/>
      <c r="S90" s="5"/>
      <c r="T90" s="5"/>
      <c r="U90" s="5"/>
      <c r="V90" s="5"/>
      <c r="W90" s="45"/>
      <c r="X90" s="30"/>
    </row>
    <row r="91" spans="1:24" s="16" customFormat="1" ht="24.9" customHeight="1" x14ac:dyDescent="0.3">
      <c r="B91" s="20"/>
      <c r="C91" s="80"/>
      <c r="D91" s="59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42">
        <f>A92</f>
        <v>57692</v>
      </c>
      <c r="S91" s="20"/>
      <c r="T91" s="20"/>
      <c r="U91" s="20"/>
      <c r="V91" s="20"/>
      <c r="W91" s="44"/>
      <c r="X91" s="32">
        <f>SUM(Q89:Q90,0)-SUM(V89:V90,0)</f>
        <v>4490.3999999999942</v>
      </c>
    </row>
    <row r="92" spans="1:24" ht="24.9" customHeight="1" x14ac:dyDescent="0.3">
      <c r="A92" s="1">
        <v>57692</v>
      </c>
      <c r="B92" s="5" t="s">
        <v>13</v>
      </c>
      <c r="C92" s="99">
        <v>45169</v>
      </c>
      <c r="D92" s="60">
        <v>11</v>
      </c>
      <c r="E92" s="5">
        <v>656250</v>
      </c>
      <c r="F92" s="5">
        <v>395205</v>
      </c>
      <c r="G92" s="5">
        <f>E92-F92</f>
        <v>261045</v>
      </c>
      <c r="H92" s="5">
        <f>ROUND(G92*18%,)</f>
        <v>46988</v>
      </c>
      <c r="I92" s="5">
        <f>G92+H92</f>
        <v>308033</v>
      </c>
      <c r="J92" s="5">
        <f>ROUND(G92*1%,)</f>
        <v>2610</v>
      </c>
      <c r="K92" s="5">
        <f>G92*5%</f>
        <v>13052.25</v>
      </c>
      <c r="L92" s="5">
        <v>0</v>
      </c>
      <c r="M92" s="5">
        <v>0</v>
      </c>
      <c r="N92" s="5">
        <f>G92*18%</f>
        <v>46988.1</v>
      </c>
      <c r="O92" s="5">
        <v>0</v>
      </c>
      <c r="P92" s="5">
        <v>0</v>
      </c>
      <c r="Q92" s="5">
        <f>I92-SUM(J92:P92)</f>
        <v>245382.65</v>
      </c>
      <c r="R92" s="43"/>
      <c r="S92" s="5" t="s">
        <v>14</v>
      </c>
      <c r="T92" s="5">
        <v>200000</v>
      </c>
      <c r="U92" s="5">
        <f>T92*1%</f>
        <v>2000</v>
      </c>
      <c r="V92" s="5">
        <f>T92-U92</f>
        <v>198000</v>
      </c>
      <c r="W92" s="5" t="s">
        <v>15</v>
      </c>
      <c r="X92" s="30"/>
    </row>
    <row r="93" spans="1:24" ht="24.9" customHeight="1" x14ac:dyDescent="0.3">
      <c r="A93" s="1">
        <v>57692</v>
      </c>
      <c r="B93" s="25" t="s">
        <v>81</v>
      </c>
      <c r="C93" s="84"/>
      <c r="D93" s="56">
        <v>11</v>
      </c>
      <c r="E93" s="26">
        <f>N92</f>
        <v>46988.1</v>
      </c>
      <c r="F93" s="26"/>
      <c r="G93" s="26">
        <f t="shared" ref="G93" si="63">E93-F93</f>
        <v>46988.1</v>
      </c>
      <c r="H93" s="26">
        <v>0</v>
      </c>
      <c r="I93" s="26">
        <f t="shared" ref="I93" si="64">G93+H93</f>
        <v>46988.1</v>
      </c>
      <c r="J93" s="26">
        <v>0</v>
      </c>
      <c r="K93" s="26">
        <v>0</v>
      </c>
      <c r="L93" s="26"/>
      <c r="M93" s="26"/>
      <c r="N93" s="26">
        <f t="shared" ref="N93" si="65">H93</f>
        <v>0</v>
      </c>
      <c r="O93" s="26"/>
      <c r="P93" s="26"/>
      <c r="Q93" s="26">
        <f t="shared" ref="Q93" si="66">ROUND(I93-SUM(J93:P93),)</f>
        <v>46988</v>
      </c>
      <c r="R93" s="43"/>
      <c r="S93" s="5" t="s">
        <v>103</v>
      </c>
      <c r="T93" s="5">
        <v>100000</v>
      </c>
      <c r="U93" s="5">
        <f t="shared" ref="U93:U98" si="67">T93*1%</f>
        <v>1000</v>
      </c>
      <c r="V93" s="5">
        <f t="shared" ref="V93:V96" si="68">T93-U93</f>
        <v>99000</v>
      </c>
      <c r="W93" s="5" t="s">
        <v>16</v>
      </c>
      <c r="X93" s="30"/>
    </row>
    <row r="94" spans="1:24" ht="24.9" customHeight="1" x14ac:dyDescent="0.3">
      <c r="A94" s="1">
        <v>57692</v>
      </c>
      <c r="B94" s="5" t="s">
        <v>97</v>
      </c>
      <c r="C94" s="99">
        <v>45237</v>
      </c>
      <c r="D94" s="60">
        <v>26</v>
      </c>
      <c r="E94" s="5">
        <v>437500</v>
      </c>
      <c r="F94" s="5">
        <v>81057</v>
      </c>
      <c r="G94" s="5">
        <f>E94-F94</f>
        <v>356443</v>
      </c>
      <c r="H94" s="5">
        <f>G94*18%</f>
        <v>64159.74</v>
      </c>
      <c r="I94" s="5">
        <f>G94+H94</f>
        <v>420602.74</v>
      </c>
      <c r="J94" s="5">
        <f>G94*1%</f>
        <v>3564.4300000000003</v>
      </c>
      <c r="K94" s="5">
        <f>G94*5%</f>
        <v>17822.150000000001</v>
      </c>
      <c r="L94" s="5">
        <v>0</v>
      </c>
      <c r="M94" s="5">
        <v>0</v>
      </c>
      <c r="N94" s="5">
        <f>H94</f>
        <v>64159.74</v>
      </c>
      <c r="O94" s="5">
        <v>0</v>
      </c>
      <c r="P94" s="5">
        <v>0</v>
      </c>
      <c r="Q94" s="5">
        <f>G94-J94-K94</f>
        <v>335056.42</v>
      </c>
      <c r="R94" s="43"/>
      <c r="S94" s="5" t="s">
        <v>106</v>
      </c>
      <c r="T94" s="5">
        <v>100000</v>
      </c>
      <c r="U94" s="5">
        <f t="shared" si="67"/>
        <v>1000</v>
      </c>
      <c r="V94" s="5">
        <f t="shared" si="68"/>
        <v>99000</v>
      </c>
      <c r="W94" s="5" t="s">
        <v>17</v>
      </c>
      <c r="X94" s="30"/>
    </row>
    <row r="95" spans="1:24" ht="24.9" customHeight="1" x14ac:dyDescent="0.3">
      <c r="A95" s="1">
        <v>57692</v>
      </c>
      <c r="B95" s="25" t="s">
        <v>81</v>
      </c>
      <c r="C95" s="84"/>
      <c r="D95" s="56">
        <v>26</v>
      </c>
      <c r="E95" s="26">
        <f>N94</f>
        <v>64159.74</v>
      </c>
      <c r="F95" s="26"/>
      <c r="G95" s="26">
        <f t="shared" ref="G95" si="69">E95-F95</f>
        <v>64159.74</v>
      </c>
      <c r="H95" s="26">
        <v>0</v>
      </c>
      <c r="I95" s="26">
        <f t="shared" ref="I95" si="70">G95+H95</f>
        <v>64159.74</v>
      </c>
      <c r="J95" s="26">
        <v>0</v>
      </c>
      <c r="K95" s="26">
        <v>0</v>
      </c>
      <c r="L95" s="26"/>
      <c r="M95" s="26"/>
      <c r="N95" s="26">
        <f t="shared" ref="N95" si="71">H95</f>
        <v>0</v>
      </c>
      <c r="O95" s="26"/>
      <c r="P95" s="26"/>
      <c r="Q95" s="26">
        <f t="shared" ref="Q95" si="72">ROUND(I95-SUM(J95:P95),)</f>
        <v>64160</v>
      </c>
      <c r="R95" s="43"/>
      <c r="S95" s="5" t="s">
        <v>107</v>
      </c>
      <c r="T95" s="5">
        <v>46988</v>
      </c>
      <c r="U95" s="5">
        <v>0</v>
      </c>
      <c r="V95" s="5">
        <f t="shared" si="68"/>
        <v>46988</v>
      </c>
      <c r="W95" s="5" t="s">
        <v>98</v>
      </c>
      <c r="X95" s="30"/>
    </row>
    <row r="96" spans="1:24" ht="24.9" customHeight="1" x14ac:dyDescent="0.3">
      <c r="A96" s="1">
        <v>57692</v>
      </c>
      <c r="B96" s="5" t="s">
        <v>97</v>
      </c>
      <c r="C96" s="99">
        <v>45293</v>
      </c>
      <c r="D96" s="60">
        <v>30</v>
      </c>
      <c r="E96" s="5">
        <v>437500</v>
      </c>
      <c r="F96" s="5">
        <v>197364</v>
      </c>
      <c r="G96" s="5">
        <f>E96-F96</f>
        <v>240136</v>
      </c>
      <c r="H96" s="5">
        <f>G96*18%</f>
        <v>43224.479999999996</v>
      </c>
      <c r="I96" s="5">
        <f>G96+H96</f>
        <v>283360.48</v>
      </c>
      <c r="J96" s="5">
        <f>G96*1%</f>
        <v>2401.36</v>
      </c>
      <c r="K96" s="5">
        <f>G96*5%</f>
        <v>12006.800000000001</v>
      </c>
      <c r="L96" s="5">
        <v>0</v>
      </c>
      <c r="M96" s="5">
        <f>G96*10%</f>
        <v>24013.600000000002</v>
      </c>
      <c r="N96" s="5">
        <f>H96</f>
        <v>43224.479999999996</v>
      </c>
      <c r="O96" s="5">
        <v>0</v>
      </c>
      <c r="P96" s="5">
        <v>0</v>
      </c>
      <c r="Q96" s="5">
        <f>G96-J96-K96-M96</f>
        <v>201714.24000000002</v>
      </c>
      <c r="R96" s="43"/>
      <c r="S96" s="5" t="s">
        <v>108</v>
      </c>
      <c r="T96" s="5">
        <v>150000</v>
      </c>
      <c r="U96" s="5">
        <f t="shared" si="67"/>
        <v>1500</v>
      </c>
      <c r="V96" s="5">
        <f t="shared" si="68"/>
        <v>148500</v>
      </c>
      <c r="W96" s="5" t="s">
        <v>99</v>
      </c>
      <c r="X96" s="30"/>
    </row>
    <row r="97" spans="1:24" ht="31.5" customHeight="1" x14ac:dyDescent="0.3">
      <c r="A97" s="1">
        <v>57692</v>
      </c>
      <c r="B97" s="5" t="s">
        <v>97</v>
      </c>
      <c r="C97" s="99">
        <v>45322</v>
      </c>
      <c r="D97" s="60">
        <v>35</v>
      </c>
      <c r="E97" s="5">
        <v>167884</v>
      </c>
      <c r="F97" s="5">
        <v>167307</v>
      </c>
      <c r="G97" s="5">
        <f>E97-F97</f>
        <v>577</v>
      </c>
      <c r="H97" s="5">
        <f>G97*18%</f>
        <v>103.86</v>
      </c>
      <c r="I97" s="5">
        <f>G97+H97</f>
        <v>680.86</v>
      </c>
      <c r="J97" s="5">
        <f>G97*1%</f>
        <v>5.7700000000000005</v>
      </c>
      <c r="K97" s="5">
        <f>G97*5%</f>
        <v>28.85</v>
      </c>
      <c r="L97" s="5">
        <v>0</v>
      </c>
      <c r="M97" s="5">
        <f>G97*10%</f>
        <v>57.7</v>
      </c>
      <c r="N97" s="5">
        <f>H97</f>
        <v>103.86</v>
      </c>
      <c r="O97" s="5">
        <v>0</v>
      </c>
      <c r="P97" s="5">
        <v>0</v>
      </c>
      <c r="Q97" s="5">
        <f>G97-J97-K97-M97</f>
        <v>484.68</v>
      </c>
      <c r="R97" s="66" t="s">
        <v>181</v>
      </c>
      <c r="S97" s="5" t="s">
        <v>115</v>
      </c>
      <c r="T97" s="5">
        <v>200000</v>
      </c>
      <c r="U97" s="5">
        <f t="shared" si="67"/>
        <v>2000</v>
      </c>
      <c r="V97" s="5">
        <f t="shared" ref="V97:V98" si="73">T97-U97</f>
        <v>198000</v>
      </c>
      <c r="W97" s="5" t="s">
        <v>114</v>
      </c>
      <c r="X97" s="30"/>
    </row>
    <row r="98" spans="1:24" ht="24.9" customHeight="1" x14ac:dyDescent="0.3">
      <c r="A98" s="1">
        <v>57692</v>
      </c>
      <c r="B98" s="5"/>
      <c r="C98" s="83"/>
      <c r="D98" s="60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43"/>
      <c r="S98" s="5" t="s">
        <v>116</v>
      </c>
      <c r="T98" s="5">
        <v>100000</v>
      </c>
      <c r="U98" s="5">
        <f t="shared" si="67"/>
        <v>1000</v>
      </c>
      <c r="V98" s="5">
        <f t="shared" si="73"/>
        <v>99000</v>
      </c>
      <c r="W98" s="5" t="s">
        <v>113</v>
      </c>
      <c r="X98" s="30"/>
    </row>
    <row r="99" spans="1:24" ht="24.9" customHeight="1" x14ac:dyDescent="0.3">
      <c r="A99" s="1">
        <v>57692</v>
      </c>
      <c r="B99" s="5"/>
      <c r="C99" s="83"/>
      <c r="D99" s="60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43"/>
      <c r="S99" s="5" t="s">
        <v>131</v>
      </c>
      <c r="T99" s="5">
        <v>60000</v>
      </c>
      <c r="U99" s="5">
        <f t="shared" ref="U99:U100" si="74">T99*1%</f>
        <v>600</v>
      </c>
      <c r="V99" s="5">
        <f t="shared" ref="V99" si="75">T99-U99</f>
        <v>59400</v>
      </c>
      <c r="W99" s="5" t="s">
        <v>130</v>
      </c>
      <c r="X99" s="30"/>
    </row>
    <row r="100" spans="1:24" ht="24.9" customHeight="1" x14ac:dyDescent="0.3">
      <c r="A100" s="1">
        <v>57692</v>
      </c>
      <c r="B100" s="5"/>
      <c r="C100" s="83"/>
      <c r="D100" s="60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43"/>
      <c r="S100" s="5" t="s">
        <v>153</v>
      </c>
      <c r="T100" s="5">
        <v>150000</v>
      </c>
      <c r="U100" s="5">
        <f t="shared" si="74"/>
        <v>1500</v>
      </c>
      <c r="V100" s="5">
        <v>148500</v>
      </c>
      <c r="W100" s="5" t="s">
        <v>152</v>
      </c>
      <c r="X100" s="50"/>
    </row>
    <row r="101" spans="1:24" s="16" customFormat="1" ht="24.9" customHeight="1" x14ac:dyDescent="0.2">
      <c r="B101" s="20"/>
      <c r="C101" s="80"/>
      <c r="D101" s="5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42">
        <f>A102</f>
        <v>55461</v>
      </c>
      <c r="S101" s="20"/>
      <c r="T101" s="20"/>
      <c r="U101" s="20"/>
      <c r="V101" s="20"/>
      <c r="W101" s="51"/>
      <c r="X101" s="32">
        <f>SUM(Q92:Q100,0)-SUM(V92:V100,0)</f>
        <v>-202602.00999999989</v>
      </c>
    </row>
    <row r="102" spans="1:24" ht="24.9" customHeight="1" x14ac:dyDescent="0.3">
      <c r="A102" s="1">
        <v>55461</v>
      </c>
      <c r="B102" s="5" t="s">
        <v>205</v>
      </c>
      <c r="C102" s="99">
        <v>44995</v>
      </c>
      <c r="D102" s="60">
        <v>17</v>
      </c>
      <c r="E102" s="5">
        <v>618817</v>
      </c>
      <c r="F102" s="5">
        <v>0</v>
      </c>
      <c r="G102" s="5">
        <f>E102-F102</f>
        <v>618817</v>
      </c>
      <c r="H102" s="5">
        <v>0</v>
      </c>
      <c r="I102" s="5">
        <f>G102+H102</f>
        <v>618817</v>
      </c>
      <c r="J102" s="5">
        <f>I102*1%</f>
        <v>6188.17</v>
      </c>
      <c r="K102" s="5">
        <f>I102*5%</f>
        <v>30940.850000000002</v>
      </c>
      <c r="L102" s="5">
        <f>I102*10%</f>
        <v>61881.700000000004</v>
      </c>
      <c r="M102" s="5">
        <f>I102*10%</f>
        <v>61881.700000000004</v>
      </c>
      <c r="N102" s="5">
        <f>G102*18%</f>
        <v>111387.06</v>
      </c>
      <c r="O102" s="5">
        <v>0</v>
      </c>
      <c r="P102" s="5">
        <v>0</v>
      </c>
      <c r="Q102" s="5">
        <f>I102-J102-K102-L102-M102</f>
        <v>457924.57999999996</v>
      </c>
      <c r="R102" s="43"/>
      <c r="S102" s="5" t="s">
        <v>155</v>
      </c>
      <c r="T102" s="5">
        <v>300000</v>
      </c>
      <c r="U102" s="5">
        <f>T102*1%</f>
        <v>3000</v>
      </c>
      <c r="V102" s="5">
        <v>297000</v>
      </c>
      <c r="W102" s="5" t="s">
        <v>154</v>
      </c>
      <c r="X102" s="30"/>
    </row>
    <row r="103" spans="1:24" ht="24.9" customHeight="1" x14ac:dyDescent="0.3">
      <c r="A103" s="1">
        <v>55461</v>
      </c>
      <c r="B103" s="5" t="s">
        <v>149</v>
      </c>
      <c r="C103" s="99">
        <v>44995</v>
      </c>
      <c r="D103" s="60">
        <v>17</v>
      </c>
      <c r="E103" s="5">
        <v>111387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f>E103</f>
        <v>111387</v>
      </c>
      <c r="R103" s="43"/>
      <c r="S103" s="5" t="s">
        <v>157</v>
      </c>
      <c r="T103" s="5">
        <v>100000</v>
      </c>
      <c r="U103" s="5">
        <f t="shared" ref="U103:U104" si="76">T103*1%</f>
        <v>1000</v>
      </c>
      <c r="V103" s="5">
        <v>99000</v>
      </c>
      <c r="W103" s="5" t="s">
        <v>156</v>
      </c>
      <c r="X103" s="30"/>
    </row>
    <row r="104" spans="1:24" ht="24.9" customHeight="1" x14ac:dyDescent="0.3">
      <c r="A104" s="1">
        <v>55461</v>
      </c>
      <c r="B104" s="5"/>
      <c r="C104" s="83"/>
      <c r="D104" s="60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43"/>
      <c r="S104" s="5" t="s">
        <v>159</v>
      </c>
      <c r="T104" s="5">
        <v>30000</v>
      </c>
      <c r="U104" s="5">
        <f t="shared" si="76"/>
        <v>300</v>
      </c>
      <c r="V104" s="5">
        <v>29700</v>
      </c>
      <c r="W104" s="5" t="s">
        <v>158</v>
      </c>
      <c r="X104" s="30"/>
    </row>
    <row r="105" spans="1:24" ht="24.9" customHeight="1" x14ac:dyDescent="0.3">
      <c r="A105" s="1">
        <v>55461</v>
      </c>
      <c r="B105" s="5"/>
      <c r="C105" s="83"/>
      <c r="D105" s="60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43"/>
      <c r="S105" s="5" t="s">
        <v>162</v>
      </c>
      <c r="T105" s="5">
        <v>32223</v>
      </c>
      <c r="U105" s="5">
        <v>0</v>
      </c>
      <c r="V105" s="5">
        <v>32223</v>
      </c>
      <c r="W105" s="5" t="s">
        <v>160</v>
      </c>
      <c r="X105" s="30"/>
    </row>
    <row r="106" spans="1:24" ht="24.9" customHeight="1" x14ac:dyDescent="0.3">
      <c r="A106" s="1">
        <v>55461</v>
      </c>
      <c r="B106" s="5"/>
      <c r="C106" s="83"/>
      <c r="D106" s="60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43"/>
      <c r="S106" s="5" t="s">
        <v>163</v>
      </c>
      <c r="T106" s="5">
        <v>111387</v>
      </c>
      <c r="U106" s="5">
        <v>0</v>
      </c>
      <c r="V106" s="5">
        <v>111387</v>
      </c>
      <c r="W106" s="5" t="s">
        <v>161</v>
      </c>
      <c r="X106" s="30"/>
    </row>
    <row r="107" spans="1:24" ht="24.9" customHeight="1" x14ac:dyDescent="0.3">
      <c r="A107" s="16"/>
      <c r="B107" s="20"/>
      <c r="C107" s="80"/>
      <c r="D107" s="59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42">
        <f>A108</f>
        <v>59899</v>
      </c>
      <c r="S107" s="18"/>
      <c r="T107" s="18"/>
      <c r="U107" s="24"/>
      <c r="V107" s="18"/>
      <c r="W107" s="18"/>
      <c r="X107" s="32">
        <f>SUM(Q102:Q106,0)-SUM(V102:V106,0)</f>
        <v>1.5799999999580905</v>
      </c>
    </row>
    <row r="108" spans="1:24" ht="24.9" customHeight="1" x14ac:dyDescent="0.3">
      <c r="A108" s="1">
        <v>59899</v>
      </c>
      <c r="B108" s="29" t="s">
        <v>206</v>
      </c>
      <c r="C108" s="99">
        <v>45232</v>
      </c>
      <c r="D108" s="60">
        <v>24</v>
      </c>
      <c r="E108" s="5">
        <v>123750</v>
      </c>
      <c r="F108" s="5">
        <v>0</v>
      </c>
      <c r="G108" s="5">
        <f>E108-F108</f>
        <v>123750</v>
      </c>
      <c r="H108" s="5">
        <f>G108*18%</f>
        <v>22275</v>
      </c>
      <c r="I108" s="5">
        <f>G108+H108</f>
        <v>146025</v>
      </c>
      <c r="J108" s="5">
        <f>G108*1%</f>
        <v>1237.5</v>
      </c>
      <c r="K108" s="5">
        <f>G108*5%</f>
        <v>6187.5</v>
      </c>
      <c r="L108" s="5">
        <v>0</v>
      </c>
      <c r="M108" s="5">
        <v>0</v>
      </c>
      <c r="N108" s="5">
        <f>H108</f>
        <v>22275</v>
      </c>
      <c r="O108" s="5">
        <v>0</v>
      </c>
      <c r="P108" s="5">
        <v>0</v>
      </c>
      <c r="Q108" s="5">
        <f>G108-J108-K108</f>
        <v>116325</v>
      </c>
      <c r="R108" s="43"/>
      <c r="S108" s="5" t="s">
        <v>110</v>
      </c>
      <c r="T108" s="5">
        <v>150000</v>
      </c>
      <c r="U108" s="5">
        <f>T108*1%</f>
        <v>1500</v>
      </c>
      <c r="V108" s="5">
        <f>T108-U108</f>
        <v>148500</v>
      </c>
      <c r="W108" s="5" t="s">
        <v>109</v>
      </c>
      <c r="X108" s="30"/>
    </row>
    <row r="109" spans="1:24" ht="24.9" customHeight="1" x14ac:dyDescent="0.3">
      <c r="A109" s="1">
        <v>59899</v>
      </c>
      <c r="B109" s="25" t="s">
        <v>81</v>
      </c>
      <c r="C109" s="84"/>
      <c r="D109" s="56">
        <v>24</v>
      </c>
      <c r="E109" s="26">
        <f>N108</f>
        <v>22275</v>
      </c>
      <c r="F109" s="26"/>
      <c r="G109" s="26"/>
      <c r="H109" s="26"/>
      <c r="I109" s="26"/>
      <c r="J109" s="26">
        <v>0</v>
      </c>
      <c r="K109" s="26">
        <v>0</v>
      </c>
      <c r="L109" s="26"/>
      <c r="M109" s="26"/>
      <c r="N109" s="26">
        <f t="shared" ref="N109" si="77">H109</f>
        <v>0</v>
      </c>
      <c r="O109" s="26"/>
      <c r="P109" s="26"/>
      <c r="Q109" s="26">
        <f>E109</f>
        <v>22275</v>
      </c>
      <c r="R109" s="43"/>
      <c r="S109" s="5" t="s">
        <v>112</v>
      </c>
      <c r="T109" s="5">
        <v>100000</v>
      </c>
      <c r="U109" s="5">
        <f>T109*1%</f>
        <v>1000</v>
      </c>
      <c r="V109" s="5">
        <f>T109-U109</f>
        <v>99000</v>
      </c>
      <c r="W109" s="5" t="s">
        <v>111</v>
      </c>
      <c r="X109" s="30"/>
    </row>
    <row r="110" spans="1:24" ht="24.9" customHeight="1" x14ac:dyDescent="0.3">
      <c r="A110" s="1">
        <v>59899</v>
      </c>
      <c r="B110" s="29" t="s">
        <v>206</v>
      </c>
      <c r="C110" s="99">
        <v>45304</v>
      </c>
      <c r="D110" s="60">
        <v>32</v>
      </c>
      <c r="E110" s="5">
        <v>495000</v>
      </c>
      <c r="F110" s="5">
        <v>434977</v>
      </c>
      <c r="G110" s="5">
        <f>E110-F110</f>
        <v>60023</v>
      </c>
      <c r="H110" s="5">
        <f>G110*18%</f>
        <v>10804.14</v>
      </c>
      <c r="I110" s="5">
        <f>G110+H110</f>
        <v>70827.14</v>
      </c>
      <c r="J110" s="5">
        <f>G110*1%</f>
        <v>600.23</v>
      </c>
      <c r="K110" s="5">
        <f>G110*5%</f>
        <v>3001.15</v>
      </c>
      <c r="L110" s="5">
        <v>0</v>
      </c>
      <c r="M110" s="5">
        <f>G110*10%</f>
        <v>6002.3</v>
      </c>
      <c r="N110" s="5">
        <f>H110</f>
        <v>10804.14</v>
      </c>
      <c r="O110" s="5">
        <v>0</v>
      </c>
      <c r="P110" s="5">
        <v>0</v>
      </c>
      <c r="Q110" s="5">
        <f>G110-J110-K110-M110</f>
        <v>50419.319999999992</v>
      </c>
      <c r="R110" s="43"/>
      <c r="S110" s="5" t="s">
        <v>167</v>
      </c>
      <c r="T110" s="5">
        <v>150000</v>
      </c>
      <c r="U110" s="5">
        <f>T110*1%</f>
        <v>1500</v>
      </c>
      <c r="V110" s="5">
        <f>T110-U110</f>
        <v>148500</v>
      </c>
      <c r="W110" s="5" t="s">
        <v>166</v>
      </c>
      <c r="X110" s="30"/>
    </row>
    <row r="111" spans="1:24" ht="24.9" customHeight="1" x14ac:dyDescent="0.3">
      <c r="A111" s="1">
        <v>59899</v>
      </c>
      <c r="B111" s="29" t="s">
        <v>206</v>
      </c>
      <c r="C111" s="99">
        <v>45316</v>
      </c>
      <c r="D111" s="60">
        <v>34</v>
      </c>
      <c r="E111" s="5">
        <v>371250</v>
      </c>
      <c r="F111" s="5">
        <v>185743</v>
      </c>
      <c r="G111" s="5">
        <f>E111-F111</f>
        <v>185507</v>
      </c>
      <c r="H111" s="5">
        <f>G111*18%</f>
        <v>33391.26</v>
      </c>
      <c r="I111" s="5">
        <f>G111+H111</f>
        <v>218898.26</v>
      </c>
      <c r="J111" s="5">
        <f>G111*1%</f>
        <v>1855.07</v>
      </c>
      <c r="K111" s="5">
        <f>G111*5%</f>
        <v>9275.35</v>
      </c>
      <c r="L111" s="5">
        <v>0</v>
      </c>
      <c r="M111" s="5">
        <f>G111*10%</f>
        <v>18550.7</v>
      </c>
      <c r="N111" s="5">
        <f>H111</f>
        <v>33391.26</v>
      </c>
      <c r="O111" s="5">
        <v>0</v>
      </c>
      <c r="P111" s="5">
        <v>0</v>
      </c>
      <c r="Q111" s="5">
        <f>G111-J111-K111-M111</f>
        <v>155825.87999999998</v>
      </c>
      <c r="R111" s="43"/>
      <c r="S111" s="5"/>
      <c r="T111" s="5"/>
      <c r="U111" s="5"/>
      <c r="V111" s="5"/>
      <c r="W111" s="45"/>
      <c r="X111" s="30"/>
    </row>
    <row r="112" spans="1:24" ht="24.9" customHeight="1" x14ac:dyDescent="0.3">
      <c r="A112" s="1">
        <v>59899</v>
      </c>
      <c r="B112" s="5"/>
      <c r="C112" s="83"/>
      <c r="D112" s="60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43"/>
      <c r="S112" s="5"/>
      <c r="T112" s="5"/>
      <c r="U112" s="5"/>
      <c r="V112" s="5"/>
      <c r="W112" s="45"/>
      <c r="X112" s="30"/>
    </row>
    <row r="113" spans="1:24" ht="24.9" customHeight="1" x14ac:dyDescent="0.2">
      <c r="A113" s="16"/>
      <c r="B113" s="20"/>
      <c r="C113" s="80"/>
      <c r="D113" s="59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42">
        <f>A114</f>
        <v>59900</v>
      </c>
      <c r="S113" s="20"/>
      <c r="T113" s="20"/>
      <c r="U113" s="20"/>
      <c r="V113" s="20"/>
      <c r="W113" s="51"/>
      <c r="X113" s="32">
        <f>SUM(Q108:Q112,0)-SUM(V108:V112,0)</f>
        <v>-51154.800000000047</v>
      </c>
    </row>
    <row r="114" spans="1:24" ht="24.9" customHeight="1" x14ac:dyDescent="0.3">
      <c r="A114" s="1">
        <v>59900</v>
      </c>
      <c r="B114" s="5" t="s">
        <v>207</v>
      </c>
      <c r="C114" s="99">
        <v>45329</v>
      </c>
      <c r="D114" s="60">
        <v>36</v>
      </c>
      <c r="E114" s="5">
        <v>185500</v>
      </c>
      <c r="F114" s="5">
        <v>164314</v>
      </c>
      <c r="G114" s="5">
        <f>E114-F114</f>
        <v>21186</v>
      </c>
      <c r="H114" s="5">
        <f>G114*18%</f>
        <v>3813.48</v>
      </c>
      <c r="I114" s="5">
        <f>G114+H114</f>
        <v>24999.48</v>
      </c>
      <c r="J114" s="5">
        <f>G114*1%</f>
        <v>211.86</v>
      </c>
      <c r="K114" s="5">
        <f>G114*5%</f>
        <v>1059.3</v>
      </c>
      <c r="L114" s="5">
        <v>0</v>
      </c>
      <c r="M114" s="5">
        <v>0</v>
      </c>
      <c r="N114" s="5">
        <f>G114*18%</f>
        <v>3813.48</v>
      </c>
      <c r="O114" s="5">
        <v>0</v>
      </c>
      <c r="P114" s="5">
        <v>0</v>
      </c>
      <c r="Q114" s="5">
        <f>I114-J114-K114-L114-M114-N114</f>
        <v>19914.84</v>
      </c>
      <c r="R114" s="43"/>
      <c r="S114" s="5" t="s">
        <v>169</v>
      </c>
      <c r="T114" s="5">
        <v>150000</v>
      </c>
      <c r="U114" s="5">
        <f t="shared" ref="U114:U117" si="78">T114*1%</f>
        <v>1500</v>
      </c>
      <c r="V114" s="5">
        <f t="shared" ref="V114" si="79">T114-U114</f>
        <v>148500</v>
      </c>
      <c r="W114" s="5" t="s">
        <v>168</v>
      </c>
      <c r="X114" s="30"/>
    </row>
    <row r="115" spans="1:24" ht="33.75" customHeight="1" x14ac:dyDescent="0.3">
      <c r="A115" s="1">
        <v>59900</v>
      </c>
      <c r="B115" s="5" t="s">
        <v>207</v>
      </c>
      <c r="C115" s="99">
        <v>45371</v>
      </c>
      <c r="D115" s="60">
        <v>42</v>
      </c>
      <c r="E115" s="5">
        <v>94809</v>
      </c>
      <c r="F115" s="5">
        <v>0</v>
      </c>
      <c r="G115" s="5">
        <f>E115-F115</f>
        <v>94809</v>
      </c>
      <c r="H115" s="5">
        <f>G115*18%</f>
        <v>17065.62</v>
      </c>
      <c r="I115" s="5">
        <f>G115+H115</f>
        <v>111874.62</v>
      </c>
      <c r="J115" s="5">
        <f>G115*1%</f>
        <v>948.09</v>
      </c>
      <c r="K115" s="5">
        <f>G115*5%</f>
        <v>4740.45</v>
      </c>
      <c r="L115" s="5">
        <v>0</v>
      </c>
      <c r="M115" s="5">
        <v>0</v>
      </c>
      <c r="N115" s="5">
        <f>G115*18%</f>
        <v>17065.62</v>
      </c>
      <c r="O115" s="5">
        <v>0</v>
      </c>
      <c r="P115" s="5">
        <v>0</v>
      </c>
      <c r="Q115" s="5">
        <f>I115-J115-K115-L115-M115-N115</f>
        <v>89120.46</v>
      </c>
      <c r="R115" s="66" t="s">
        <v>181</v>
      </c>
      <c r="S115" s="5"/>
      <c r="T115" s="5">
        <v>200000</v>
      </c>
      <c r="U115" s="5">
        <f t="shared" si="78"/>
        <v>2000</v>
      </c>
      <c r="V115" s="5">
        <v>198000</v>
      </c>
      <c r="W115" s="5" t="s">
        <v>179</v>
      </c>
      <c r="X115" s="30"/>
    </row>
    <row r="116" spans="1:24" ht="24.9" customHeight="1" x14ac:dyDescent="0.3">
      <c r="A116" s="1">
        <v>59900</v>
      </c>
      <c r="B116" s="5"/>
      <c r="C116" s="83"/>
      <c r="D116" s="60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43"/>
      <c r="S116" s="5"/>
      <c r="T116" s="5">
        <v>200000</v>
      </c>
      <c r="U116" s="5">
        <f t="shared" si="78"/>
        <v>2000</v>
      </c>
      <c r="V116" s="5">
        <v>198000</v>
      </c>
      <c r="W116" s="5" t="s">
        <v>180</v>
      </c>
      <c r="X116" s="30"/>
    </row>
    <row r="117" spans="1:24" ht="24.9" customHeight="1" x14ac:dyDescent="0.3">
      <c r="A117" s="1">
        <v>59900</v>
      </c>
      <c r="B117" s="5"/>
      <c r="C117" s="83"/>
      <c r="D117" s="60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43"/>
      <c r="S117" s="5"/>
      <c r="T117" s="5">
        <v>100000</v>
      </c>
      <c r="U117" s="5">
        <f t="shared" si="78"/>
        <v>1000</v>
      </c>
      <c r="V117" s="5">
        <v>99000</v>
      </c>
      <c r="W117" s="5" t="s">
        <v>170</v>
      </c>
      <c r="X117" s="30"/>
    </row>
    <row r="118" spans="1:24" ht="24.9" customHeight="1" thickBot="1" x14ac:dyDescent="0.35">
      <c r="A118" s="1">
        <v>59900</v>
      </c>
      <c r="B118" s="27"/>
      <c r="C118" s="86"/>
      <c r="D118" s="27"/>
      <c r="E118" s="28"/>
      <c r="F118" s="28"/>
      <c r="G118" s="28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52"/>
      <c r="S118" s="10"/>
      <c r="T118" s="10"/>
      <c r="U118" s="10"/>
      <c r="V118" s="10"/>
      <c r="W118" s="10"/>
      <c r="X118" s="53">
        <f>SUM(Q114:Q117,0)-SUM(V114:V118,0)</f>
        <v>-534464.69999999995</v>
      </c>
    </row>
    <row r="119" spans="1:24" ht="24.9" customHeight="1" x14ac:dyDescent="0.3">
      <c r="A119" s="14"/>
      <c r="B119" s="8"/>
      <c r="C119" s="87"/>
      <c r="D119" s="62"/>
      <c r="E119" s="8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7"/>
      <c r="W119" s="7"/>
      <c r="X119" s="35"/>
    </row>
    <row r="120" spans="1:24" ht="24.9" customHeight="1" x14ac:dyDescent="0.3">
      <c r="A120" s="14"/>
      <c r="B120" s="9"/>
      <c r="C120" s="88"/>
      <c r="D120" s="63"/>
      <c r="E120" s="8">
        <f>SUM(E8:E118)</f>
        <v>16717143.677600002</v>
      </c>
      <c r="F120" s="11">
        <f>SUM(F8:F118)</f>
        <v>5391847.5099999998</v>
      </c>
      <c r="G120" s="72">
        <f>SUM(G8:G118)</f>
        <v>10761567.167599998</v>
      </c>
      <c r="H120" s="8"/>
      <c r="I120" s="8"/>
      <c r="J120" s="8"/>
      <c r="K120" s="11">
        <f t="shared" ref="K120:P120" si="80">SUM(K8:K118)</f>
        <v>485462.22450000001</v>
      </c>
      <c r="L120" s="11">
        <f t="shared" si="80"/>
        <v>200461.30000000002</v>
      </c>
      <c r="M120" s="11">
        <f t="shared" si="80"/>
        <v>338717.80000000005</v>
      </c>
      <c r="N120" s="11">
        <f t="shared" si="80"/>
        <v>1810466.4584000004</v>
      </c>
      <c r="O120" s="11">
        <f t="shared" si="80"/>
        <v>0</v>
      </c>
      <c r="P120" s="11">
        <f t="shared" si="80"/>
        <v>40761</v>
      </c>
      <c r="Q120" s="8"/>
      <c r="R120" s="8"/>
      <c r="S120" s="8"/>
      <c r="T120" s="8"/>
      <c r="U120" s="8"/>
      <c r="V120" s="7"/>
      <c r="W120" s="34"/>
      <c r="X120" s="35"/>
    </row>
    <row r="121" spans="1:24" ht="24.9" customHeight="1" x14ac:dyDescent="0.3">
      <c r="A121" s="14"/>
      <c r="B121" s="9"/>
      <c r="C121" s="88"/>
      <c r="D121" s="63"/>
      <c r="E121" s="9">
        <f>E109+E103+E95+E93+E90+E85+E84+E81+E79+E72+E70+E68+E62+E60+E58+E51+E44+E43+E37+E35+E33+E31+E23+E13+E11+E9</f>
        <v>1227640.9276000001</v>
      </c>
      <c r="F121" s="6"/>
      <c r="G121" s="73"/>
      <c r="H121" s="8"/>
      <c r="I121" s="8"/>
      <c r="J121" s="8"/>
      <c r="L121" s="8"/>
      <c r="M121" s="11"/>
      <c r="N121" s="11"/>
      <c r="O121" s="11"/>
      <c r="P121" s="11" t="s">
        <v>3</v>
      </c>
      <c r="Q121" s="11">
        <f>SUM(Q8:Q118)</f>
        <v>10155825.155800002</v>
      </c>
      <c r="R121" s="11"/>
      <c r="S121" s="11" t="s">
        <v>5</v>
      </c>
      <c r="T121" s="12">
        <f>SUM(T8:T118)</f>
        <v>11397649.18</v>
      </c>
      <c r="U121" s="11"/>
      <c r="V121" s="12">
        <f>SUM(V8:V118)</f>
        <v>11304013</v>
      </c>
      <c r="W121" s="34"/>
      <c r="X121" s="71">
        <f>SUM(X6:X118)</f>
        <v>-1148187.8442000002</v>
      </c>
    </row>
    <row r="122" spans="1:24" ht="24.9" customHeight="1" x14ac:dyDescent="0.3">
      <c r="A122" s="14"/>
      <c r="B122" s="9"/>
      <c r="C122" s="88"/>
      <c r="D122" s="63"/>
      <c r="E122" s="9">
        <f>E120-E121</f>
        <v>15489502.750000002</v>
      </c>
      <c r="F122" s="70"/>
      <c r="G122" s="72">
        <f>G120-E121</f>
        <v>9533926.2399999984</v>
      </c>
      <c r="H122" s="8"/>
      <c r="I122" s="8"/>
      <c r="J122" s="8"/>
      <c r="K122" s="9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7"/>
      <c r="W122" s="34"/>
      <c r="X122" s="35"/>
    </row>
    <row r="123" spans="1:24" ht="24.9" customHeight="1" x14ac:dyDescent="0.3">
      <c r="A123" s="14"/>
      <c r="B123" s="9"/>
      <c r="C123" s="88"/>
      <c r="D123" s="68" t="s">
        <v>183</v>
      </c>
      <c r="E123" s="9">
        <f>E114+E115+E111+E110+E108+E97+E96+E94+E89+E57+E59+E61+E52+E50+E49+E47+E46+E45+E42+E41+E36+E34+E32+E30+E25+E24+E22+E16+E15+E14+E10+E8+E92+E12</f>
        <v>13091479</v>
      </c>
      <c r="F123" s="69">
        <f>F114+F115+F111+F110+F108+F97+F96+F94+F89+F57+F59+F61+F52+F50+F49+F47+F46+F45+F42+F41+F36+F34+F32+F30+F25+F24+F22+F16+F15+F14+F10+F8+F92+F12</f>
        <v>5386847.5100000007</v>
      </c>
      <c r="G123" s="74">
        <f>G114+G115+G111+G110+G108+G97+G96+G94+G89+G57+G59+G61+G52+G50+G49+G47+G46+G45+G42+G41+G36+G34+G32+G30+G25+G24+G22+G16+G15+G14+G10+G8+G92</f>
        <v>7461015.4899999993</v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11" t="s">
        <v>4</v>
      </c>
      <c r="T123" s="8"/>
      <c r="U123" s="8"/>
      <c r="V123" s="12">
        <f>Q121-V121</f>
        <v>-1148187.8441999983</v>
      </c>
      <c r="W123" s="34"/>
      <c r="X123" s="35"/>
    </row>
    <row r="124" spans="1:24" ht="24.9" customHeight="1" thickBot="1" x14ac:dyDescent="0.35">
      <c r="A124" s="14"/>
      <c r="B124" s="9"/>
      <c r="C124" s="88"/>
      <c r="D124" s="68" t="s">
        <v>184</v>
      </c>
      <c r="E124" s="9">
        <f>E109+E103+E95+E93+E62+E60+E58+E51+E44+E43+E37+E35+E33+E31+E23+E13+E11+E9</f>
        <v>895799.54760000005</v>
      </c>
      <c r="F124" s="70"/>
      <c r="G124" s="72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7"/>
      <c r="W124" s="34"/>
      <c r="X124" s="36"/>
    </row>
    <row r="125" spans="1:24" ht="24.9" customHeight="1" x14ac:dyDescent="0.3">
      <c r="A125" s="2"/>
      <c r="B125" s="17"/>
      <c r="C125" s="89"/>
      <c r="D125" s="64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</row>
    <row r="126" spans="1:24" ht="24.9" customHeight="1" thickBot="1" x14ac:dyDescent="0.35">
      <c r="A126" s="2"/>
      <c r="B126" s="17"/>
      <c r="C126" s="89"/>
      <c r="D126" s="64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</row>
    <row r="127" spans="1:24" ht="24.9" customHeight="1" thickBot="1" x14ac:dyDescent="0.35">
      <c r="A127" s="2"/>
      <c r="B127" s="17"/>
      <c r="C127" s="89"/>
      <c r="D127" s="64"/>
      <c r="E127" s="17"/>
      <c r="F127" s="17"/>
      <c r="G127" s="17"/>
      <c r="H127" s="17"/>
      <c r="I127" s="17"/>
      <c r="J127" s="105" t="s">
        <v>8</v>
      </c>
      <c r="K127" s="106"/>
      <c r="L127" s="106"/>
      <c r="M127" s="107"/>
      <c r="N127" s="17"/>
      <c r="O127" s="17"/>
      <c r="P127" s="17"/>
      <c r="Q127" s="17"/>
      <c r="R127" s="17"/>
      <c r="S127" s="17"/>
      <c r="T127" s="17"/>
      <c r="U127" s="17"/>
      <c r="V127" s="17"/>
      <c r="W127" s="17"/>
    </row>
    <row r="128" spans="1:24" ht="24.9" customHeight="1" thickBot="1" x14ac:dyDescent="0.35">
      <c r="J128" s="105" t="s">
        <v>186</v>
      </c>
      <c r="K128" s="106"/>
      <c r="L128" s="106"/>
      <c r="M128" s="107"/>
    </row>
    <row r="129" spans="8:15" ht="24.9" customHeight="1" thickBot="1" x14ac:dyDescent="0.35">
      <c r="J129" s="108" t="s">
        <v>140</v>
      </c>
      <c r="K129" s="109"/>
      <c r="L129" s="112">
        <f>K120+L120+M120+O120</f>
        <v>1024641.3245000001</v>
      </c>
      <c r="M129" s="113"/>
      <c r="O129" s="65"/>
    </row>
    <row r="130" spans="8:15" ht="24.9" customHeight="1" thickBot="1" x14ac:dyDescent="0.35">
      <c r="J130" s="108" t="s">
        <v>141</v>
      </c>
      <c r="K130" s="109"/>
      <c r="L130" s="112">
        <v>-492529</v>
      </c>
      <c r="M130" s="113"/>
    </row>
    <row r="131" spans="8:15" ht="24.9" customHeight="1" thickBot="1" x14ac:dyDescent="0.35">
      <c r="J131" s="110" t="s">
        <v>142</v>
      </c>
      <c r="K131" s="111"/>
      <c r="L131" s="114">
        <f>V123</f>
        <v>-1148187.8441999983</v>
      </c>
      <c r="M131" s="115"/>
    </row>
    <row r="132" spans="8:15" ht="24.9" customHeight="1" thickBot="1" x14ac:dyDescent="0.35">
      <c r="J132" s="101" t="s">
        <v>144</v>
      </c>
      <c r="K132" s="102"/>
      <c r="L132" s="103">
        <f>N120-Q9-Q11-Q13-Q23-Q31-Q33-Q43-Q44-Q58-Q60-Q62-Q68-Q70-Q72-Q79-Q81-Q84-Q85-Q90-Q109-Q93-Q95-Q103-Q116-Q35-Q37-Q51</f>
        <v>582825.3708000005</v>
      </c>
      <c r="M132" s="104"/>
    </row>
    <row r="133" spans="8:15" ht="24.9" customHeight="1" thickBot="1" x14ac:dyDescent="0.35">
      <c r="H133" s="1"/>
      <c r="J133" s="101" t="s">
        <v>182</v>
      </c>
      <c r="K133" s="102"/>
      <c r="L133" s="103">
        <f>L129+L130+L131</f>
        <v>-616075.5196999982</v>
      </c>
      <c r="M133" s="104"/>
    </row>
    <row r="134" spans="8:15" ht="24.9" customHeight="1" thickBot="1" x14ac:dyDescent="0.35">
      <c r="H134" s="1"/>
      <c r="J134" s="101" t="s">
        <v>192</v>
      </c>
      <c r="K134" s="102"/>
      <c r="L134" s="103">
        <f>660+3960</f>
        <v>4620</v>
      </c>
      <c r="M134" s="104"/>
      <c r="N134" s="1">
        <v>56244</v>
      </c>
    </row>
    <row r="135" spans="8:15" ht="24.9" customHeight="1" x14ac:dyDescent="0.3">
      <c r="H135" s="1"/>
    </row>
  </sheetData>
  <mergeCells count="14">
    <mergeCell ref="J134:K134"/>
    <mergeCell ref="L134:M134"/>
    <mergeCell ref="L133:M133"/>
    <mergeCell ref="J133:K133"/>
    <mergeCell ref="J127:M127"/>
    <mergeCell ref="J129:K129"/>
    <mergeCell ref="J130:K130"/>
    <mergeCell ref="J131:K131"/>
    <mergeCell ref="J132:K132"/>
    <mergeCell ref="J128:M128"/>
    <mergeCell ref="L129:M129"/>
    <mergeCell ref="L130:M130"/>
    <mergeCell ref="L131:M131"/>
    <mergeCell ref="L132:M132"/>
  </mergeCells>
  <phoneticPr fontId="8" type="noConversion"/>
  <pageMargins left="0.7" right="0.7" top="0.75" bottom="0.75" header="0.3" footer="0.3"/>
  <pageSetup orientation="portrait" r:id="rId1"/>
  <ignoredErrors>
    <ignoredError sqref="Q68:Q71 Q58:Q6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2024-06-14T08:17:33Z</cp:lastPrinted>
  <dcterms:created xsi:type="dcterms:W3CDTF">2022-06-10T14:11:52Z</dcterms:created>
  <dcterms:modified xsi:type="dcterms:W3CDTF">2025-06-03T06:53:41Z</dcterms:modified>
</cp:coreProperties>
</file>