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Admin\Music\New folder\"/>
    </mc:Choice>
  </mc:AlternateContent>
  <xr:revisionPtr revIDLastSave="0" documentId="13_ncr:1_{A28D7181-A339-4B4B-838A-F39A36BC4726}" xr6:coauthVersionLast="47" xr6:coauthVersionMax="47" xr10:uidLastSave="{00000000-0000-0000-0000-000000000000}"/>
  <bookViews>
    <workbookView xWindow="0" yWindow="1152" windowWidth="23040" windowHeight="11256" xr2:uid="{00000000-000D-0000-FFFF-FFFF00000000}"/>
  </bookViews>
  <sheets>
    <sheet name="Sheet1" sheetId="1" r:id="rId1"/>
  </sheets>
  <definedNames>
    <definedName name="_xlnm.Print_Area" localSheetId="0">Sheet1!$A$1:$T$57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4" i="1" l="1"/>
  <c r="K34" i="1" s="1"/>
  <c r="O46" i="1"/>
  <c r="L46" i="1"/>
  <c r="T41" i="1"/>
  <c r="Q41" i="1"/>
  <c r="H34" i="1" l="1"/>
  <c r="N34" i="1" s="1"/>
  <c r="J34" i="1"/>
  <c r="G42" i="1"/>
  <c r="K42" i="1" s="1"/>
  <c r="I34" i="1" l="1"/>
  <c r="P34" i="1" s="1"/>
  <c r="H42" i="1"/>
  <c r="N42" i="1" s="1"/>
  <c r="E43" i="1" s="1"/>
  <c r="P43" i="1" s="1"/>
  <c r="I42" i="1"/>
  <c r="J42" i="1"/>
  <c r="R46" i="1"/>
  <c r="P42" i="1" l="1"/>
  <c r="T45" i="1" s="1"/>
  <c r="G32" i="1"/>
  <c r="H32" i="1" s="1"/>
  <c r="N32" i="1" s="1"/>
  <c r="E33" i="1" s="1"/>
  <c r="P33" i="1" s="1"/>
  <c r="G29" i="1"/>
  <c r="J29" i="1" s="1"/>
  <c r="I32" i="1" l="1"/>
  <c r="J32" i="1"/>
  <c r="K32" i="1"/>
  <c r="K29" i="1"/>
  <c r="H29" i="1"/>
  <c r="N29" i="1" s="1"/>
  <c r="E31" i="1" s="1"/>
  <c r="P31" i="1" s="1"/>
  <c r="G27" i="1"/>
  <c r="P32" i="1" l="1"/>
  <c r="I29" i="1"/>
  <c r="P29" i="1" s="1"/>
  <c r="H27" i="1"/>
  <c r="N27" i="1" s="1"/>
  <c r="E30" i="1" s="1"/>
  <c r="P30" i="1" s="1"/>
  <c r="J27" i="1"/>
  <c r="K27" i="1"/>
  <c r="I27" i="1" l="1"/>
  <c r="P27" i="1" s="1"/>
  <c r="G26" i="1" l="1"/>
  <c r="H26" i="1" l="1"/>
  <c r="N26" i="1" s="1"/>
  <c r="K26" i="1"/>
  <c r="J26" i="1"/>
  <c r="Q38" i="1"/>
  <c r="E28" i="1" l="1"/>
  <c r="P28" i="1" s="1"/>
  <c r="I26" i="1"/>
  <c r="P26" i="1" s="1"/>
  <c r="M14" i="1" l="1"/>
  <c r="E16" i="1" s="1"/>
  <c r="P16" i="1" s="1"/>
  <c r="G14" i="1" l="1"/>
  <c r="J14" i="1" s="1"/>
  <c r="E24" i="1"/>
  <c r="G24" i="1" s="1"/>
  <c r="K24" i="1" s="1"/>
  <c r="E11" i="1"/>
  <c r="P11" i="1" s="1"/>
  <c r="K14" i="1" l="1"/>
  <c r="H14" i="1"/>
  <c r="N14" i="1" s="1"/>
  <c r="E15" i="1" s="1"/>
  <c r="P15" i="1" s="1"/>
  <c r="H24" i="1"/>
  <c r="N24" i="1" s="1"/>
  <c r="E25" i="1" s="1"/>
  <c r="P25" i="1" s="1"/>
  <c r="J24" i="1"/>
  <c r="G10" i="1"/>
  <c r="H10" i="1" s="1"/>
  <c r="N10" i="1" s="1"/>
  <c r="E12" i="1" s="1"/>
  <c r="P12" i="1" s="1"/>
  <c r="Q7" i="1"/>
  <c r="Q20" i="1"/>
  <c r="F8" i="1"/>
  <c r="G8" i="1" s="1"/>
  <c r="K8" i="1" s="1"/>
  <c r="I14" i="1" l="1"/>
  <c r="P14" i="1" s="1"/>
  <c r="I24" i="1"/>
  <c r="P24" i="1" s="1"/>
  <c r="J10" i="1"/>
  <c r="K10" i="1"/>
  <c r="M10" i="1"/>
  <c r="M8" i="1"/>
  <c r="H8" i="1"/>
  <c r="N8" i="1" s="1"/>
  <c r="J8" i="1"/>
  <c r="E9" i="1" l="1"/>
  <c r="E13" i="1"/>
  <c r="P13" i="1" s="1"/>
  <c r="P9" i="1"/>
  <c r="I10" i="1"/>
  <c r="P10" i="1" s="1"/>
  <c r="I8" i="1"/>
  <c r="P8" i="1" l="1"/>
  <c r="T20" i="1" l="1"/>
  <c r="F21" i="1"/>
  <c r="G21" i="1" s="1"/>
  <c r="J21" i="1" l="1"/>
  <c r="H21" i="1"/>
  <c r="N21" i="1" s="1"/>
  <c r="N46" i="1" s="1"/>
  <c r="M21" i="1"/>
  <c r="M46" i="1" s="1"/>
  <c r="K21" i="1"/>
  <c r="K46" i="1" s="1"/>
  <c r="E23" i="1" l="1"/>
  <c r="P23" i="1" s="1"/>
  <c r="E22" i="1"/>
  <c r="P22" i="1" s="1"/>
  <c r="N57" i="1" s="1"/>
  <c r="I21" i="1"/>
  <c r="P21" i="1" l="1"/>
  <c r="T38" i="1" s="1"/>
  <c r="T46" i="1" l="1"/>
  <c r="P46" i="1"/>
  <c r="N54" i="1"/>
  <c r="R48" i="1" l="1"/>
  <c r="N55" i="1" s="1"/>
</calcChain>
</file>

<file path=xl/sharedStrings.xml><?xml version="1.0" encoding="utf-8"?>
<sst xmlns="http://schemas.openxmlformats.org/spreadsheetml/2006/main" count="92" uniqueCount="71">
  <si>
    <t>Amount</t>
  </si>
  <si>
    <t>UTR</t>
  </si>
  <si>
    <t>Balance Payable Amount Rs. -</t>
  </si>
  <si>
    <t>Total Paid Amount Rs. -</t>
  </si>
  <si>
    <t>Testing Deposit</t>
  </si>
  <si>
    <t>13-07-2023 NEFT/AXISP00406785179/RIUP23/1076/RAJESH KUMAR GU ₹ 5,94,000.00</t>
  </si>
  <si>
    <t>28-04-2023 28-04-2023 NEFT/AXISP00385268801/SPUP23/0334/RAJESH KUMAR GUPTA 990000.00</t>
  </si>
  <si>
    <t>13-07-2023 NEFT/AXISP00406785180/RIUP23/1077/RAJESH KUMAR GU ₹ 5,94,000.00</t>
  </si>
  <si>
    <t>GST Release Note</t>
  </si>
  <si>
    <t>Excess Hold</t>
  </si>
  <si>
    <t>18-03-2024 NEFT/AXISP00481766515/RIUP23/5160/RAJESH KUMAR GUPTA/PUNB0008300 146097.00</t>
  </si>
  <si>
    <t>29-12-2023 NEFT/AXISP00456827627/RIUP23/4013/RAJESH KUMAR GUPTA/PUNB0008300 64858.00</t>
  </si>
  <si>
    <t>29-12-2023 NEFT/AXISP00456827639/RIUP23/4012/RAJESH KUMAR GUPTA/PUNB0008300 126164.00</t>
  </si>
  <si>
    <t>20-02-2024 NEFT/AXISP00472764466/RIUP23/4790/RAJESH KUMAR GUPTA/PUNB0008300 ₹ 1,98,000.00</t>
  </si>
  <si>
    <t>HT</t>
  </si>
  <si>
    <t>25-01-2024 NEFT/AXISP00464803703/RIUP23/4427/RAJESH KUMAR GUPTA/PUNB0008300 93116.00</t>
  </si>
  <si>
    <t>22-03-2024 NEFT/AXISP00483290484/RIUP23/5248/RAJESH KUMAR GUPTA/PUNB0008300 208600.00</t>
  </si>
  <si>
    <t>GST Remaining</t>
  </si>
  <si>
    <t>1 &amp; 3</t>
  </si>
  <si>
    <t>16-04-2024 NEFT/AXISP00491829114/RIUP24/0191/RAJESH KUMAR GUPTA/PUNB0008300 693000.00</t>
  </si>
  <si>
    <t>25-04-2024 NEFT/AXISP00493738069/RIUP24/0275/RAJESH KUMAR GUPTA/PUNB0008300 297000.00</t>
  </si>
  <si>
    <t>Advance / Payable</t>
  </si>
  <si>
    <t>09-05-2024 NEFT/AXISP00498702131/RIUP24/0453/RAJESH KUMAR GUPTA/PUNB0008300 142494.00</t>
  </si>
  <si>
    <t>09-05-2024 NEFT/AXISP00498702133/RIUP24/0452/RAJESH KUMAR GUPTA/PUNB0008300 42767.00</t>
  </si>
  <si>
    <t>Released</t>
  </si>
  <si>
    <t>24-05-2024 NEFT/AXISP00502414630/RIUP24/0526/RAJESH KUMAR GUPTA/PUNB0008300 ₹ 2,21,130.00</t>
  </si>
  <si>
    <t>06-06-2024 NEFT/AXISP00506791471/RIUP24/0774/RAJESH KUMAR GUPTA/PUNB0008300 121621.00</t>
  </si>
  <si>
    <t>Extra Hold</t>
  </si>
  <si>
    <t>Total Hold - SD</t>
  </si>
  <si>
    <t>Rajesh Kumar Gupta</t>
  </si>
  <si>
    <t>OHT work</t>
  </si>
  <si>
    <t>13-08-2024 NEFT/AXISP00527965443/RIUP24/1470/RAJESH KUMAR GUPTA/PUNB0008300 ₹ 1,34,978.00</t>
  </si>
  <si>
    <t>21-09-2024 NEFT/AXISP00542940977/RIUP24/1797/RAJESH KUMAR GUPTA/PUNB0008300 200000.00</t>
  </si>
  <si>
    <t>23-09-2024 NEFT/AXISP00543439506/RIUP24/1898/RAJESH KUMAR GUPTA/PUNB0008300 122850.00</t>
  </si>
  <si>
    <t>26-09-2024 NEFT/AXISP00544679753/RIUP24/1927/RAJESH KUMAR GUPTA/PUNB0008300 16798.00</t>
  </si>
  <si>
    <t>11-10-2024 NEFT/AXISP00552656508/RIUP24/2147/RAJESH KUMAR GUPTA/PUNB0008300 ₹ 4,60,924.00</t>
  </si>
  <si>
    <t>21-10-2024 NEFT/AXISP00556328328/RIUP24/2280/RAJESH KUMAR GUPTA/PUNB0008300 ₹ 1,03,483.00</t>
  </si>
  <si>
    <t>27-11-2024 NEFT/AXISP00575054395/RIUP24/2534/RAJESH KUMAR GUPTA/PUNB0008300 279650.00</t>
  </si>
  <si>
    <t>29-11-2024 NEFT/AXISP00576609501/RIUP24/2553/RAJESH KUMAR GUPTA/PUNB0008300 88262.00</t>
  </si>
  <si>
    <t>01-01-2025 NEFT/AXISP00591798210/RIUP24/2808/RAJESH KUMAR GUPTA/PUNB0008300 ₹ 53,550.00</t>
  </si>
  <si>
    <t>07-02-2025 NEFT/AXISP00612564987/RIUP24/3129/RAJESH KUMAR GUPTA/PUNB0008300 490000.00</t>
  </si>
  <si>
    <t>Staircase Hold / other Hold</t>
  </si>
  <si>
    <t>20-02-2025 NEFT/AXISP00619585406/RIUP24/3140/RAJESH KUMAR GUPTA/PUNB0008300 166717.00</t>
  </si>
  <si>
    <t>19-03-2025 NEFT/AXISP00635603358/RIUP24/3448/RAJESH KUMAR GUPTA/PUNB0008300 776440.00</t>
  </si>
  <si>
    <t>28-03-2025 NEFT/AXISP00641450827/RIUP24/3487/RAJESH KUMAR GUPTA/PUNB0008300 129088.00</t>
  </si>
  <si>
    <t>30-04-2025 NEFT/AXISP00658384853/RIUP25/0176/RAJESH KUMAR GUPTA/PUNB0008300 148680.00</t>
  </si>
  <si>
    <t>16-05-2025 NEFT/AXISP00666690349/RIUP25/0272/RAJESH KUMAR GUPTA/PUNB0008300 396706.00</t>
  </si>
  <si>
    <t>Subcontractor:</t>
  </si>
  <si>
    <t>State:</t>
  </si>
  <si>
    <t>Uttar Pradesh</t>
  </si>
  <si>
    <t>District:</t>
  </si>
  <si>
    <t>Shamli</t>
  </si>
  <si>
    <t>Block:</t>
  </si>
  <si>
    <t>PMC_No</t>
  </si>
  <si>
    <t>Invoice_Details</t>
  </si>
  <si>
    <t>Invoice_Date</t>
  </si>
  <si>
    <t>Invoice_No</t>
  </si>
  <si>
    <t>Basic_Amount</t>
  </si>
  <si>
    <t>Debit_Amount</t>
  </si>
  <si>
    <t>After_Debit_Amount</t>
  </si>
  <si>
    <t>GST_Amount</t>
  </si>
  <si>
    <t>TDS_Amount</t>
  </si>
  <si>
    <t>SD_Amount</t>
  </si>
  <si>
    <t>On_Commission</t>
  </si>
  <si>
    <t>GST_SD_Amount</t>
  </si>
  <si>
    <t>Final_Amount</t>
  </si>
  <si>
    <t>Total_Amount</t>
  </si>
  <si>
    <t xml:space="preserve">Ramra village OHT work </t>
  </si>
  <si>
    <t xml:space="preserve">Ramra village OFT work </t>
  </si>
  <si>
    <t>Kalan Village OHT work</t>
  </si>
  <si>
    <t>Aldi village Sataging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</si>
</sst>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 * #,##0.00_ ;_ * \-#,##0.00_ ;_ * &quot;-&quot;??_ ;_ @_ 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3" tint="0.39997558519241921"/>
      <name val="Comic Sans MS"/>
      <family val="4"/>
    </font>
    <font>
      <sz val="9"/>
      <color theme="1"/>
      <name val="Comic Sans MS"/>
      <family val="4"/>
    </font>
    <font>
      <b/>
      <sz val="9"/>
      <color theme="4" tint="-0.249977111117893"/>
      <name val="Comic Sans MS"/>
      <family val="4"/>
    </font>
    <font>
      <b/>
      <sz val="9"/>
      <color theme="1"/>
      <name val="Comic Sans MS"/>
      <family val="4"/>
    </font>
    <font>
      <b/>
      <sz val="14"/>
      <color theme="1"/>
      <name val="Calibri"/>
      <family val="2"/>
      <scheme val="minor"/>
    </font>
    <font>
      <b/>
      <sz val="12"/>
      <color theme="1"/>
      <name val="Comic Sans MS"/>
      <family val="4"/>
    </font>
    <font>
      <sz val="9"/>
      <color rgb="FFFF0000"/>
      <name val="Comic Sans MS"/>
      <family val="4"/>
    </font>
    <font>
      <sz val="9"/>
      <name val="Comic Sans MS"/>
      <family val="4"/>
    </font>
    <font>
      <b/>
      <sz val="2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3" tint="0.39997558519241921"/>
      <name val="Times New Roman"/>
      <family val="1"/>
    </font>
    <font>
      <sz val="10"/>
      <color theme="1"/>
      <name val="Times New Roman"/>
      <family val="1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</fills>
  <borders count="24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82">
    <xf numFmtId="0" fontId="0" fillId="0" borderId="0" xfId="0"/>
    <xf numFmtId="15" fontId="3" fillId="2" borderId="5" xfId="0" applyNumberFormat="1" applyFont="1" applyFill="1" applyBorder="1" applyAlignment="1">
      <alignment horizontal="center" vertical="center"/>
    </xf>
    <xf numFmtId="0" fontId="0" fillId="2" borderId="0" xfId="0" applyFill="1" applyAlignment="1">
      <alignment vertical="center"/>
    </xf>
    <xf numFmtId="164" fontId="0" fillId="2" borderId="0" xfId="1" applyNumberFormat="1" applyFont="1" applyFill="1" applyBorder="1" applyAlignment="1">
      <alignment vertical="center"/>
    </xf>
    <xf numFmtId="164" fontId="2" fillId="2" borderId="0" xfId="1" applyNumberFormat="1" applyFont="1" applyFill="1" applyBorder="1" applyAlignment="1">
      <alignment vertical="center"/>
    </xf>
    <xf numFmtId="164" fontId="3" fillId="2" borderId="0" xfId="1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vertical="center"/>
    </xf>
    <xf numFmtId="164" fontId="3" fillId="2" borderId="0" xfId="1" applyNumberFormat="1" applyFont="1" applyFill="1" applyBorder="1" applyAlignment="1">
      <alignment vertical="center"/>
    </xf>
    <xf numFmtId="0" fontId="4" fillId="2" borderId="0" xfId="0" applyFont="1" applyFill="1" applyAlignment="1">
      <alignment vertical="center"/>
    </xf>
    <xf numFmtId="164" fontId="3" fillId="2" borderId="5" xfId="1" applyNumberFormat="1" applyFont="1" applyFill="1" applyBorder="1" applyAlignment="1">
      <alignment vertical="center"/>
    </xf>
    <xf numFmtId="164" fontId="3" fillId="2" borderId="7" xfId="1" applyNumberFormat="1" applyFont="1" applyFill="1" applyBorder="1" applyAlignment="1">
      <alignment vertical="center"/>
    </xf>
    <xf numFmtId="164" fontId="3" fillId="2" borderId="6" xfId="1" applyNumberFormat="1" applyFont="1" applyFill="1" applyBorder="1" applyAlignment="1">
      <alignment vertical="center"/>
    </xf>
    <xf numFmtId="164" fontId="0" fillId="2" borderId="0" xfId="1" applyNumberFormat="1" applyFont="1" applyFill="1" applyAlignment="1">
      <alignment vertical="center"/>
    </xf>
    <xf numFmtId="15" fontId="3" fillId="3" borderId="5" xfId="0" applyNumberFormat="1" applyFont="1" applyFill="1" applyBorder="1" applyAlignment="1">
      <alignment horizontal="center" vertical="center"/>
    </xf>
    <xf numFmtId="164" fontId="3" fillId="3" borderId="4" xfId="1" applyNumberFormat="1" applyFont="1" applyFill="1" applyBorder="1" applyAlignment="1">
      <alignment vertical="center"/>
    </xf>
    <xf numFmtId="0" fontId="0" fillId="3" borderId="0" xfId="0" applyFill="1" applyAlignment="1">
      <alignment vertical="center"/>
    </xf>
    <xf numFmtId="164" fontId="3" fillId="3" borderId="5" xfId="1" applyNumberFormat="1" applyFont="1" applyFill="1" applyBorder="1" applyAlignment="1">
      <alignment vertical="center"/>
    </xf>
    <xf numFmtId="0" fontId="0" fillId="2" borderId="9" xfId="0" applyFill="1" applyBorder="1" applyAlignment="1">
      <alignment vertical="center"/>
    </xf>
    <xf numFmtId="0" fontId="5" fillId="2" borderId="9" xfId="0" applyFont="1" applyFill="1" applyBorder="1" applyAlignment="1">
      <alignment horizontal="center" vertical="center" wrapText="1"/>
    </xf>
    <xf numFmtId="0" fontId="0" fillId="2" borderId="5" xfId="0" applyFill="1" applyBorder="1" applyAlignment="1">
      <alignment vertical="center"/>
    </xf>
    <xf numFmtId="0" fontId="5" fillId="2" borderId="5" xfId="0" applyFont="1" applyFill="1" applyBorder="1" applyAlignment="1">
      <alignment horizontal="center" vertical="center" wrapText="1"/>
    </xf>
    <xf numFmtId="0" fontId="0" fillId="3" borderId="5" xfId="0" applyFill="1" applyBorder="1" applyAlignment="1">
      <alignment vertical="center"/>
    </xf>
    <xf numFmtId="0" fontId="5" fillId="4" borderId="5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0" fillId="0" borderId="5" xfId="0" applyBorder="1" applyAlignment="1">
      <alignment vertical="center"/>
    </xf>
    <xf numFmtId="14" fontId="3" fillId="2" borderId="5" xfId="1" applyNumberFormat="1" applyFont="1" applyFill="1" applyBorder="1" applyAlignment="1">
      <alignment vertical="center"/>
    </xf>
    <xf numFmtId="0" fontId="3" fillId="3" borderId="5" xfId="0" applyFont="1" applyFill="1" applyBorder="1" applyAlignment="1">
      <alignment horizontal="center" vertical="center" wrapText="1"/>
    </xf>
    <xf numFmtId="164" fontId="0" fillId="3" borderId="5" xfId="0" applyNumberFormat="1" applyFill="1" applyBorder="1" applyAlignment="1">
      <alignment vertical="center"/>
    </xf>
    <xf numFmtId="164" fontId="5" fillId="2" borderId="6" xfId="1" applyNumberFormat="1" applyFont="1" applyFill="1" applyBorder="1" applyAlignment="1">
      <alignment vertical="center"/>
    </xf>
    <xf numFmtId="0" fontId="0" fillId="2" borderId="6" xfId="0" applyFill="1" applyBorder="1" applyAlignment="1">
      <alignment vertical="center"/>
    </xf>
    <xf numFmtId="0" fontId="0" fillId="2" borderId="7" xfId="0" applyFill="1" applyBorder="1" applyAlignment="1">
      <alignment vertical="center"/>
    </xf>
    <xf numFmtId="164" fontId="3" fillId="2" borderId="9" xfId="1" applyNumberFormat="1" applyFont="1" applyFill="1" applyBorder="1" applyAlignment="1">
      <alignment vertical="center"/>
    </xf>
    <xf numFmtId="164" fontId="5" fillId="2" borderId="9" xfId="1" applyNumberFormat="1" applyFont="1" applyFill="1" applyBorder="1" applyAlignment="1">
      <alignment vertical="center"/>
    </xf>
    <xf numFmtId="0" fontId="0" fillId="3" borderId="4" xfId="0" applyFill="1" applyBorder="1" applyAlignment="1">
      <alignment vertical="center"/>
    </xf>
    <xf numFmtId="9" fontId="3" fillId="3" borderId="4" xfId="1" applyNumberFormat="1" applyFont="1" applyFill="1" applyBorder="1" applyAlignment="1">
      <alignment vertical="center"/>
    </xf>
    <xf numFmtId="0" fontId="5" fillId="4" borderId="4" xfId="0" applyFont="1" applyFill="1" applyBorder="1" applyAlignment="1">
      <alignment horizontal="center" vertical="center" wrapText="1"/>
    </xf>
    <xf numFmtId="9" fontId="3" fillId="2" borderId="6" xfId="1" applyNumberFormat="1" applyFont="1" applyFill="1" applyBorder="1" applyAlignment="1">
      <alignment vertical="center"/>
    </xf>
    <xf numFmtId="0" fontId="5" fillId="2" borderId="6" xfId="0" applyFont="1" applyFill="1" applyBorder="1" applyAlignment="1">
      <alignment horizontal="center" vertical="center" wrapText="1"/>
    </xf>
    <xf numFmtId="14" fontId="0" fillId="2" borderId="0" xfId="0" applyNumberFormat="1" applyFill="1" applyAlignment="1">
      <alignment vertical="center"/>
    </xf>
    <xf numFmtId="164" fontId="8" fillId="5" borderId="5" xfId="1" applyNumberFormat="1" applyFont="1" applyFill="1" applyBorder="1" applyAlignment="1">
      <alignment vertical="center"/>
    </xf>
    <xf numFmtId="164" fontId="0" fillId="2" borderId="0" xfId="0" applyNumberFormat="1" applyFill="1" applyAlignment="1">
      <alignment vertical="center"/>
    </xf>
    <xf numFmtId="0" fontId="3" fillId="2" borderId="5" xfId="1" applyNumberFormat="1" applyFont="1" applyFill="1" applyBorder="1" applyAlignment="1">
      <alignment vertical="center"/>
    </xf>
    <xf numFmtId="164" fontId="9" fillId="2" borderId="5" xfId="1" applyNumberFormat="1" applyFont="1" applyFill="1" applyBorder="1" applyAlignment="1">
      <alignment vertical="center"/>
    </xf>
    <xf numFmtId="0" fontId="0" fillId="0" borderId="0" xfId="0" applyAlignment="1">
      <alignment vertical="center"/>
    </xf>
    <xf numFmtId="0" fontId="10" fillId="2" borderId="0" xfId="0" applyFont="1" applyFill="1" applyAlignment="1">
      <alignment vertical="center"/>
    </xf>
    <xf numFmtId="164" fontId="3" fillId="2" borderId="7" xfId="1" applyNumberFormat="1" applyFont="1" applyFill="1" applyBorder="1" applyAlignment="1">
      <alignment vertical="center" wrapText="1"/>
    </xf>
    <xf numFmtId="0" fontId="11" fillId="0" borderId="0" xfId="0" applyFont="1"/>
    <xf numFmtId="164" fontId="12" fillId="2" borderId="23" xfId="2" applyFont="1" applyFill="1" applyBorder="1" applyAlignment="1">
      <alignment vertical="center"/>
    </xf>
    <xf numFmtId="164" fontId="12" fillId="2" borderId="1" xfId="2" applyFont="1" applyFill="1" applyBorder="1" applyAlignment="1">
      <alignment vertical="center"/>
    </xf>
    <xf numFmtId="0" fontId="13" fillId="2" borderId="1" xfId="0" applyFont="1" applyFill="1" applyBorder="1" applyAlignment="1">
      <alignment vertical="center"/>
    </xf>
    <xf numFmtId="0" fontId="11" fillId="2" borderId="9" xfId="0" applyFont="1" applyFill="1" applyBorder="1" applyAlignment="1">
      <alignment vertical="center"/>
    </xf>
    <xf numFmtId="0" fontId="11" fillId="2" borderId="9" xfId="0" applyFont="1" applyFill="1" applyBorder="1" applyAlignment="1">
      <alignment horizontal="center" vertical="center" wrapText="1"/>
    </xf>
    <xf numFmtId="14" fontId="11" fillId="2" borderId="9" xfId="0" applyNumberFormat="1" applyFont="1" applyFill="1" applyBorder="1" applyAlignment="1">
      <alignment horizontal="center" vertical="center"/>
    </xf>
    <xf numFmtId="0" fontId="11" fillId="2" borderId="9" xfId="0" applyFont="1" applyFill="1" applyBorder="1" applyAlignment="1">
      <alignment horizontal="center" vertical="center"/>
    </xf>
    <xf numFmtId="164" fontId="14" fillId="2" borderId="9" xfId="2" applyFont="1" applyFill="1" applyBorder="1" applyAlignment="1">
      <alignment horizontal="center" vertical="center"/>
    </xf>
    <xf numFmtId="164" fontId="11" fillId="2" borderId="9" xfId="2" applyFont="1" applyFill="1" applyBorder="1" applyAlignment="1">
      <alignment horizontal="center" vertical="center"/>
    </xf>
    <xf numFmtId="0" fontId="3" fillId="2" borderId="6" xfId="1" applyNumberFormat="1" applyFont="1" applyFill="1" applyBorder="1" applyAlignment="1">
      <alignment vertical="center"/>
    </xf>
    <xf numFmtId="0" fontId="3" fillId="3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3" borderId="4" xfId="1" applyNumberFormat="1" applyFont="1" applyFill="1" applyBorder="1" applyAlignment="1">
      <alignment vertical="center"/>
    </xf>
    <xf numFmtId="0" fontId="3" fillId="3" borderId="5" xfId="1" applyNumberFormat="1" applyFont="1" applyFill="1" applyBorder="1" applyAlignment="1">
      <alignment vertical="center"/>
    </xf>
    <xf numFmtId="0" fontId="3" fillId="2" borderId="7" xfId="1" applyNumberFormat="1" applyFont="1" applyFill="1" applyBorder="1" applyAlignment="1">
      <alignment vertical="center"/>
    </xf>
    <xf numFmtId="0" fontId="3" fillId="2" borderId="9" xfId="1" applyNumberFormat="1" applyFont="1" applyFill="1" applyBorder="1" applyAlignment="1">
      <alignment vertical="center"/>
    </xf>
    <xf numFmtId="0" fontId="6" fillId="2" borderId="11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164" fontId="6" fillId="2" borderId="19" xfId="1" applyNumberFormat="1" applyFont="1" applyFill="1" applyBorder="1" applyAlignment="1">
      <alignment horizontal="center" vertical="center"/>
    </xf>
    <xf numFmtId="164" fontId="6" fillId="2" borderId="20" xfId="1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164" fontId="6" fillId="2" borderId="21" xfId="1" applyNumberFormat="1" applyFont="1" applyFill="1" applyBorder="1" applyAlignment="1">
      <alignment horizontal="center" vertical="center"/>
    </xf>
    <xf numFmtId="164" fontId="6" fillId="2" borderId="22" xfId="1" applyNumberFormat="1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14" fontId="7" fillId="2" borderId="2" xfId="1" applyNumberFormat="1" applyFont="1" applyFill="1" applyBorder="1" applyAlignment="1">
      <alignment horizontal="center" vertical="center"/>
    </xf>
    <xf numFmtId="164" fontId="7" fillId="2" borderId="3" xfId="1" applyNumberFormat="1" applyFont="1" applyFill="1" applyBorder="1" applyAlignment="1">
      <alignment horizontal="center" vertical="center"/>
    </xf>
    <xf numFmtId="164" fontId="7" fillId="2" borderId="1" xfId="1" applyNumberFormat="1" applyFont="1" applyFill="1" applyBorder="1" applyAlignment="1">
      <alignment horizontal="center" vertical="center"/>
    </xf>
    <xf numFmtId="164" fontId="7" fillId="2" borderId="13" xfId="1" applyNumberFormat="1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0" fontId="6" fillId="2" borderId="14" xfId="0" applyFont="1" applyFill="1" applyBorder="1" applyAlignment="1">
      <alignment horizontal="center" vertical="center"/>
    </xf>
    <xf numFmtId="164" fontId="6" fillId="2" borderId="17" xfId="1" applyNumberFormat="1" applyFont="1" applyFill="1" applyBorder="1" applyAlignment="1">
      <alignment horizontal="center" vertical="center"/>
    </xf>
    <xf numFmtId="164" fontId="6" fillId="2" borderId="18" xfId="1" applyNumberFormat="1" applyFont="1" applyFill="1" applyBorder="1" applyAlignment="1">
      <alignment horizontal="center" vertical="center"/>
    </xf>
  </cellXfs>
  <cellStyles count="3">
    <cellStyle name="Comma" xfId="1" builtinId="3"/>
    <cellStyle name="Comma 2" xfId="2" xr:uid="{64118087-8CC7-4C7C-8C9F-48420AD42A35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X57"/>
  <sheetViews>
    <sheetView tabSelected="1" zoomScale="96" zoomScaleNormal="85" zoomScaleSheetLayoutView="115" workbookViewId="0">
      <pane ySplit="5" topLeftCell="A18" activePane="bottomLeft" state="frozen"/>
      <selection pane="bottomLeft" activeCell="B14" sqref="B14"/>
    </sheetView>
  </sheetViews>
  <sheetFormatPr defaultColWidth="9" defaultRowHeight="24.9" customHeight="1" x14ac:dyDescent="0.3"/>
  <cols>
    <col min="1" max="1" width="14.5546875" style="2" customWidth="1"/>
    <col min="2" max="2" width="30" style="2" customWidth="1"/>
    <col min="3" max="3" width="13.44140625" style="2" bestFit="1" customWidth="1"/>
    <col min="4" max="4" width="11.5546875" style="2" bestFit="1" customWidth="1"/>
    <col min="5" max="5" width="13.33203125" style="2" bestFit="1" customWidth="1"/>
    <col min="6" max="7" width="13.33203125" style="2" customWidth="1"/>
    <col min="8" max="8" width="14.6640625" style="12" customWidth="1"/>
    <col min="9" max="9" width="15.33203125" style="12" bestFit="1" customWidth="1"/>
    <col min="10" max="10" width="13" style="2" customWidth="1"/>
    <col min="11" max="11" width="14.109375" style="2" bestFit="1" customWidth="1"/>
    <col min="12" max="12" width="18.88671875" style="2" bestFit="1" customWidth="1"/>
    <col min="13" max="13" width="14" style="2" bestFit="1" customWidth="1"/>
    <col min="14" max="16" width="14.88671875" style="2" customWidth="1"/>
    <col min="17" max="17" width="13.109375" style="2" bestFit="1" customWidth="1"/>
    <col min="18" max="18" width="16.109375" style="2" customWidth="1"/>
    <col min="19" max="19" width="92.33203125" style="2" bestFit="1" customWidth="1"/>
    <col min="20" max="20" width="13.44140625" style="2" bestFit="1" customWidth="1"/>
    <col min="21" max="16384" width="9" style="2"/>
  </cols>
  <sheetData>
    <row r="1" spans="1:76" ht="24.9" customHeight="1" thickBot="1" x14ac:dyDescent="0.35">
      <c r="A1" s="46" t="s">
        <v>47</v>
      </c>
      <c r="B1" s="44" t="s">
        <v>29</v>
      </c>
      <c r="E1" s="43"/>
      <c r="F1" s="43"/>
      <c r="G1" s="43"/>
      <c r="H1" s="3"/>
      <c r="I1" s="3"/>
    </row>
    <row r="2" spans="1:76" ht="24.9" customHeight="1" thickBot="1" x14ac:dyDescent="0.35">
      <c r="A2" s="46" t="s">
        <v>48</v>
      </c>
      <c r="B2" s="47" t="s">
        <v>49</v>
      </c>
      <c r="C2" s="4"/>
      <c r="D2" s="44"/>
      <c r="G2" s="5"/>
      <c r="H2" s="3"/>
      <c r="I2" s="5"/>
      <c r="J2" s="6"/>
      <c r="K2" s="6"/>
      <c r="L2" s="6"/>
      <c r="M2" s="6"/>
      <c r="N2" s="6"/>
      <c r="O2" s="6"/>
      <c r="P2" s="6"/>
      <c r="Q2" s="6"/>
    </row>
    <row r="3" spans="1:76" ht="24.9" customHeight="1" thickBot="1" x14ac:dyDescent="0.35">
      <c r="A3" s="46" t="s">
        <v>50</v>
      </c>
      <c r="B3" s="48" t="s">
        <v>51</v>
      </c>
      <c r="C3" s="4"/>
      <c r="D3" s="44"/>
      <c r="G3" s="5"/>
      <c r="H3" s="3"/>
      <c r="I3" s="5"/>
      <c r="J3" s="6"/>
      <c r="K3" s="6"/>
      <c r="L3" s="6"/>
      <c r="M3" s="6"/>
      <c r="N3" s="6"/>
      <c r="O3" s="6"/>
      <c r="P3" s="6"/>
      <c r="Q3" s="6"/>
    </row>
    <row r="4" spans="1:76" ht="24.9" customHeight="1" thickBot="1" x14ac:dyDescent="0.35">
      <c r="A4" s="46" t="s">
        <v>52</v>
      </c>
      <c r="B4" s="49" t="s">
        <v>51</v>
      </c>
      <c r="C4" s="6"/>
      <c r="D4" s="6"/>
      <c r="E4" s="6"/>
      <c r="F4" s="6"/>
      <c r="G4" s="6"/>
      <c r="H4" s="7"/>
      <c r="I4" s="7"/>
      <c r="J4" s="6"/>
      <c r="K4" s="6"/>
      <c r="L4" s="6"/>
      <c r="M4" s="6"/>
      <c r="Q4" s="38"/>
      <c r="R4" s="8"/>
      <c r="S4" s="8"/>
    </row>
    <row r="5" spans="1:76" ht="24.9" customHeight="1" x14ac:dyDescent="0.3">
      <c r="A5" s="50" t="s">
        <v>53</v>
      </c>
      <c r="B5" s="51" t="s">
        <v>54</v>
      </c>
      <c r="C5" s="52" t="s">
        <v>55</v>
      </c>
      <c r="D5" s="53" t="s">
        <v>56</v>
      </c>
      <c r="E5" s="51" t="s">
        <v>57</v>
      </c>
      <c r="F5" s="51" t="s">
        <v>58</v>
      </c>
      <c r="G5" s="53" t="s">
        <v>59</v>
      </c>
      <c r="H5" s="54" t="s">
        <v>60</v>
      </c>
      <c r="I5" s="55" t="s">
        <v>0</v>
      </c>
      <c r="J5" s="51" t="s">
        <v>61</v>
      </c>
      <c r="K5" s="51" t="s">
        <v>62</v>
      </c>
      <c r="L5" s="51" t="s">
        <v>63</v>
      </c>
      <c r="M5" s="18" t="s">
        <v>4</v>
      </c>
      <c r="N5" s="51" t="s">
        <v>64</v>
      </c>
      <c r="O5" s="18" t="s">
        <v>41</v>
      </c>
      <c r="P5" s="51" t="s">
        <v>65</v>
      </c>
      <c r="Q5" s="18"/>
      <c r="R5" s="51" t="s">
        <v>66</v>
      </c>
      <c r="S5" s="51" t="s">
        <v>1</v>
      </c>
      <c r="T5" s="17"/>
    </row>
    <row r="6" spans="1:76" ht="24.9" customHeight="1" thickBot="1" x14ac:dyDescent="0.35">
      <c r="A6" s="29"/>
      <c r="B6" s="11"/>
      <c r="C6" s="11"/>
      <c r="D6" s="56"/>
      <c r="E6" s="11"/>
      <c r="F6" s="11"/>
      <c r="G6" s="11"/>
      <c r="H6" s="36">
        <v>0.18</v>
      </c>
      <c r="I6" s="11"/>
      <c r="J6" s="36">
        <v>0.01</v>
      </c>
      <c r="K6" s="36">
        <v>0.05</v>
      </c>
      <c r="L6" s="36">
        <v>0</v>
      </c>
      <c r="M6" s="36">
        <v>0.1</v>
      </c>
      <c r="N6" s="36">
        <v>0.18</v>
      </c>
      <c r="O6" s="36"/>
      <c r="P6" s="11"/>
      <c r="Q6" s="37"/>
      <c r="R6" s="11"/>
      <c r="S6" s="11"/>
      <c r="T6" s="29"/>
    </row>
    <row r="7" spans="1:76" s="15" customFormat="1" ht="24.9" customHeight="1" x14ac:dyDescent="0.3">
      <c r="A7" s="21"/>
      <c r="B7" s="26"/>
      <c r="C7" s="13"/>
      <c r="D7" s="57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22">
        <f>A8</f>
        <v>56837</v>
      </c>
      <c r="R7" s="16"/>
      <c r="S7" s="21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</row>
    <row r="8" spans="1:76" ht="24.9" customHeight="1" x14ac:dyDescent="0.3">
      <c r="A8" s="19">
        <v>56837</v>
      </c>
      <c r="B8" s="23" t="s">
        <v>70</v>
      </c>
      <c r="C8" s="1">
        <v>45122</v>
      </c>
      <c r="D8" s="58">
        <v>1</v>
      </c>
      <c r="E8" s="9">
        <v>1638000</v>
      </c>
      <c r="F8" s="9">
        <f>492751.32+34930</f>
        <v>527681.32000000007</v>
      </c>
      <c r="G8" s="9">
        <f>E8-F8</f>
        <v>1110318.68</v>
      </c>
      <c r="H8" s="9">
        <f>G8*H6</f>
        <v>199857.36239999998</v>
      </c>
      <c r="I8" s="9">
        <f>G8+H8</f>
        <v>1310176.0423999999</v>
      </c>
      <c r="J8" s="9">
        <f>G8*J6</f>
        <v>11103.186799999999</v>
      </c>
      <c r="K8" s="9">
        <f>G8*K6</f>
        <v>55515.934000000001</v>
      </c>
      <c r="L8" s="9"/>
      <c r="M8" s="39">
        <f>G8*M6</f>
        <v>111031.868</v>
      </c>
      <c r="N8" s="39">
        <f>H8</f>
        <v>199857.36239999998</v>
      </c>
      <c r="O8" s="9"/>
      <c r="P8" s="9">
        <f>I8-SUM(J8:N8)</f>
        <v>932667.6912</v>
      </c>
      <c r="Q8" s="20"/>
      <c r="R8" s="9">
        <v>990000</v>
      </c>
      <c r="S8" s="24" t="s">
        <v>6</v>
      </c>
      <c r="T8" s="19"/>
    </row>
    <row r="9" spans="1:76" ht="24.9" customHeight="1" x14ac:dyDescent="0.3">
      <c r="A9" s="19">
        <v>56837</v>
      </c>
      <c r="B9" s="9" t="s">
        <v>8</v>
      </c>
      <c r="C9" s="25"/>
      <c r="D9" s="58">
        <v>1</v>
      </c>
      <c r="E9" s="9">
        <f>N8</f>
        <v>199857.36239999998</v>
      </c>
      <c r="F9" s="9"/>
      <c r="G9" s="9"/>
      <c r="H9" s="9"/>
      <c r="I9" s="9"/>
      <c r="J9" s="9"/>
      <c r="K9" s="9"/>
      <c r="L9" s="9"/>
      <c r="M9" s="9"/>
      <c r="N9" s="9"/>
      <c r="O9" s="9"/>
      <c r="P9" s="39">
        <f>E9</f>
        <v>199857.36239999998</v>
      </c>
      <c r="Q9" s="20"/>
      <c r="R9" s="9">
        <v>594000</v>
      </c>
      <c r="S9" s="24" t="s">
        <v>7</v>
      </c>
      <c r="T9" s="19"/>
    </row>
    <row r="10" spans="1:76" ht="24.9" customHeight="1" x14ac:dyDescent="0.3">
      <c r="A10" s="19">
        <v>56837</v>
      </c>
      <c r="B10" s="23" t="s">
        <v>70</v>
      </c>
      <c r="C10" s="1">
        <v>45272</v>
      </c>
      <c r="D10" s="58">
        <v>3</v>
      </c>
      <c r="E10" s="9">
        <v>1228500</v>
      </c>
      <c r="F10" s="9">
        <v>711190</v>
      </c>
      <c r="G10" s="9">
        <f>E10-F10</f>
        <v>517310</v>
      </c>
      <c r="H10" s="9">
        <f>G10*18%</f>
        <v>93115.8</v>
      </c>
      <c r="I10" s="9">
        <f>G10+H10</f>
        <v>610425.80000000005</v>
      </c>
      <c r="J10" s="9">
        <f>G10*1%</f>
        <v>5173.1000000000004</v>
      </c>
      <c r="K10" s="9">
        <f>G10*5%</f>
        <v>25865.5</v>
      </c>
      <c r="L10" s="9"/>
      <c r="M10" s="39">
        <f>G10*10%</f>
        <v>51731</v>
      </c>
      <c r="N10" s="39">
        <f>H10</f>
        <v>93115.8</v>
      </c>
      <c r="O10" s="39">
        <v>208600</v>
      </c>
      <c r="P10" s="9">
        <f>I10-SUM(J10:O10)</f>
        <v>225940.40000000002</v>
      </c>
      <c r="Q10" s="20"/>
      <c r="R10" s="9">
        <v>93116</v>
      </c>
      <c r="S10" s="24" t="s">
        <v>15</v>
      </c>
      <c r="T10" s="19"/>
    </row>
    <row r="11" spans="1:76" ht="24.9" customHeight="1" x14ac:dyDescent="0.3">
      <c r="A11" s="19">
        <v>56837</v>
      </c>
      <c r="B11" s="23" t="s">
        <v>9</v>
      </c>
      <c r="C11" s="1"/>
      <c r="D11" s="58">
        <v>3</v>
      </c>
      <c r="E11" s="9">
        <f>O10</f>
        <v>208600</v>
      </c>
      <c r="F11" s="9"/>
      <c r="G11" s="9"/>
      <c r="H11" s="9"/>
      <c r="I11" s="9"/>
      <c r="J11" s="9"/>
      <c r="K11" s="9"/>
      <c r="L11" s="9"/>
      <c r="M11" s="9"/>
      <c r="N11" s="9"/>
      <c r="O11" s="9"/>
      <c r="P11" s="39">
        <f>E11</f>
        <v>208600</v>
      </c>
      <c r="Q11" s="20"/>
      <c r="R11" s="42">
        <v>208600</v>
      </c>
      <c r="S11" s="24" t="s">
        <v>16</v>
      </c>
      <c r="T11" s="19"/>
    </row>
    <row r="12" spans="1:76" ht="24.9" customHeight="1" x14ac:dyDescent="0.3">
      <c r="A12" s="19">
        <v>56837</v>
      </c>
      <c r="B12" s="23" t="s">
        <v>8</v>
      </c>
      <c r="C12" s="1"/>
      <c r="D12" s="58">
        <v>3</v>
      </c>
      <c r="E12" s="9">
        <f>N10</f>
        <v>93115.8</v>
      </c>
      <c r="F12" s="9"/>
      <c r="G12" s="9"/>
      <c r="H12" s="9"/>
      <c r="I12" s="9"/>
      <c r="J12" s="9"/>
      <c r="K12" s="9"/>
      <c r="L12" s="9"/>
      <c r="M12" s="9"/>
      <c r="N12" s="9"/>
      <c r="O12" s="9"/>
      <c r="P12" s="39">
        <f>E12</f>
        <v>93115.8</v>
      </c>
      <c r="Q12" s="20"/>
      <c r="R12" s="9">
        <v>693000</v>
      </c>
      <c r="S12" s="24" t="s">
        <v>19</v>
      </c>
      <c r="T12" s="19"/>
    </row>
    <row r="13" spans="1:76" ht="24.9" customHeight="1" x14ac:dyDescent="0.3">
      <c r="A13" s="19">
        <v>56837</v>
      </c>
      <c r="B13" s="23" t="s">
        <v>14</v>
      </c>
      <c r="C13" s="1"/>
      <c r="D13" s="58" t="s">
        <v>18</v>
      </c>
      <c r="E13" s="9">
        <f>M8+M10</f>
        <v>162762.86800000002</v>
      </c>
      <c r="F13" s="9"/>
      <c r="G13" s="9"/>
      <c r="H13" s="9"/>
      <c r="I13" s="9"/>
      <c r="J13" s="9"/>
      <c r="K13" s="9"/>
      <c r="L13" s="9"/>
      <c r="M13" s="9"/>
      <c r="N13" s="9"/>
      <c r="O13" s="9"/>
      <c r="P13" s="39">
        <f>E13</f>
        <v>162762.86800000002</v>
      </c>
      <c r="Q13" s="20"/>
      <c r="R13" s="9">
        <v>297000</v>
      </c>
      <c r="S13" s="24" t="s">
        <v>20</v>
      </c>
      <c r="T13" s="19"/>
    </row>
    <row r="14" spans="1:76" ht="24.9" customHeight="1" x14ac:dyDescent="0.3">
      <c r="A14" s="19">
        <v>56837</v>
      </c>
      <c r="B14" s="23" t="s">
        <v>70</v>
      </c>
      <c r="C14" s="1">
        <v>45272</v>
      </c>
      <c r="D14" s="58">
        <v>5</v>
      </c>
      <c r="E14" s="9">
        <v>1228500</v>
      </c>
      <c r="F14" s="9">
        <v>0</v>
      </c>
      <c r="G14" s="9">
        <f>E14-F14</f>
        <v>1228500</v>
      </c>
      <c r="H14" s="9">
        <f>G14*18%</f>
        <v>221130</v>
      </c>
      <c r="I14" s="9">
        <f>G14+H14</f>
        <v>1449630</v>
      </c>
      <c r="J14" s="9">
        <f>G14*1%</f>
        <v>12285</v>
      </c>
      <c r="K14" s="9">
        <f>G14*5%</f>
        <v>61425</v>
      </c>
      <c r="L14" s="9"/>
      <c r="M14" s="39">
        <f>3%*A9</f>
        <v>1705.11</v>
      </c>
      <c r="N14" s="39">
        <f>H14</f>
        <v>221130</v>
      </c>
      <c r="O14" s="9">
        <v>0</v>
      </c>
      <c r="P14" s="9">
        <f>I14-SUM(J14:O14)</f>
        <v>1153084.8900000001</v>
      </c>
      <c r="Q14" s="20"/>
      <c r="R14" s="9">
        <v>42767</v>
      </c>
      <c r="S14" s="24" t="s">
        <v>23</v>
      </c>
      <c r="T14" s="19"/>
    </row>
    <row r="15" spans="1:76" ht="24.9" customHeight="1" x14ac:dyDescent="0.3">
      <c r="A15" s="19">
        <v>56837</v>
      </c>
      <c r="B15" s="23" t="s">
        <v>8</v>
      </c>
      <c r="C15" s="1"/>
      <c r="D15" s="58">
        <v>5</v>
      </c>
      <c r="E15" s="9">
        <f>N14</f>
        <v>221130</v>
      </c>
      <c r="F15" s="9"/>
      <c r="G15" s="9"/>
      <c r="H15" s="9"/>
      <c r="I15" s="9"/>
      <c r="J15" s="9"/>
      <c r="K15" s="9"/>
      <c r="L15" s="9"/>
      <c r="M15" s="9"/>
      <c r="N15" s="9"/>
      <c r="O15" s="9"/>
      <c r="P15" s="39">
        <f>E15</f>
        <v>221130</v>
      </c>
      <c r="Q15" s="20"/>
      <c r="R15" s="9">
        <v>221130</v>
      </c>
      <c r="S15" s="24" t="s">
        <v>25</v>
      </c>
      <c r="T15" s="19"/>
    </row>
    <row r="16" spans="1:76" ht="24.9" customHeight="1" x14ac:dyDescent="0.3">
      <c r="A16" s="19">
        <v>56837</v>
      </c>
      <c r="B16" s="23" t="s">
        <v>9</v>
      </c>
      <c r="C16" s="1"/>
      <c r="D16" s="58">
        <v>5</v>
      </c>
      <c r="E16" s="9">
        <f>M14</f>
        <v>1705.11</v>
      </c>
      <c r="F16" s="9"/>
      <c r="G16" s="9"/>
      <c r="H16" s="9"/>
      <c r="I16" s="9"/>
      <c r="J16" s="9"/>
      <c r="K16" s="9"/>
      <c r="L16" s="9"/>
      <c r="M16" s="9"/>
      <c r="N16" s="9"/>
      <c r="O16" s="9"/>
      <c r="P16" s="39">
        <f>E16</f>
        <v>1705.11</v>
      </c>
      <c r="Q16" s="20"/>
      <c r="R16" s="9">
        <v>121621</v>
      </c>
      <c r="S16" s="24" t="s">
        <v>26</v>
      </c>
      <c r="T16" s="19"/>
    </row>
    <row r="17" spans="1:76" ht="24.9" customHeight="1" x14ac:dyDescent="0.3">
      <c r="A17" s="19">
        <v>56837</v>
      </c>
      <c r="B17" s="23"/>
      <c r="C17" s="1"/>
      <c r="D17" s="58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20"/>
      <c r="R17" s="9">
        <v>122850</v>
      </c>
      <c r="S17" s="24" t="s">
        <v>33</v>
      </c>
      <c r="T17" s="19"/>
    </row>
    <row r="18" spans="1:76" ht="24.9" customHeight="1" x14ac:dyDescent="0.3">
      <c r="A18" s="19">
        <v>56837</v>
      </c>
      <c r="B18" s="23"/>
      <c r="C18" s="1"/>
      <c r="D18" s="58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20"/>
      <c r="R18" s="9"/>
      <c r="S18" s="24"/>
      <c r="T18" s="19"/>
    </row>
    <row r="19" spans="1:76" ht="24.9" customHeight="1" x14ac:dyDescent="0.3">
      <c r="A19" s="19">
        <v>56837</v>
      </c>
      <c r="B19" s="23"/>
      <c r="C19" s="1"/>
      <c r="D19" s="58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20"/>
      <c r="R19" s="9"/>
      <c r="S19" s="24"/>
      <c r="T19" s="19"/>
    </row>
    <row r="20" spans="1:76" s="15" customFormat="1" ht="24.9" customHeight="1" x14ac:dyDescent="0.3">
      <c r="A20" s="33"/>
      <c r="B20" s="14"/>
      <c r="C20" s="14"/>
      <c r="D20" s="59"/>
      <c r="E20" s="14"/>
      <c r="F20" s="14"/>
      <c r="G20" s="14"/>
      <c r="H20" s="34"/>
      <c r="I20" s="14"/>
      <c r="J20" s="34"/>
      <c r="K20" s="34"/>
      <c r="L20" s="34"/>
      <c r="M20" s="34"/>
      <c r="N20" s="34"/>
      <c r="O20" s="34"/>
      <c r="P20" s="14"/>
      <c r="Q20" s="35">
        <f>A21</f>
        <v>57877</v>
      </c>
      <c r="R20" s="14"/>
      <c r="S20" s="14"/>
      <c r="T20" s="27">
        <f>SUM(P8:P19)-SUM(R8:R19)</f>
        <v>-185219.87839999981</v>
      </c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</row>
    <row r="21" spans="1:76" ht="24.9" customHeight="1" x14ac:dyDescent="0.3">
      <c r="A21" s="19">
        <v>57877</v>
      </c>
      <c r="B21" s="23" t="s">
        <v>67</v>
      </c>
      <c r="C21" s="1">
        <v>45122</v>
      </c>
      <c r="D21" s="58">
        <v>2</v>
      </c>
      <c r="E21" s="9">
        <v>1175000</v>
      </c>
      <c r="F21" s="9">
        <f>449337.36+12320+12430</f>
        <v>474087.36</v>
      </c>
      <c r="G21" s="9">
        <f>E21-F21</f>
        <v>700912.64000000001</v>
      </c>
      <c r="H21" s="9">
        <f>G21*H6</f>
        <v>126164.2752</v>
      </c>
      <c r="I21" s="9">
        <f>G21+H21</f>
        <v>827076.91520000005</v>
      </c>
      <c r="J21" s="9">
        <f>G21*J6</f>
        <v>7009.1264000000001</v>
      </c>
      <c r="K21" s="9">
        <f>G21*K6</f>
        <v>35045.632000000005</v>
      </c>
      <c r="L21" s="9"/>
      <c r="M21" s="39">
        <f>G21*M6</f>
        <v>70091.26400000001</v>
      </c>
      <c r="N21" s="39">
        <f>H21</f>
        <v>126164.2752</v>
      </c>
      <c r="O21" s="9"/>
      <c r="P21" s="9">
        <f>I21-SUM(J21:N21)</f>
        <v>588766.6176</v>
      </c>
      <c r="Q21" s="20"/>
      <c r="R21" s="9">
        <v>594000</v>
      </c>
      <c r="S21" s="24" t="s">
        <v>5</v>
      </c>
      <c r="T21" s="19"/>
    </row>
    <row r="22" spans="1:76" ht="24.9" customHeight="1" x14ac:dyDescent="0.3">
      <c r="A22" s="19">
        <v>57877</v>
      </c>
      <c r="B22" s="9" t="s">
        <v>8</v>
      </c>
      <c r="C22" s="1">
        <v>45150</v>
      </c>
      <c r="D22" s="58">
        <v>2</v>
      </c>
      <c r="E22" s="9">
        <f>N21</f>
        <v>126164.2752</v>
      </c>
      <c r="F22" s="9"/>
      <c r="G22" s="9"/>
      <c r="H22" s="9"/>
      <c r="I22" s="9"/>
      <c r="J22" s="9"/>
      <c r="K22" s="9"/>
      <c r="L22" s="9"/>
      <c r="M22" s="9"/>
      <c r="N22" s="9"/>
      <c r="O22" s="9"/>
      <c r="P22" s="39">
        <f>E22</f>
        <v>126164.2752</v>
      </c>
      <c r="Q22" s="20"/>
      <c r="R22" s="9">
        <v>64858</v>
      </c>
      <c r="S22" s="24" t="s">
        <v>11</v>
      </c>
      <c r="T22" s="19"/>
    </row>
    <row r="23" spans="1:76" ht="24.9" customHeight="1" x14ac:dyDescent="0.3">
      <c r="A23" s="19">
        <v>57877</v>
      </c>
      <c r="B23" s="9" t="s">
        <v>14</v>
      </c>
      <c r="C23" s="1"/>
      <c r="D23" s="58">
        <v>2</v>
      </c>
      <c r="E23" s="9">
        <f>M21</f>
        <v>70091.26400000001</v>
      </c>
      <c r="F23" s="9"/>
      <c r="G23" s="9"/>
      <c r="H23" s="9"/>
      <c r="I23" s="9"/>
      <c r="J23" s="9"/>
      <c r="K23" s="9"/>
      <c r="L23" s="9"/>
      <c r="M23" s="9"/>
      <c r="N23" s="9"/>
      <c r="O23" s="9"/>
      <c r="P23" s="39">
        <f>E23</f>
        <v>70091.26400000001</v>
      </c>
      <c r="Q23" s="20"/>
      <c r="R23" s="9">
        <v>126164</v>
      </c>
      <c r="S23" s="24" t="s">
        <v>12</v>
      </c>
      <c r="T23" s="19"/>
    </row>
    <row r="24" spans="1:76" ht="24.9" customHeight="1" x14ac:dyDescent="0.3">
      <c r="A24" s="19">
        <v>57877</v>
      </c>
      <c r="B24" s="23" t="s">
        <v>68</v>
      </c>
      <c r="C24" s="1">
        <v>45364</v>
      </c>
      <c r="D24" s="58">
        <v>4</v>
      </c>
      <c r="E24" s="9">
        <f>1190000+15000</f>
        <v>1205000</v>
      </c>
      <c r="F24" s="9">
        <v>771282</v>
      </c>
      <c r="G24" s="9">
        <f>E24-F24</f>
        <v>433718</v>
      </c>
      <c r="H24" s="9">
        <f>G24*H6</f>
        <v>78069.239999999991</v>
      </c>
      <c r="I24" s="9">
        <f>G24+H24</f>
        <v>511787.24</v>
      </c>
      <c r="J24" s="9">
        <f>G24*J6</f>
        <v>4337.18</v>
      </c>
      <c r="K24" s="9">
        <f>G24*K6</f>
        <v>21685.9</v>
      </c>
      <c r="L24" s="9"/>
      <c r="M24" s="9">
        <v>0</v>
      </c>
      <c r="N24" s="39">
        <f>H24</f>
        <v>78069.239999999991</v>
      </c>
      <c r="O24" s="9"/>
      <c r="P24" s="9">
        <f>I24-SUM(J24:N24)</f>
        <v>407694.92</v>
      </c>
      <c r="Q24" s="20"/>
      <c r="R24" s="9">
        <v>198000</v>
      </c>
      <c r="S24" s="24" t="s">
        <v>13</v>
      </c>
      <c r="T24" s="19"/>
    </row>
    <row r="25" spans="1:76" ht="24.9" customHeight="1" x14ac:dyDescent="0.3">
      <c r="A25" s="19">
        <v>57877</v>
      </c>
      <c r="B25" s="23" t="s">
        <v>8</v>
      </c>
      <c r="C25" s="1"/>
      <c r="D25" s="58">
        <v>4</v>
      </c>
      <c r="E25" s="9">
        <f>N24</f>
        <v>78069.239999999991</v>
      </c>
      <c r="F25" s="9"/>
      <c r="G25" s="9"/>
      <c r="H25" s="9"/>
      <c r="I25" s="9"/>
      <c r="J25" s="9"/>
      <c r="K25" s="9"/>
      <c r="L25" s="9"/>
      <c r="M25" s="9"/>
      <c r="N25" s="9"/>
      <c r="O25" s="9"/>
      <c r="P25" s="39">
        <f>E25</f>
        <v>78069.239999999991</v>
      </c>
      <c r="Q25" s="20"/>
      <c r="R25" s="9">
        <v>146097</v>
      </c>
      <c r="S25" s="24" t="s">
        <v>10</v>
      </c>
      <c r="T25" s="19"/>
    </row>
    <row r="26" spans="1:76" ht="24.9" customHeight="1" x14ac:dyDescent="0.3">
      <c r="A26" s="19">
        <v>57877</v>
      </c>
      <c r="B26" s="23" t="s">
        <v>68</v>
      </c>
      <c r="C26" s="1">
        <v>45547</v>
      </c>
      <c r="D26" s="58">
        <v>1</v>
      </c>
      <c r="E26" s="9">
        <v>1190000</v>
      </c>
      <c r="F26" s="9">
        <v>615092</v>
      </c>
      <c r="G26" s="9">
        <f>E26-F26</f>
        <v>574908</v>
      </c>
      <c r="H26" s="9">
        <f>G26*$H$6</f>
        <v>103483.44</v>
      </c>
      <c r="I26" s="9">
        <f>G26+H26</f>
        <v>678391.44</v>
      </c>
      <c r="J26" s="9">
        <f>G26*$J$6</f>
        <v>5749.08</v>
      </c>
      <c r="K26" s="9">
        <f>G26*$K$6</f>
        <v>28745.4</v>
      </c>
      <c r="L26" s="9"/>
      <c r="M26" s="9">
        <v>0</v>
      </c>
      <c r="N26" s="39">
        <f>H26</f>
        <v>103483.44</v>
      </c>
      <c r="O26" s="9"/>
      <c r="P26" s="9">
        <f>I26-SUM(J26:N26)</f>
        <v>540413.5199999999</v>
      </c>
      <c r="Q26" s="20"/>
      <c r="R26" s="9">
        <v>142494</v>
      </c>
      <c r="S26" s="24" t="s">
        <v>22</v>
      </c>
      <c r="T26" s="19"/>
    </row>
    <row r="27" spans="1:76" ht="24.9" customHeight="1" x14ac:dyDescent="0.3">
      <c r="A27" s="19">
        <v>57877</v>
      </c>
      <c r="B27" s="23" t="s">
        <v>68</v>
      </c>
      <c r="C27" s="1">
        <v>45570</v>
      </c>
      <c r="D27" s="58">
        <v>2</v>
      </c>
      <c r="E27" s="9">
        <v>595000</v>
      </c>
      <c r="F27" s="9">
        <v>104655.92</v>
      </c>
      <c r="G27" s="9">
        <f>E27-F27</f>
        <v>490344.08</v>
      </c>
      <c r="H27" s="9">
        <f>G27*$H$6</f>
        <v>88261.934399999998</v>
      </c>
      <c r="I27" s="9">
        <f>G27+H27</f>
        <v>578606.01439999999</v>
      </c>
      <c r="J27" s="9">
        <f>G27*$J$6</f>
        <v>4903.4408000000003</v>
      </c>
      <c r="K27" s="9">
        <f>G27*$K$6</f>
        <v>24517.204000000002</v>
      </c>
      <c r="L27" s="9"/>
      <c r="M27" s="9"/>
      <c r="N27" s="39">
        <f>H27</f>
        <v>88261.934399999998</v>
      </c>
      <c r="O27" s="9"/>
      <c r="P27" s="9">
        <f>I27-SUM(J27:N27)</f>
        <v>460923.43519999995</v>
      </c>
      <c r="Q27" s="20"/>
      <c r="R27" s="9">
        <v>200000</v>
      </c>
      <c r="S27" s="24" t="s">
        <v>32</v>
      </c>
      <c r="T27" s="19"/>
    </row>
    <row r="28" spans="1:76" ht="24.9" customHeight="1" x14ac:dyDescent="0.3">
      <c r="A28" s="19">
        <v>57877</v>
      </c>
      <c r="B28" s="23" t="s">
        <v>8</v>
      </c>
      <c r="C28" s="1"/>
      <c r="D28" s="58">
        <v>1</v>
      </c>
      <c r="E28" s="9">
        <f>N26</f>
        <v>103483.44</v>
      </c>
      <c r="F28" s="9"/>
      <c r="G28" s="9"/>
      <c r="H28" s="9"/>
      <c r="I28" s="9"/>
      <c r="J28" s="9"/>
      <c r="K28" s="9"/>
      <c r="L28" s="9"/>
      <c r="M28" s="9"/>
      <c r="N28" s="9"/>
      <c r="O28" s="9"/>
      <c r="P28" s="39">
        <f>E28</f>
        <v>103483.44</v>
      </c>
      <c r="Q28" s="20"/>
      <c r="R28" s="9">
        <v>16798</v>
      </c>
      <c r="S28" s="24" t="s">
        <v>34</v>
      </c>
      <c r="T28" s="19"/>
    </row>
    <row r="29" spans="1:76" ht="24.9" customHeight="1" x14ac:dyDescent="0.3">
      <c r="A29" s="19">
        <v>57877</v>
      </c>
      <c r="B29" s="23" t="s">
        <v>68</v>
      </c>
      <c r="C29" s="1">
        <v>45615</v>
      </c>
      <c r="D29" s="58">
        <v>3</v>
      </c>
      <c r="E29" s="9">
        <v>297500</v>
      </c>
      <c r="F29" s="9">
        <v>0</v>
      </c>
      <c r="G29" s="9">
        <f>E29-F29</f>
        <v>297500</v>
      </c>
      <c r="H29" s="9">
        <f>G29*$H$6</f>
        <v>53550</v>
      </c>
      <c r="I29" s="9">
        <f>G29+H29</f>
        <v>351050</v>
      </c>
      <c r="J29" s="9">
        <f>G29*$J$6</f>
        <v>2975</v>
      </c>
      <c r="K29" s="9">
        <f>G29*$K$6</f>
        <v>14875</v>
      </c>
      <c r="L29" s="9"/>
      <c r="M29" s="9"/>
      <c r="N29" s="39">
        <f>H29</f>
        <v>53550</v>
      </c>
      <c r="O29" s="9"/>
      <c r="P29" s="9">
        <f>I29-SUM(J29:N29)</f>
        <v>279650</v>
      </c>
      <c r="Q29" s="20"/>
      <c r="R29" s="9">
        <v>460924</v>
      </c>
      <c r="S29" s="24" t="s">
        <v>35</v>
      </c>
      <c r="T29" s="19"/>
    </row>
    <row r="30" spans="1:76" ht="24.9" customHeight="1" x14ac:dyDescent="0.3">
      <c r="A30" s="19">
        <v>57877</v>
      </c>
      <c r="B30" s="23" t="s">
        <v>8</v>
      </c>
      <c r="C30" s="1"/>
      <c r="D30" s="58">
        <v>2</v>
      </c>
      <c r="E30" s="9">
        <f>N27</f>
        <v>88261.934399999998</v>
      </c>
      <c r="F30" s="9"/>
      <c r="G30" s="9"/>
      <c r="H30" s="9"/>
      <c r="I30" s="9"/>
      <c r="J30" s="9"/>
      <c r="K30" s="9"/>
      <c r="L30" s="9"/>
      <c r="M30" s="9"/>
      <c r="N30" s="9"/>
      <c r="O30" s="9"/>
      <c r="P30" s="39">
        <f>E30</f>
        <v>88261.934399999998</v>
      </c>
      <c r="Q30" s="20"/>
      <c r="R30" s="9">
        <v>103483</v>
      </c>
      <c r="S30" s="24" t="s">
        <v>36</v>
      </c>
      <c r="T30" s="19"/>
    </row>
    <row r="31" spans="1:76" ht="24.9" customHeight="1" x14ac:dyDescent="0.3">
      <c r="A31" s="19">
        <v>57877</v>
      </c>
      <c r="B31" s="23" t="s">
        <v>8</v>
      </c>
      <c r="C31" s="1"/>
      <c r="D31" s="58">
        <v>3</v>
      </c>
      <c r="E31" s="9">
        <f>N29</f>
        <v>53550</v>
      </c>
      <c r="F31" s="9"/>
      <c r="G31" s="9"/>
      <c r="H31" s="9"/>
      <c r="I31" s="9"/>
      <c r="J31" s="9"/>
      <c r="K31" s="9"/>
      <c r="L31" s="9"/>
      <c r="M31" s="9"/>
      <c r="N31" s="9"/>
      <c r="O31" s="9"/>
      <c r="P31" s="39">
        <f>E31</f>
        <v>53550</v>
      </c>
      <c r="Q31" s="20"/>
      <c r="R31" s="9">
        <v>279650</v>
      </c>
      <c r="S31" s="24" t="s">
        <v>37</v>
      </c>
      <c r="T31" s="19"/>
    </row>
    <row r="32" spans="1:76" ht="24.9" customHeight="1" x14ac:dyDescent="0.3">
      <c r="A32" s="19">
        <v>57877</v>
      </c>
      <c r="B32" s="23" t="s">
        <v>68</v>
      </c>
      <c r="C32" s="1">
        <v>45689</v>
      </c>
      <c r="D32" s="58">
        <v>4</v>
      </c>
      <c r="E32" s="9">
        <v>952000</v>
      </c>
      <c r="F32" s="9">
        <v>234845</v>
      </c>
      <c r="G32" s="9">
        <f>E32-F32</f>
        <v>717155</v>
      </c>
      <c r="H32" s="9">
        <f>G32*$H$6</f>
        <v>129087.9</v>
      </c>
      <c r="I32" s="9">
        <f>G32+H32</f>
        <v>846242.9</v>
      </c>
      <c r="J32" s="9">
        <f>G32*$J$6</f>
        <v>7171.55</v>
      </c>
      <c r="K32" s="9">
        <f>G32*$K$6</f>
        <v>35857.75</v>
      </c>
      <c r="L32" s="9"/>
      <c r="M32" s="9"/>
      <c r="N32" s="9">
        <f>H32</f>
        <v>129087.9</v>
      </c>
      <c r="O32" s="9">
        <v>20000</v>
      </c>
      <c r="P32" s="9">
        <f>I32-SUM(J32:O32)</f>
        <v>654125.69999999995</v>
      </c>
      <c r="Q32" s="20"/>
      <c r="R32" s="9">
        <v>88262</v>
      </c>
      <c r="S32" s="24" t="s">
        <v>38</v>
      </c>
      <c r="T32" s="19"/>
    </row>
    <row r="33" spans="1:76" ht="24.9" customHeight="1" x14ac:dyDescent="0.3">
      <c r="A33" s="19">
        <v>57877</v>
      </c>
      <c r="B33" s="23" t="s">
        <v>8</v>
      </c>
      <c r="C33" s="1"/>
      <c r="D33" s="58">
        <v>4</v>
      </c>
      <c r="E33" s="9">
        <f>N32</f>
        <v>129087.9</v>
      </c>
      <c r="F33" s="9"/>
      <c r="G33" s="9"/>
      <c r="H33" s="9"/>
      <c r="I33" s="9"/>
      <c r="J33" s="9"/>
      <c r="K33" s="9"/>
      <c r="L33" s="9"/>
      <c r="M33" s="9"/>
      <c r="N33" s="9"/>
      <c r="O33" s="9"/>
      <c r="P33" s="39">
        <f>E33</f>
        <v>129087.9</v>
      </c>
      <c r="Q33" s="20"/>
      <c r="R33" s="9">
        <v>53550</v>
      </c>
      <c r="S33" s="24" t="s">
        <v>39</v>
      </c>
      <c r="T33" s="19"/>
    </row>
    <row r="34" spans="1:76" ht="24.9" customHeight="1" x14ac:dyDescent="0.3">
      <c r="A34" s="19">
        <v>57877</v>
      </c>
      <c r="B34" s="23" t="s">
        <v>68</v>
      </c>
      <c r="C34" s="1">
        <v>45784</v>
      </c>
      <c r="D34" s="58">
        <v>1</v>
      </c>
      <c r="E34" s="9">
        <v>535500</v>
      </c>
      <c r="F34" s="9">
        <v>113473</v>
      </c>
      <c r="G34" s="9">
        <f>E34-F34</f>
        <v>422027</v>
      </c>
      <c r="H34" s="9">
        <f>G34*$H$6</f>
        <v>75964.86</v>
      </c>
      <c r="I34" s="9">
        <f>G34+H34</f>
        <v>497991.86</v>
      </c>
      <c r="J34" s="9">
        <f>G34*$J$6</f>
        <v>4220.2700000000004</v>
      </c>
      <c r="K34" s="9">
        <f>G34*$K$6</f>
        <v>21101.350000000002</v>
      </c>
      <c r="L34" s="9"/>
      <c r="M34" s="9"/>
      <c r="N34" s="9">
        <f>H34</f>
        <v>75964.86</v>
      </c>
      <c r="O34" s="9">
        <v>0</v>
      </c>
      <c r="P34" s="9">
        <f>I34-SUM(J34:O34)</f>
        <v>396705.38</v>
      </c>
      <c r="Q34" s="20"/>
      <c r="R34" s="9">
        <v>490000</v>
      </c>
      <c r="S34" s="24" t="s">
        <v>40</v>
      </c>
      <c r="T34" s="19"/>
    </row>
    <row r="35" spans="1:76" ht="24.9" customHeight="1" x14ac:dyDescent="0.3">
      <c r="A35" s="19">
        <v>57877</v>
      </c>
      <c r="B35" s="23"/>
      <c r="C35" s="1"/>
      <c r="D35" s="58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20"/>
      <c r="R35" s="9">
        <v>166717</v>
      </c>
      <c r="S35" s="24" t="s">
        <v>42</v>
      </c>
      <c r="T35" s="19"/>
    </row>
    <row r="36" spans="1:76" ht="24.9" customHeight="1" x14ac:dyDescent="0.3">
      <c r="A36" s="19">
        <v>57877</v>
      </c>
      <c r="B36" s="23"/>
      <c r="C36" s="1"/>
      <c r="D36" s="58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20"/>
      <c r="R36" s="9">
        <v>129088</v>
      </c>
      <c r="S36" s="24" t="s">
        <v>44</v>
      </c>
      <c r="T36" s="19"/>
    </row>
    <row r="37" spans="1:76" ht="24.9" customHeight="1" x14ac:dyDescent="0.3">
      <c r="A37" s="19">
        <v>57877</v>
      </c>
      <c r="B37" s="23"/>
      <c r="C37" s="1"/>
      <c r="D37" s="58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20"/>
      <c r="R37" s="9">
        <v>396706</v>
      </c>
      <c r="S37" s="24" t="s">
        <v>46</v>
      </c>
      <c r="T37" s="19"/>
    </row>
    <row r="38" spans="1:76" s="15" customFormat="1" ht="24.9" customHeight="1" x14ac:dyDescent="0.3">
      <c r="A38" s="21"/>
      <c r="B38" s="16"/>
      <c r="C38" s="16"/>
      <c r="D38" s="60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22">
        <f>A39</f>
        <v>65366</v>
      </c>
      <c r="R38" s="16"/>
      <c r="S38" s="21"/>
      <c r="T38" s="27">
        <f>SUM(P21:P37)-SUM(R21:R37)</f>
        <v>320196.62639999995</v>
      </c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</row>
    <row r="39" spans="1:76" ht="24.9" customHeight="1" x14ac:dyDescent="0.3">
      <c r="A39" s="41">
        <v>65366</v>
      </c>
      <c r="B39" s="9" t="s">
        <v>30</v>
      </c>
      <c r="C39" s="9"/>
      <c r="D39" s="41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>
        <v>134978</v>
      </c>
      <c r="S39" s="9" t="s">
        <v>31</v>
      </c>
      <c r="T39" s="19"/>
    </row>
    <row r="40" spans="1:76" ht="24.9" customHeight="1" x14ac:dyDescent="0.3">
      <c r="A40" s="10"/>
      <c r="B40" s="10"/>
      <c r="C40" s="10"/>
      <c r="D40" s="61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30"/>
    </row>
    <row r="41" spans="1:76" s="15" customFormat="1" ht="24.9" customHeight="1" x14ac:dyDescent="0.3">
      <c r="A41" s="21"/>
      <c r="B41" s="16"/>
      <c r="C41" s="16"/>
      <c r="D41" s="60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22">
        <f>A42</f>
        <v>68413</v>
      </c>
      <c r="R41" s="16"/>
      <c r="S41" s="21"/>
      <c r="T41" s="27">
        <f>SUM(P39:P40)-SUM(R39:R40)</f>
        <v>-134978</v>
      </c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</row>
    <row r="42" spans="1:76" ht="24.9" customHeight="1" x14ac:dyDescent="0.3">
      <c r="A42" s="41">
        <v>68413</v>
      </c>
      <c r="B42" s="45" t="s">
        <v>69</v>
      </c>
      <c r="C42" s="1">
        <v>45996</v>
      </c>
      <c r="D42" s="61">
        <v>5</v>
      </c>
      <c r="E42" s="10">
        <v>826000</v>
      </c>
      <c r="F42" s="10"/>
      <c r="G42" s="10">
        <f>E42-F42</f>
        <v>826000</v>
      </c>
      <c r="H42" s="10">
        <f>G42*$H$6</f>
        <v>148680</v>
      </c>
      <c r="I42" s="10">
        <f>G42+H42</f>
        <v>974680</v>
      </c>
      <c r="J42" s="10">
        <f>G42*$J$6</f>
        <v>8260</v>
      </c>
      <c r="K42" s="10">
        <f>G42*$K$6</f>
        <v>41300</v>
      </c>
      <c r="L42" s="10"/>
      <c r="M42" s="10"/>
      <c r="N42" s="10">
        <f>H42</f>
        <v>148680</v>
      </c>
      <c r="O42" s="10"/>
      <c r="P42" s="10">
        <f>I42-SUM(J42:O42)</f>
        <v>776440</v>
      </c>
      <c r="Q42" s="10"/>
      <c r="R42" s="10">
        <v>776440</v>
      </c>
      <c r="S42" s="9" t="s">
        <v>43</v>
      </c>
      <c r="T42" s="30"/>
    </row>
    <row r="43" spans="1:76" ht="24.9" customHeight="1" x14ac:dyDescent="0.3">
      <c r="A43" s="41">
        <v>68413</v>
      </c>
      <c r="B43" s="23" t="s">
        <v>8</v>
      </c>
      <c r="C43" s="1"/>
      <c r="D43" s="58">
        <v>5</v>
      </c>
      <c r="E43" s="9">
        <f>N42</f>
        <v>148680</v>
      </c>
      <c r="F43" s="9"/>
      <c r="G43" s="9"/>
      <c r="H43" s="9"/>
      <c r="I43" s="9"/>
      <c r="J43" s="9"/>
      <c r="K43" s="9"/>
      <c r="L43" s="9"/>
      <c r="M43" s="9"/>
      <c r="N43" s="9"/>
      <c r="O43" s="9"/>
      <c r="P43" s="39">
        <f>E43</f>
        <v>148680</v>
      </c>
      <c r="Q43" s="10"/>
      <c r="R43" s="10">
        <v>148680</v>
      </c>
      <c r="S43" s="10" t="s">
        <v>45</v>
      </c>
      <c r="T43" s="30"/>
    </row>
    <row r="44" spans="1:76" ht="24.9" customHeight="1" x14ac:dyDescent="0.3">
      <c r="A44" s="10"/>
      <c r="B44" s="10"/>
      <c r="C44" s="10"/>
      <c r="D44" s="61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30"/>
    </row>
    <row r="45" spans="1:76" ht="24.9" customHeight="1" thickBot="1" x14ac:dyDescent="0.35">
      <c r="A45" s="10"/>
      <c r="B45" s="10"/>
      <c r="C45" s="10"/>
      <c r="D45" s="61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27">
        <f>SUM(P42:P45)-SUM(R42:R45)</f>
        <v>0</v>
      </c>
    </row>
    <row r="46" spans="1:76" ht="24.9" customHeight="1" x14ac:dyDescent="0.3">
      <c r="A46" s="31"/>
      <c r="B46" s="31"/>
      <c r="C46" s="31"/>
      <c r="D46" s="62"/>
      <c r="E46" s="31"/>
      <c r="F46" s="31"/>
      <c r="G46" s="31"/>
      <c r="H46" s="31"/>
      <c r="I46" s="32"/>
      <c r="J46" s="32"/>
      <c r="K46" s="32">
        <f>SUM(K8:K45)</f>
        <v>365934.67</v>
      </c>
      <c r="L46" s="32">
        <f t="shared" ref="L46:N46" si="0">SUM(L8:L45)</f>
        <v>0</v>
      </c>
      <c r="M46" s="32">
        <f t="shared" si="0"/>
        <v>234559.24200000003</v>
      </c>
      <c r="N46" s="32">
        <f t="shared" si="0"/>
        <v>1317364.8120000002</v>
      </c>
      <c r="O46" s="32">
        <f>SUM(O8:O45)-O10</f>
        <v>20000</v>
      </c>
      <c r="P46" s="32">
        <f>SUM(P8:P45)</f>
        <v>8100971.7480000006</v>
      </c>
      <c r="Q46" s="32"/>
      <c r="R46" s="32">
        <f>SUM(R8:R45)</f>
        <v>8100973</v>
      </c>
      <c r="S46" s="32" t="s">
        <v>3</v>
      </c>
      <c r="T46" s="32">
        <f>SUM(T6:T45)</f>
        <v>-1.2519999998621643</v>
      </c>
    </row>
    <row r="47" spans="1:76" ht="24.9" customHeight="1" x14ac:dyDescent="0.3">
      <c r="A47" s="9"/>
      <c r="B47" s="9"/>
      <c r="C47" s="9"/>
      <c r="D47" s="41"/>
      <c r="E47" s="9"/>
      <c r="F47" s="9"/>
      <c r="G47" s="9"/>
      <c r="H47" s="9"/>
      <c r="I47" s="9"/>
      <c r="J47" s="9"/>
      <c r="K47" s="9"/>
      <c r="L47" s="9"/>
      <c r="M47" s="9" t="s">
        <v>24</v>
      </c>
      <c r="N47" s="9"/>
      <c r="O47" s="9" t="s">
        <v>24</v>
      </c>
      <c r="P47" s="9"/>
      <c r="Q47" s="9"/>
      <c r="R47" s="9"/>
      <c r="S47" s="9"/>
      <c r="T47" s="19"/>
    </row>
    <row r="48" spans="1:76" ht="24.9" customHeight="1" thickBot="1" x14ac:dyDescent="0.35">
      <c r="A48" s="11"/>
      <c r="B48" s="11"/>
      <c r="C48" s="11"/>
      <c r="D48" s="56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28">
        <f>P46-R46</f>
        <v>-1.251999999396503</v>
      </c>
      <c r="S48" s="28" t="s">
        <v>2</v>
      </c>
      <c r="T48" s="29"/>
    </row>
    <row r="51" spans="12:17" ht="24.9" customHeight="1" thickBot="1" x14ac:dyDescent="0.35"/>
    <row r="52" spans="12:17" ht="24.9" customHeight="1" thickBot="1" x14ac:dyDescent="0.35">
      <c r="L52" s="71" t="s">
        <v>29</v>
      </c>
      <c r="M52" s="72"/>
      <c r="N52" s="72"/>
      <c r="O52" s="73"/>
    </row>
    <row r="53" spans="12:17" ht="24.9" customHeight="1" thickBot="1" x14ac:dyDescent="0.35">
      <c r="L53" s="74">
        <v>45794</v>
      </c>
      <c r="M53" s="75"/>
      <c r="N53" s="76"/>
      <c r="O53" s="77"/>
    </row>
    <row r="54" spans="12:17" ht="24.9" customHeight="1" x14ac:dyDescent="0.3">
      <c r="L54" s="78" t="s">
        <v>28</v>
      </c>
      <c r="M54" s="79"/>
      <c r="N54" s="80">
        <f>K46+L46</f>
        <v>365934.67</v>
      </c>
      <c r="O54" s="81"/>
      <c r="Q54" s="40"/>
    </row>
    <row r="55" spans="12:17" ht="24.9" customHeight="1" x14ac:dyDescent="0.3">
      <c r="L55" s="63" t="s">
        <v>21</v>
      </c>
      <c r="M55" s="64"/>
      <c r="N55" s="65">
        <f>R48</f>
        <v>-1.251999999396503</v>
      </c>
      <c r="O55" s="66"/>
    </row>
    <row r="56" spans="12:17" ht="24.9" customHeight="1" x14ac:dyDescent="0.3">
      <c r="L56" s="63" t="s">
        <v>27</v>
      </c>
      <c r="M56" s="64"/>
      <c r="N56" s="65">
        <v>20000</v>
      </c>
      <c r="O56" s="66"/>
    </row>
    <row r="57" spans="12:17" ht="24.9" customHeight="1" thickBot="1" x14ac:dyDescent="0.35">
      <c r="L57" s="67" t="s">
        <v>17</v>
      </c>
      <c r="M57" s="68"/>
      <c r="N57" s="69">
        <f>N46-P43-P33-P31-P30-P28-P25-P22-P15-P12-P9</f>
        <v>75964.860000000161</v>
      </c>
      <c r="O57" s="70"/>
    </row>
  </sheetData>
  <mergeCells count="10">
    <mergeCell ref="L56:M56"/>
    <mergeCell ref="N56:O56"/>
    <mergeCell ref="L57:M57"/>
    <mergeCell ref="N57:O57"/>
    <mergeCell ref="L52:O52"/>
    <mergeCell ref="L53:O53"/>
    <mergeCell ref="L54:M54"/>
    <mergeCell ref="N54:O54"/>
    <mergeCell ref="L55:M55"/>
    <mergeCell ref="N55:O55"/>
  </mergeCells>
  <pageMargins left="0.70866141732283472" right="0.70866141732283472" top="0.74803149606299213" bottom="0.74803149606299213" header="0.31496062992125984" footer="0.31496062992125984"/>
  <pageSetup scale="13" orientation="landscape" r:id="rId1"/>
  <ignoredErrors>
    <ignoredError sqref="R46 P46 P8:P9 P11:P13 P15:P32 P38:P42 P35" emptyCellReference="1"/>
    <ignoredError sqref="P10 P14" formula="1" emptyCellReferenc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LG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 GRAM 17</dc:creator>
  <cp:lastModifiedBy>Laxmi Civil</cp:lastModifiedBy>
  <cp:lastPrinted>2024-10-07T09:42:57Z</cp:lastPrinted>
  <dcterms:created xsi:type="dcterms:W3CDTF">2022-06-10T14:11:52Z</dcterms:created>
  <dcterms:modified xsi:type="dcterms:W3CDTF">2025-05-30T08:59:32Z</dcterms:modified>
</cp:coreProperties>
</file>