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8_{E35FDFDB-F398-45E1-A152-41598C3F9574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42" i="1"/>
  <c r="E15" i="1"/>
  <c r="Q95" i="1" l="1"/>
  <c r="Q102" i="1"/>
  <c r="R103" i="1"/>
  <c r="S103" i="1"/>
  <c r="G103" i="1"/>
  <c r="J103" i="1" s="1"/>
  <c r="K103" i="1" l="1"/>
  <c r="H103" i="1"/>
  <c r="N103" i="1" s="1"/>
  <c r="P104" i="1" s="1"/>
  <c r="O92" i="1"/>
  <c r="G92" i="1"/>
  <c r="K92" i="1" s="1"/>
  <c r="I103" i="1" l="1"/>
  <c r="P103" i="1" s="1"/>
  <c r="X103" i="1" s="1"/>
  <c r="H92" i="1"/>
  <c r="N92" i="1" s="1"/>
  <c r="J92" i="1"/>
  <c r="I92" i="1" l="1"/>
  <c r="P92" i="1"/>
  <c r="G90" i="1"/>
  <c r="U84" i="1"/>
  <c r="U82" i="1"/>
  <c r="U83" i="1"/>
  <c r="U81" i="1"/>
  <c r="S78" i="1"/>
  <c r="J90" i="1" l="1"/>
  <c r="K90" i="1"/>
  <c r="H90" i="1"/>
  <c r="N90" i="1" s="1"/>
  <c r="G83" i="1"/>
  <c r="G82" i="1"/>
  <c r="H82" i="1" s="1"/>
  <c r="G30" i="1"/>
  <c r="K30" i="1" s="1"/>
  <c r="G89" i="1"/>
  <c r="H89" i="1" s="1"/>
  <c r="G81" i="1"/>
  <c r="K81" i="1" s="1"/>
  <c r="I90" i="1" l="1"/>
  <c r="P90" i="1" s="1"/>
  <c r="N82" i="1"/>
  <c r="I82" i="1"/>
  <c r="K83" i="1"/>
  <c r="K82" i="1"/>
  <c r="H83" i="1"/>
  <c r="N83" i="1" s="1"/>
  <c r="J83" i="1"/>
  <c r="J82" i="1"/>
  <c r="J89" i="1"/>
  <c r="H81" i="1"/>
  <c r="I81" i="1" s="1"/>
  <c r="J30" i="1"/>
  <c r="H30" i="1"/>
  <c r="N30" i="1" s="1"/>
  <c r="E31" i="1" s="1"/>
  <c r="P31" i="1" s="1"/>
  <c r="L30" i="1"/>
  <c r="N89" i="1"/>
  <c r="E91" i="1" s="1"/>
  <c r="P91" i="1" s="1"/>
  <c r="I89" i="1"/>
  <c r="K89" i="1"/>
  <c r="J81" i="1"/>
  <c r="S96" i="1"/>
  <c r="S87" i="1"/>
  <c r="X33" i="1"/>
  <c r="X48" i="1"/>
  <c r="N81" i="1" l="1"/>
  <c r="I83" i="1"/>
  <c r="P83" i="1" s="1"/>
  <c r="M116" i="1"/>
  <c r="E85" i="1"/>
  <c r="P85" i="1" s="1"/>
  <c r="P82" i="1"/>
  <c r="P81" i="1"/>
  <c r="I30" i="1"/>
  <c r="P30" i="1" s="1"/>
  <c r="P89" i="1"/>
  <c r="S73" i="1"/>
  <c r="S36" i="1"/>
  <c r="S51" i="1"/>
  <c r="S62" i="1"/>
  <c r="S8" i="1"/>
  <c r="S21" i="1"/>
  <c r="E54" i="1" l="1"/>
  <c r="L55" i="1"/>
  <c r="G68" i="1"/>
  <c r="J68" i="1" s="1"/>
  <c r="G96" i="1"/>
  <c r="K96" i="1" s="1"/>
  <c r="G79" i="1"/>
  <c r="J79" i="1" s="1"/>
  <c r="G87" i="1"/>
  <c r="G78" i="1"/>
  <c r="J78" i="1" s="1"/>
  <c r="K68" i="1" l="1"/>
  <c r="H68" i="1"/>
  <c r="N68" i="1" s="1"/>
  <c r="E70" i="1" s="1"/>
  <c r="P70" i="1" s="1"/>
  <c r="L68" i="1"/>
  <c r="J96" i="1"/>
  <c r="H96" i="1"/>
  <c r="N96" i="1" s="1"/>
  <c r="E97" i="1" s="1"/>
  <c r="P97" i="1" s="1"/>
  <c r="K79" i="1"/>
  <c r="H79" i="1"/>
  <c r="N79" i="1" s="1"/>
  <c r="E80" i="1" s="1"/>
  <c r="P80" i="1" s="1"/>
  <c r="J87" i="1"/>
  <c r="K87" i="1"/>
  <c r="H87" i="1"/>
  <c r="N87" i="1" s="1"/>
  <c r="E88" i="1" s="1"/>
  <c r="P88" i="1" s="1"/>
  <c r="K78" i="1"/>
  <c r="H78" i="1"/>
  <c r="U31" i="1"/>
  <c r="V31" i="1" s="1"/>
  <c r="I68" i="1" l="1"/>
  <c r="P68" i="1" s="1"/>
  <c r="I96" i="1"/>
  <c r="P96" i="1" s="1"/>
  <c r="X96" i="1" s="1"/>
  <c r="I79" i="1"/>
  <c r="P79" i="1" s="1"/>
  <c r="I87" i="1"/>
  <c r="P87" i="1" s="1"/>
  <c r="X87" i="1" s="1"/>
  <c r="I78" i="1"/>
  <c r="N78" i="1"/>
  <c r="E84" i="1" s="1"/>
  <c r="P84" i="1" s="1"/>
  <c r="G42" i="1"/>
  <c r="O42" i="1" s="1"/>
  <c r="G15" i="1"/>
  <c r="G53" i="1"/>
  <c r="O53" i="1" s="1"/>
  <c r="U57" i="1"/>
  <c r="V57" i="1" s="1"/>
  <c r="O106" i="1" l="1"/>
  <c r="M115" i="1" s="1"/>
  <c r="P78" i="1"/>
  <c r="H42" i="1"/>
  <c r="N42" i="1" s="1"/>
  <c r="E43" i="1" s="1"/>
  <c r="P43" i="1" s="1"/>
  <c r="J42" i="1"/>
  <c r="K42" i="1"/>
  <c r="L42" i="1"/>
  <c r="L15" i="1"/>
  <c r="K15" i="1"/>
  <c r="J15" i="1"/>
  <c r="H15" i="1"/>
  <c r="K53" i="1"/>
  <c r="J53" i="1"/>
  <c r="H53" i="1"/>
  <c r="L53" i="1"/>
  <c r="E75" i="1"/>
  <c r="P75" i="1" s="1"/>
  <c r="E67" i="1"/>
  <c r="P67" i="1" s="1"/>
  <c r="I42" i="1" l="1"/>
  <c r="P42" i="1" s="1"/>
  <c r="I15" i="1"/>
  <c r="N15" i="1"/>
  <c r="I53" i="1"/>
  <c r="N53" i="1"/>
  <c r="U44" i="1"/>
  <c r="V44" i="1" s="1"/>
  <c r="G66" i="1"/>
  <c r="K66" i="1" s="1"/>
  <c r="L74" i="1"/>
  <c r="L40" i="1"/>
  <c r="V43" i="1"/>
  <c r="L52" i="1"/>
  <c r="V66" i="1"/>
  <c r="E14" i="1"/>
  <c r="P14" i="1" s="1"/>
  <c r="V16" i="1"/>
  <c r="E13" i="1"/>
  <c r="P13" i="1" s="1"/>
  <c r="E28" i="1"/>
  <c r="P28" i="1" s="1"/>
  <c r="V29" i="1"/>
  <c r="V30" i="1"/>
  <c r="P15" i="1" l="1"/>
  <c r="E16" i="1"/>
  <c r="P16" i="1"/>
  <c r="P54" i="1"/>
  <c r="E55" i="1"/>
  <c r="P55" i="1" s="1"/>
  <c r="P53" i="1"/>
  <c r="J66" i="1"/>
  <c r="H66" i="1"/>
  <c r="N66" i="1" s="1"/>
  <c r="E69" i="1" s="1"/>
  <c r="P69" i="1" s="1"/>
  <c r="L66" i="1"/>
  <c r="V74" i="1"/>
  <c r="V75" i="1"/>
  <c r="V41" i="1"/>
  <c r="V42" i="1"/>
  <c r="U78" i="1"/>
  <c r="V78" i="1" s="1"/>
  <c r="X78" i="1" s="1"/>
  <c r="U73" i="1"/>
  <c r="V73" i="1" s="1"/>
  <c r="U40" i="1"/>
  <c r="V40" i="1" s="1"/>
  <c r="V37" i="1"/>
  <c r="V38" i="1"/>
  <c r="V39" i="1"/>
  <c r="U36" i="1"/>
  <c r="V36" i="1" s="1"/>
  <c r="U11" i="1"/>
  <c r="V11" i="1" s="1"/>
  <c r="U64" i="1"/>
  <c r="V64" i="1" s="1"/>
  <c r="U65" i="1"/>
  <c r="V65" i="1" s="1"/>
  <c r="U52" i="1"/>
  <c r="V52" i="1" s="1"/>
  <c r="U53" i="1"/>
  <c r="V53" i="1" s="1"/>
  <c r="U54" i="1"/>
  <c r="V54" i="1" s="1"/>
  <c r="U51" i="1"/>
  <c r="V51" i="1" s="1"/>
  <c r="V55" i="1"/>
  <c r="V12" i="1"/>
  <c r="V13" i="1"/>
  <c r="V24" i="1"/>
  <c r="I66" i="1" l="1"/>
  <c r="P66" i="1" s="1"/>
  <c r="F51" i="1"/>
  <c r="G51" i="1" s="1"/>
  <c r="G63" i="1"/>
  <c r="G73" i="1"/>
  <c r="G38" i="1"/>
  <c r="G37" i="1"/>
  <c r="G36" i="1"/>
  <c r="L65" i="1"/>
  <c r="L54" i="1"/>
  <c r="L35" i="1"/>
  <c r="U63" i="1"/>
  <c r="V63" i="1" s="1"/>
  <c r="L37" i="1" l="1"/>
  <c r="J37" i="1"/>
  <c r="K37" i="1"/>
  <c r="J38" i="1"/>
  <c r="K38" i="1"/>
  <c r="K36" i="1"/>
  <c r="J36" i="1"/>
  <c r="K63" i="1"/>
  <c r="J63" i="1"/>
  <c r="M38" i="1"/>
  <c r="H38" i="1"/>
  <c r="L38" i="1"/>
  <c r="L51" i="1"/>
  <c r="M51" i="1"/>
  <c r="E52" i="1" s="1"/>
  <c r="P52" i="1" s="1"/>
  <c r="H73" i="1"/>
  <c r="I73" i="1" s="1"/>
  <c r="J73" i="1" s="1"/>
  <c r="M73" i="1"/>
  <c r="E74" i="1" s="1"/>
  <c r="P74" i="1" s="1"/>
  <c r="X73" i="1" s="1"/>
  <c r="L36" i="1"/>
  <c r="M36" i="1"/>
  <c r="E40" i="1" s="1"/>
  <c r="P40" i="1" s="1"/>
  <c r="L63" i="1"/>
  <c r="M63" i="1"/>
  <c r="E65" i="1" s="1"/>
  <c r="P65" i="1" s="1"/>
  <c r="J51" i="1"/>
  <c r="H51" i="1"/>
  <c r="I51" i="1" s="1"/>
  <c r="K51" i="1"/>
  <c r="H63" i="1"/>
  <c r="I63" i="1" s="1"/>
  <c r="H37" i="1"/>
  <c r="N37" i="1" s="1"/>
  <c r="E41" i="1" s="1"/>
  <c r="P41" i="1" s="1"/>
  <c r="H36" i="1"/>
  <c r="U15" i="1"/>
  <c r="V15" i="1" s="1"/>
  <c r="U14" i="1"/>
  <c r="V14" i="1" s="1"/>
  <c r="V10" i="1"/>
  <c r="V9" i="1"/>
  <c r="U8" i="1"/>
  <c r="V8" i="1" s="1"/>
  <c r="X8" i="1" l="1"/>
  <c r="P63" i="1"/>
  <c r="I38" i="1"/>
  <c r="N38" i="1"/>
  <c r="I36" i="1"/>
  <c r="N36" i="1"/>
  <c r="K73" i="1"/>
  <c r="P51" i="1"/>
  <c r="X51" i="1" s="1"/>
  <c r="I37" i="1"/>
  <c r="P37" i="1" s="1"/>
  <c r="U62" i="1"/>
  <c r="V62" i="1" s="1"/>
  <c r="F62" i="1"/>
  <c r="G62" i="1" s="1"/>
  <c r="P36" i="1" l="1"/>
  <c r="E39" i="1"/>
  <c r="P39" i="1" s="1"/>
  <c r="L62" i="1"/>
  <c r="H62" i="1"/>
  <c r="N62" i="1" s="1"/>
  <c r="E64" i="1" s="1"/>
  <c r="P64" i="1" s="1"/>
  <c r="K62" i="1"/>
  <c r="J62" i="1"/>
  <c r="X36" i="1" l="1"/>
  <c r="I62" i="1"/>
  <c r="P62" i="1" s="1"/>
  <c r="X62" i="1" s="1"/>
  <c r="E21" i="1" l="1"/>
  <c r="U21" i="1" l="1"/>
  <c r="G23" i="1"/>
  <c r="H23" i="1" s="1"/>
  <c r="G7" i="1"/>
  <c r="H7" i="1" s="1"/>
  <c r="G25" i="1"/>
  <c r="G24" i="1"/>
  <c r="G22" i="1"/>
  <c r="G21" i="1"/>
  <c r="K25" i="1" l="1"/>
  <c r="J25" i="1"/>
  <c r="M25" i="1"/>
  <c r="H25" i="1"/>
  <c r="N25" i="1" s="1"/>
  <c r="L21" i="1"/>
  <c r="M21" i="1"/>
  <c r="K21" i="1"/>
  <c r="H21" i="1"/>
  <c r="V23" i="1"/>
  <c r="V22" i="1"/>
  <c r="L7" i="1"/>
  <c r="K7" i="1"/>
  <c r="M7" i="1"/>
  <c r="J7" i="1"/>
  <c r="N22" i="1"/>
  <c r="J23" i="1"/>
  <c r="L23" i="1"/>
  <c r="K23" i="1"/>
  <c r="M23" i="1"/>
  <c r="L24" i="1"/>
  <c r="L25" i="1"/>
  <c r="J21" i="1"/>
  <c r="M106" i="1" l="1"/>
  <c r="L106" i="1"/>
  <c r="K106" i="1"/>
  <c r="M113" i="1" s="1"/>
  <c r="E29" i="1"/>
  <c r="P29" i="1" s="1"/>
  <c r="I22" i="1"/>
  <c r="P22" i="1" s="1"/>
  <c r="N23" i="1" l="1"/>
  <c r="I23" i="1"/>
  <c r="P23" i="1" l="1"/>
  <c r="N24" i="1"/>
  <c r="I24" i="1"/>
  <c r="P24" i="1" l="1"/>
  <c r="I25" i="1"/>
  <c r="P25" i="1" s="1"/>
  <c r="N7" i="1" l="1"/>
  <c r="I7" i="1"/>
  <c r="P7" i="1" l="1"/>
  <c r="V21" i="1" l="1"/>
  <c r="V106" i="1" s="1"/>
  <c r="N21" i="1" l="1"/>
  <c r="N106" i="1" s="1"/>
  <c r="I21" i="1"/>
  <c r="P21" i="1" l="1"/>
  <c r="X21" i="1" l="1"/>
  <c r="P106" i="1"/>
  <c r="V108" i="1" l="1"/>
  <c r="M114" i="1" s="1"/>
  <c r="X106" i="1" l="1"/>
</calcChain>
</file>

<file path=xl/sharedStrings.xml><?xml version="1.0" encoding="utf-8"?>
<sst xmlns="http://schemas.openxmlformats.org/spreadsheetml/2006/main" count="170" uniqueCount="130">
  <si>
    <t>Amount</t>
  </si>
  <si>
    <t>UTR</t>
  </si>
  <si>
    <t>Balance Payable Amount Rs. -</t>
  </si>
  <si>
    <t>Total Paid Amount Rs. -</t>
  </si>
  <si>
    <t>M/s Radhey Construction</t>
  </si>
  <si>
    <t>06-03-2023 NEFT/AXISP00369001736/RIUP22/2475/RADHEY CONSTRUC 148500.00</t>
  </si>
  <si>
    <t>31-03-2023 NEFT/AXISP00377327414/RIUP22/2793/RADHEY CONSTRUC 190201.00</t>
  </si>
  <si>
    <t>GST Release Note</t>
  </si>
  <si>
    <t>06-05-2023 NEFT/AXISP00388047279/RIUP23/114/RADHEY CONSTRUCT 293604.00</t>
  </si>
  <si>
    <t>16-05-2023 NEFT/AXISP00390411256/RIUP23/250/RADHEY CONSTRUCT 72579.00</t>
  </si>
  <si>
    <t>22-06-2023 NEFT/AXISP00400190421/RIUP23/787/RADHEY CONSTRUCT 62915.00</t>
  </si>
  <si>
    <t>06-03-2023 NEFT/AXISP00369001737/RIUP22/2476/RADHEY CONSTRUC 198000.00</t>
  </si>
  <si>
    <t xml:space="preserve">2023 April 05 ------------- Radhey Constrictions -------- AXISP00378614199 ----------- Rs. 73,065 </t>
  </si>
  <si>
    <t>06-05-2023 NEFT/AXISP00388047276/RIUP23/111/RADHEY CONSTRUCT 285326.00</t>
  </si>
  <si>
    <t>16-06-2023 NEFT/AXISP00399139166/RIUP23/700/RADHEY CONSTRUCT 495000.00</t>
  </si>
  <si>
    <t>21-06-2023 NEFT/AXISP00399842961/RIUP23/739/RADHEY CONSTRUCT 61141.00</t>
  </si>
  <si>
    <t>01-07-2023 NEFT/AXISP00402871793/RIUP23/988/RADHEY CONSTRUCT ₹ 2,15,223.00</t>
  </si>
  <si>
    <t>17-08-2023 NEFT/AXISP00416489370/RIUP23/1577/RADHEY CONSTRUC 198000.00</t>
  </si>
  <si>
    <t>11-08-2023 NEFT/AXISP00415010609/RIUP23/1477/RADHEY CONSTRUC ₹ 58,085.00</t>
  </si>
  <si>
    <t>18-08-2023 NEFT/AXISP00416613520/RIUP23/1600/RADHEY CONSTRUC 198000.00</t>
  </si>
  <si>
    <t>21-09-2023 NEFT/AXISP00416615896/RIUP23/2196/RADHEY CONSTRUC 425700.00</t>
  </si>
  <si>
    <t>10-10-2023 NEFT/AXISP00432725399/RIUP23/2611/RADHEY CONSTRUCTIO/BARB0SAHARA 148500.00</t>
  </si>
  <si>
    <t>03-08-2023 NEFT/AXISP00412382482/RIUP23/1344/RADHEY CONSTRUC 387104.00</t>
  </si>
  <si>
    <t>20-09-2023 NEFT/AXISP00426115425/RIUP23/2128/RADHEY CONSTRUCTIO/BARB0SAHARA 46119.00</t>
  </si>
  <si>
    <t>17-08-2023 NEFT/AXISP00416489369/RIUP23/1576/RADHEY CONSTRUC 198000.00</t>
  </si>
  <si>
    <t>22-08-2023 NEFT/AXISP00417367250/RIUP23/1658/RADHEY CONSTRUC 198000.00</t>
  </si>
  <si>
    <t>10-10-2023 NEFT/AXISP00432725398/RIUP23/2610/RADHEY CONSTRUCTIO/BARB0SAHARA 198000.00</t>
  </si>
  <si>
    <t>09-11-2023 NEFT/AXISP00442541894/RIUP23/3170/RADHEY CONSTRUCTIO/BARB0SAHARA 99000.00</t>
  </si>
  <si>
    <t>09-06-2023 NEFT/AXISP00397201718/RIUP23/570/RADHEY CONSTRUCT 198000.00</t>
  </si>
  <si>
    <t>20-06-2023 NEFT/AXISP00399675467/RIUP23/706/RADHEY CONSTRUCT 317072.00</t>
  </si>
  <si>
    <t>22-08-2023 NEFT/AXISP00417367256/RIUP23/1642/RADHEY CONSTRUCT 288739.00</t>
  </si>
  <si>
    <t>10-10-2023 NEFT/AXISP00432725400/RIUP23/2612/RADHEY CONSTRUCTIO/BARB0SAHARA 148500.00</t>
  </si>
  <si>
    <t>09-11-2023 NEFT/AXISP00442541899/RIUP23/3171/RADHEY CONSTRUCTIO/BARB0SAHARA 297000.00</t>
  </si>
  <si>
    <t>09-11-2023 NEFT/AXISP00442541889/RIUP23/3169/RADHEY CONSTRUCTIO/BARB0SAHARA 198000.00</t>
  </si>
  <si>
    <t>24-11-2023 NEFT/AXISP00446416562/RIUP23/3408/RADHEY CONSTRUCTIO/BARB0SAHARA 99665.00</t>
  </si>
  <si>
    <t>03-11-2023 NEFT/AXISP00440155797/RIUP23/3061/RADHEY CONSTRUCTIO/BARB0SAHARA 148500.00</t>
  </si>
  <si>
    <t>09-11-2023 NEFT/AXISP00442541884/RIUP23/3168/RADHEY CONSTRUCTIO/BARB0SAHARA 297000.00</t>
  </si>
  <si>
    <t>30-11-2023 NEFT/AXISP00447586136/RIUP23/3521/RADHEY CONSTRUCTIO/BARB0SAHARA 396000.00</t>
  </si>
  <si>
    <t>24-11-2023 NEFT/AXISP00446416553/RIUP23/3409/RADHEY CONSTRUCTIO/BARB0SAHARA 118436.00</t>
  </si>
  <si>
    <t>29-12-2023 NEFT/AXISP00456827628/RIUP23/4014/RADHEY CONSTRUCTIO/BARB0SAHARA 16345.00</t>
  </si>
  <si>
    <t>29-12-2023 NEFT/AXISP00456827631/RIUP23/4017/RADHEY CONSTRUCTIO/BARB0SAHARA 128453.00</t>
  </si>
  <si>
    <t>29-12-2023 NEFT/AXISP00456827630/RIUP23/4016/RADHEY CONSTRUCTIO/BARB0SAHARA 146981.00</t>
  </si>
  <si>
    <t>29-12-2023 NEFT/AXISP00456827629/RIUP23/4015/RADHEY CONSTRUCTIO/BARB0SAHARA 35436.00</t>
  </si>
  <si>
    <t>Advance Village Wise</t>
  </si>
  <si>
    <t xml:space="preserve">Total Hold </t>
  </si>
  <si>
    <t>Advance / Surplus</t>
  </si>
  <si>
    <t>18-01-2024 NEFT/AXISP00463351001/RIUP23/4326/RADHEY CONSTRUCTIO/BARB0SAHARA 82951.00</t>
  </si>
  <si>
    <t>Hold Release HT</t>
  </si>
  <si>
    <t>18-01-2024 NEFT/AXISP00463439407/RIUP23/4362/RADHEY CONSTRUCTIO/BARB0SAHARA 115128.00</t>
  </si>
  <si>
    <t>18-01-2024 NEFT/AXISP00463439408/RIUP23/4361/RADHEY CONSTRUCTIO/BARB0SAHARA 31389.00</t>
  </si>
  <si>
    <t>18-01-2024 NEFT/AXISP00463351002/RIUP23/4325/RADHEY CONSTRUCTIO/BARB0SAHARA 231216.00</t>
  </si>
  <si>
    <t>5 &amp; 18</t>
  </si>
  <si>
    <t>28-02-2024 NEFT/AXISP00474711648/RIUP23/4898/RADHEY CONSTRUCTIO/BARB0SAHARA 247500.00</t>
  </si>
  <si>
    <t>28-02-2024 NEFT/AXISP00474711649/RIUP23/4899/RADHEY CONSTRUCTIO/BARB0SAHARA 247500.00</t>
  </si>
  <si>
    <t>20-02-2024 NEFT/AXISP00472764465/RIUP23/4789/RADHEY CONSTRUCTIO/BARB0SAHARA ₹ 99,000.00</t>
  </si>
  <si>
    <t>20-03-2024 NEFT/AXISP00482371747/RIUP23/5215/RADHEY CONSTRUCTIO/BARB0SAHARA 495000.00</t>
  </si>
  <si>
    <t>Hold</t>
  </si>
  <si>
    <t>20-03-2024 NEFT/AXISP00482371746/RIUP23/5213/RADHEY CONSTRUCTIO/BARB0SAHARA 396000.00</t>
  </si>
  <si>
    <t>20-03-2024 NEFT/AXISP00482371745/RIUP23/5214/RADHEY CONSTRUCTIO/BARB0SAHARA 495000.00</t>
  </si>
  <si>
    <t>31-03-2024 NEFT/AXISP00486642311/RIUP23/5349/RADHEY CONSTRUCTIO/BARB0SAHARA 99000.00</t>
  </si>
  <si>
    <t>Remaining GST</t>
  </si>
  <si>
    <t>02-05-2024 NEFT/AXISP00496215181/RIUP24/0364/RADHEY CONSTRUCTIO/BARB0SAHARA 148500.00</t>
  </si>
  <si>
    <t>25-04-2024 NEFT/AXISP00493738067/RIUP24/0273/RADHEY CONSTRUCTIO/BARB0SAHARA 297000.00</t>
  </si>
  <si>
    <t>Not filed</t>
  </si>
  <si>
    <t>27-06-2024 NEFT/AXISP00512319566/RIUP24/0993/RADHEY CONSTRUCTIO/BARB0SAHARA 396000.00</t>
  </si>
  <si>
    <t>31-07-2024 NEFT/AXISP00522988537/RIUP24/1119/RADHEY CONSTRUCTIO/BARB0SAHARA 360771.00</t>
  </si>
  <si>
    <t>19-08-2024 NEFT/AXISP00529670926/RIUP24/1488/RADHEY CONSTRUCTIO/BARB0SAHARA 198000.00</t>
  </si>
  <si>
    <t>19-08-2024 NEFT/AXISP00529675261/RIUP24/1487/RADHEY CONSTRUCTIO/BARB0SAHARA 198000.00</t>
  </si>
  <si>
    <t>20-08-2024 NEFT/AXISP00530112322/RIUP24/1507/RADHEY CONSTRUCTIO/BARB0SAHARA 99000.00</t>
  </si>
  <si>
    <t>RADHEY CONSTRUCTION</t>
  </si>
  <si>
    <t>27-08-2024 NEFT/AXISP00532246604/RIUP24/1530/RADHEY CONSTRUCTIO/BARB0SAHARA 100115.00</t>
  </si>
  <si>
    <t>27-08-2024 NEFT/AXISP00532246605/RIUP24/1529/RADHEY CONSTRUCTIO/BARB0SAHARA 263114.00</t>
  </si>
  <si>
    <t>26-08-2024 NEFT/AXISP00531829607/RIUP24/1528/RADHEY CONSTRUCTIO/BARB0SAHARA 317068.00</t>
  </si>
  <si>
    <t>Released</t>
  </si>
  <si>
    <t>Extra Hold</t>
  </si>
  <si>
    <t>BOQ Amount</t>
  </si>
  <si>
    <t>Balance Agaisnt BOQ</t>
  </si>
  <si>
    <t>GST</t>
  </si>
  <si>
    <t>26-09-2024 NEFT/AXISP00544686587/RIUP24/1931/RADHEY CONSTRUCTIO/BARB0SAHARA 297000.00</t>
  </si>
  <si>
    <t>10-10-2024 NEFT/AXISP00552209290/RIUP24/2156/RADHEY CONSTRUCTIO/BARB0SAHARA 297000.00</t>
  </si>
  <si>
    <t>29-10-2024 NEFT/AXISP00560206625/RIUP24/2298/RADHEY CONSTRUCTIO/BARB0SAHARA 594000.00</t>
  </si>
  <si>
    <t>30-10-2024 NEFT/AXISP00561389905/RIUP24/2361/RADHEY CONSTRUCTIO/BARB0SAHARA 297000.00</t>
  </si>
  <si>
    <t>13-11-2024 NEFT/AXISP00568734541/RIUP24/2457/RADHEY CONSTRUCTIO/BARB0SAHARA 99000.00</t>
  </si>
  <si>
    <t>14-11-2024 NEFT-YESIG43190154865-BARB0SAHARA-RADHEY CONSTRUCTION-RIUP24/2456 RS 445,500.00</t>
  </si>
  <si>
    <t>16-11-2024 NEFT/AXISP00570981023/RIUP24/2511/RADHEY CONSTRUCTIO/BARB0SAHARA 346500.00</t>
  </si>
  <si>
    <t>04-12-2024 NEFT/AXISP00579764035/RIUP24/2623/RADHEY CONSTRUCTIO/BARB0SAHARA 396000.00</t>
  </si>
  <si>
    <t>13-12-2024 NEFT/AXISP00583928105/RIUP24/2690/RADHEY CONSTRUCTIO/BARB0SAHARA 297000.00</t>
  </si>
  <si>
    <t>31-12-2024 NEFT/AXISP00590961250/RIUP24/2828/RADHEY CONSTRUCTIO/BARB0SAHARA 99000.00</t>
  </si>
  <si>
    <t>07-01-2025 NEFT/AXISP00595156004/RIUP24/2871/RADHEY CONSTRUCTIO/BARB0SAHARA 742500.00</t>
  </si>
  <si>
    <t>1,11 &amp; 13</t>
  </si>
  <si>
    <t>29-01-2025 NEFT/AXISP00604547878/RIUP24/3028/RADHEY CONSTRUCTIO/BARB0SAHARA 250000.00</t>
  </si>
  <si>
    <t>04-02-2025 NEFT/AXISP00610028550/RIUP24/3100/RADHEY CONSTRUCTIO/BARB0SAHARA 750000.00</t>
  </si>
  <si>
    <t>31-03-2025 NEFT/AXISP00643290434/RIUP24/3525/RADHEY CONSTRUCTIO/BARB0SAHARA 400000.00</t>
  </si>
  <si>
    <t>31-03-2025 NEFT/AXISP00643290433/RIUP24/3524/RADHEY CONSTRUCTIO/BARB0SAHARA 400000.00</t>
  </si>
  <si>
    <t>Subcontractor:</t>
  </si>
  <si>
    <t>State:</t>
  </si>
  <si>
    <t>Uttar Pradesh</t>
  </si>
  <si>
    <t>District:</t>
  </si>
  <si>
    <t>Shamli</t>
  </si>
  <si>
    <t>Block:</t>
  </si>
  <si>
    <t>Bhandaura village 200 - 12 work</t>
  </si>
  <si>
    <t>Dhakori Jamalpur village 200 - 12 work</t>
  </si>
  <si>
    <t>Dhakori jamalpur village  BW work</t>
  </si>
  <si>
    <t>MANAKPUR YUNISHPUR village 300 -14 work</t>
  </si>
  <si>
    <t>Alipur village 375 -14 work</t>
  </si>
  <si>
    <t>JALALPUR VILLAGE village 150 -12 work</t>
  </si>
  <si>
    <t>Dullakheri village 250 - 14 work</t>
  </si>
  <si>
    <t>AMBETHA RIDAN village 275 - 16 work</t>
  </si>
  <si>
    <t>Hath Choya village village 450 - 18 work</t>
  </si>
  <si>
    <t>KHERI KARMU village 375 - 16 work</t>
  </si>
  <si>
    <t>PAOTIKALAN  village 500 -14 work</t>
  </si>
  <si>
    <t>kairana</t>
  </si>
  <si>
    <t xml:space="preserve">ERTI VILLAGE OHT 175KL 12MTR WORK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</si>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</sst>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6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omic Sans MS"/>
      <family val="4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4" fontId="2" fillId="3" borderId="1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/>
    <xf numFmtId="164" fontId="2" fillId="2" borderId="3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4" fontId="6" fillId="2" borderId="1" xfId="0" applyNumberFormat="1" applyFont="1" applyFill="1" applyBorder="1" applyAlignment="1">
      <alignment vertical="center"/>
    </xf>
    <xf numFmtId="4" fontId="6" fillId="2" borderId="3" xfId="0" applyNumberFormat="1" applyFont="1" applyFill="1" applyBorder="1" applyAlignment="1">
      <alignment horizontal="right" vertical="center"/>
    </xf>
    <xf numFmtId="0" fontId="2" fillId="2" borderId="2" xfId="1" applyNumberFormat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164" fontId="2" fillId="3" borderId="4" xfId="1" applyNumberFormat="1" applyFont="1" applyFill="1" applyBorder="1" applyAlignment="1">
      <alignment vertical="center"/>
    </xf>
    <xf numFmtId="0" fontId="2" fillId="3" borderId="4" xfId="1" applyNumberFormat="1" applyFont="1" applyFill="1" applyBorder="1" applyAlignment="1">
      <alignment horizontal="center" vertical="center"/>
    </xf>
    <xf numFmtId="9" fontId="2" fillId="3" borderId="4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64" fontId="8" fillId="2" borderId="2" xfId="1" applyNumberFormat="1" applyFont="1" applyFill="1" applyBorder="1" applyAlignment="1">
      <alignment vertical="center"/>
    </xf>
    <xf numFmtId="164" fontId="8" fillId="2" borderId="1" xfId="1" applyNumberFormat="1" applyFont="1" applyFill="1" applyBorder="1" applyAlignment="1">
      <alignment vertical="center"/>
    </xf>
    <xf numFmtId="164" fontId="8" fillId="2" borderId="3" xfId="1" applyNumberFormat="1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horizontal="left" vertical="center"/>
    </xf>
    <xf numFmtId="164" fontId="2" fillId="3" borderId="4" xfId="1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1" applyNumberFormat="1" applyFont="1" applyFill="1" applyBorder="1" applyAlignment="1">
      <alignment horizontal="left" vertical="center"/>
    </xf>
    <xf numFmtId="164" fontId="2" fillId="3" borderId="1" xfId="1" applyNumberFormat="1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164" fontId="8" fillId="5" borderId="1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horizontal="left" vertical="center"/>
    </xf>
    <xf numFmtId="0" fontId="2" fillId="2" borderId="5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4" fontId="6" fillId="2" borderId="1" xfId="0" applyNumberFormat="1" applyFont="1" applyFill="1" applyBorder="1" applyAlignment="1">
      <alignment horizontal="right" vertical="center"/>
    </xf>
    <xf numFmtId="4" fontId="6" fillId="2" borderId="4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0" fontId="4" fillId="0" borderId="0" xfId="0" applyFont="1"/>
    <xf numFmtId="164" fontId="6" fillId="2" borderId="3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4" fontId="6" fillId="2" borderId="3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0" fillId="0" borderId="0" xfId="0" applyFont="1"/>
    <xf numFmtId="0" fontId="12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14" fontId="12" fillId="2" borderId="2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/>
    </xf>
    <xf numFmtId="164" fontId="12" fillId="2" borderId="2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166" fontId="2" fillId="3" borderId="4" xfId="1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116"/>
  <sheetViews>
    <sheetView tabSelected="1" zoomScale="85" zoomScaleNormal="85" workbookViewId="0">
      <pane ySplit="5" topLeftCell="A6" activePane="bottomLeft" state="frozen"/>
      <selection pane="bottomLeft" activeCell="E98" sqref="E98"/>
    </sheetView>
  </sheetViews>
  <sheetFormatPr defaultColWidth="9" defaultRowHeight="14.4" x14ac:dyDescent="0.3"/>
  <cols>
    <col min="1" max="1" width="8.6640625" style="1" customWidth="1"/>
    <col min="2" max="2" width="31" style="48" bestFit="1" customWidth="1"/>
    <col min="3" max="3" width="11.6640625" style="4" bestFit="1" customWidth="1"/>
    <col min="4" max="4" width="9.88671875" style="4" bestFit="1" customWidth="1"/>
    <col min="5" max="5" width="13.5546875" style="1" bestFit="1" customWidth="1"/>
    <col min="6" max="6" width="12.44140625" style="1" bestFit="1" customWidth="1"/>
    <col min="7" max="7" width="15.44140625" style="1" bestFit="1" customWidth="1"/>
    <col min="8" max="8" width="12.44140625" style="3" bestFit="1" customWidth="1"/>
    <col min="9" max="9" width="13.109375" style="3" bestFit="1" customWidth="1"/>
    <col min="10" max="10" width="10.44140625" style="1" bestFit="1" customWidth="1"/>
    <col min="11" max="11" width="13.88671875" style="1" bestFit="1" customWidth="1"/>
    <col min="12" max="12" width="15" style="1" bestFit="1" customWidth="1"/>
    <col min="13" max="13" width="14" style="1" bestFit="1" customWidth="1"/>
    <col min="14" max="14" width="15" style="1" bestFit="1" customWidth="1"/>
    <col min="15" max="15" width="13.88671875" style="1" bestFit="1" customWidth="1"/>
    <col min="16" max="16" width="16.88671875" style="1" bestFit="1" customWidth="1"/>
    <col min="17" max="17" width="8.88671875" style="33" bestFit="1" customWidth="1"/>
    <col min="18" max="18" width="14.109375" style="1" customWidth="1"/>
    <col min="19" max="19" width="13.33203125" style="1" customWidth="1"/>
    <col min="20" max="20" width="12.109375" style="1" customWidth="1"/>
    <col min="21" max="21" width="10.6640625" style="1" customWidth="1"/>
    <col min="22" max="22" width="16.6640625" style="1" bestFit="1" customWidth="1"/>
    <col min="23" max="23" width="95.5546875" style="1" customWidth="1"/>
    <col min="24" max="24" width="18.88671875" style="1" bestFit="1" customWidth="1"/>
    <col min="25" max="16384" width="9" style="1"/>
  </cols>
  <sheetData>
    <row r="1" spans="1:146" s="71" customFormat="1" ht="24.9" customHeight="1" x14ac:dyDescent="0.3">
      <c r="A1" s="69" t="s">
        <v>94</v>
      </c>
      <c r="B1" s="70" t="s">
        <v>69</v>
      </c>
      <c r="C1" s="71">
        <v>2850000</v>
      </c>
    </row>
    <row r="2" spans="1:146" s="71" customFormat="1" ht="24.9" customHeight="1" x14ac:dyDescent="0.3">
      <c r="A2" s="69" t="s">
        <v>95</v>
      </c>
      <c r="B2" s="71" t="s">
        <v>96</v>
      </c>
      <c r="C2" s="71">
        <v>3780000</v>
      </c>
    </row>
    <row r="3" spans="1:146" s="71" customFormat="1" ht="30.6" customHeight="1" x14ac:dyDescent="0.3">
      <c r="A3" s="69" t="s">
        <v>97</v>
      </c>
      <c r="B3" s="69" t="s">
        <v>98</v>
      </c>
      <c r="C3" s="71">
        <v>2475000</v>
      </c>
    </row>
    <row r="4" spans="1:146" s="71" customFormat="1" ht="24.9" customHeight="1" thickBot="1" x14ac:dyDescent="0.35">
      <c r="A4" s="69" t="s">
        <v>99</v>
      </c>
      <c r="B4" s="69" t="s">
        <v>111</v>
      </c>
    </row>
    <row r="5" spans="1:146" ht="43.2" x14ac:dyDescent="0.3">
      <c r="A5" s="72" t="s">
        <v>113</v>
      </c>
      <c r="B5" s="73" t="s">
        <v>114</v>
      </c>
      <c r="C5" s="74" t="s">
        <v>115</v>
      </c>
      <c r="D5" s="75" t="s">
        <v>116</v>
      </c>
      <c r="E5" s="73" t="s">
        <v>117</v>
      </c>
      <c r="F5" s="73" t="s">
        <v>118</v>
      </c>
      <c r="G5" s="75" t="s">
        <v>119</v>
      </c>
      <c r="H5" s="76" t="s">
        <v>120</v>
      </c>
      <c r="I5" s="77" t="s">
        <v>0</v>
      </c>
      <c r="J5" s="73" t="s">
        <v>121</v>
      </c>
      <c r="K5" s="73" t="s">
        <v>122</v>
      </c>
      <c r="L5" s="73" t="s">
        <v>123</v>
      </c>
      <c r="M5" s="73" t="s">
        <v>124</v>
      </c>
      <c r="N5" s="73" t="s">
        <v>125</v>
      </c>
      <c r="O5" s="10" t="s">
        <v>56</v>
      </c>
      <c r="P5" s="73" t="s">
        <v>126</v>
      </c>
      <c r="Q5" s="34"/>
      <c r="R5" s="10" t="s">
        <v>75</v>
      </c>
      <c r="S5" s="10" t="s">
        <v>76</v>
      </c>
      <c r="T5" s="73" t="s">
        <v>127</v>
      </c>
      <c r="U5" s="73" t="s">
        <v>128</v>
      </c>
      <c r="V5" s="73" t="s">
        <v>129</v>
      </c>
      <c r="W5" s="73" t="s">
        <v>1</v>
      </c>
      <c r="X5" s="10" t="s">
        <v>43</v>
      </c>
    </row>
    <row r="6" spans="1:146" ht="15" thickBot="1" x14ac:dyDescent="0.35">
      <c r="A6" s="30"/>
      <c r="B6" s="42"/>
      <c r="C6" s="78"/>
      <c r="D6" s="25"/>
      <c r="E6" s="16"/>
      <c r="F6" s="16"/>
      <c r="G6" s="16"/>
      <c r="H6" s="31">
        <v>0.18</v>
      </c>
      <c r="I6" s="16"/>
      <c r="J6" s="31">
        <v>0.01</v>
      </c>
      <c r="K6" s="31">
        <v>0.05</v>
      </c>
      <c r="L6" s="31">
        <v>0</v>
      </c>
      <c r="M6" s="31">
        <v>0.1</v>
      </c>
      <c r="N6" s="31">
        <v>0.18</v>
      </c>
      <c r="O6" s="31"/>
      <c r="P6" s="16"/>
      <c r="Q6" s="35"/>
      <c r="R6" s="16"/>
      <c r="S6" s="16"/>
      <c r="T6" s="16"/>
      <c r="U6" s="31">
        <v>0.01</v>
      </c>
      <c r="V6" s="16"/>
      <c r="W6" s="16"/>
      <c r="X6" s="16"/>
    </row>
    <row r="7" spans="1:146" s="6" customFormat="1" x14ac:dyDescent="0.3">
      <c r="A7" s="13">
        <v>55036</v>
      </c>
      <c r="B7" s="46"/>
      <c r="C7" s="79"/>
      <c r="D7" s="22"/>
      <c r="E7" s="7"/>
      <c r="F7" s="7"/>
      <c r="G7" s="7">
        <f>ROUND(E7-F7,)</f>
        <v>0</v>
      </c>
      <c r="H7" s="7">
        <f>ROUND(G7*$H$6,0)</f>
        <v>0</v>
      </c>
      <c r="I7" s="7">
        <f>G7+H7</f>
        <v>0</v>
      </c>
      <c r="J7" s="7">
        <f>ROUND(G7*$J$6,)</f>
        <v>0</v>
      </c>
      <c r="K7" s="7">
        <f>ROUND(G7*$K$6,)</f>
        <v>0</v>
      </c>
      <c r="L7" s="7">
        <f>ROUND(G7*$L$6,)</f>
        <v>0</v>
      </c>
      <c r="M7" s="7">
        <f>ROUND(G7*$M$6,)</f>
        <v>0</v>
      </c>
      <c r="N7" s="7">
        <f>H7</f>
        <v>0</v>
      </c>
      <c r="O7" s="7"/>
      <c r="P7" s="7">
        <f>ROUND(I7-SUM(J7:N7),0)</f>
        <v>0</v>
      </c>
      <c r="Q7" s="40">
        <v>55036</v>
      </c>
      <c r="R7" s="7"/>
      <c r="S7" s="7"/>
      <c r="T7" s="7"/>
      <c r="U7" s="7"/>
      <c r="V7" s="7"/>
      <c r="W7" s="13"/>
      <c r="X7" s="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</row>
    <row r="8" spans="1:146" x14ac:dyDescent="0.3">
      <c r="A8" s="13">
        <v>55036</v>
      </c>
      <c r="B8" s="45" t="s">
        <v>100</v>
      </c>
      <c r="C8" s="80">
        <v>45002</v>
      </c>
      <c r="D8" s="24">
        <v>14</v>
      </c>
      <c r="E8" s="2">
        <v>515896</v>
      </c>
      <c r="F8" s="2">
        <v>193198.82</v>
      </c>
      <c r="G8" s="2">
        <v>322697</v>
      </c>
      <c r="H8" s="2">
        <v>58085</v>
      </c>
      <c r="I8" s="2">
        <v>380782</v>
      </c>
      <c r="J8" s="2">
        <v>3227</v>
      </c>
      <c r="K8" s="2">
        <v>16134.85</v>
      </c>
      <c r="L8" s="2">
        <v>0</v>
      </c>
      <c r="M8" s="51">
        <v>32270</v>
      </c>
      <c r="N8" s="51">
        <v>58085</v>
      </c>
      <c r="O8" s="2"/>
      <c r="P8" s="2">
        <v>271065</v>
      </c>
      <c r="Q8" s="36"/>
      <c r="R8" s="2">
        <v>2850000</v>
      </c>
      <c r="S8" s="2">
        <f>R8-SUM(T8:T18)</f>
        <v>377255</v>
      </c>
      <c r="T8" s="2">
        <v>200000</v>
      </c>
      <c r="U8" s="2">
        <f>T8*$U$6</f>
        <v>2000</v>
      </c>
      <c r="V8" s="2">
        <f>T8-U8</f>
        <v>198000</v>
      </c>
      <c r="W8" s="11" t="s">
        <v>11</v>
      </c>
      <c r="X8" s="2">
        <f>SUM(P8:P19)-SUM(V8:V19)</f>
        <v>-563255.97279999987</v>
      </c>
    </row>
    <row r="9" spans="1:146" x14ac:dyDescent="0.3">
      <c r="A9" s="13">
        <v>55036</v>
      </c>
      <c r="B9" s="45" t="s">
        <v>7</v>
      </c>
      <c r="C9" s="80">
        <v>45040</v>
      </c>
      <c r="D9" s="24">
        <v>14</v>
      </c>
      <c r="E9" s="2">
        <v>58085</v>
      </c>
      <c r="F9" s="2"/>
      <c r="G9" s="2">
        <v>58085</v>
      </c>
      <c r="H9" s="2"/>
      <c r="I9" s="2">
        <v>58085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/>
      <c r="P9" s="51">
        <v>58085</v>
      </c>
      <c r="Q9" s="36"/>
      <c r="R9" s="2"/>
      <c r="S9" s="2"/>
      <c r="T9" s="2">
        <v>73065</v>
      </c>
      <c r="U9" s="2">
        <v>0</v>
      </c>
      <c r="V9" s="2">
        <f>T9-U9</f>
        <v>73065</v>
      </c>
      <c r="W9" s="11" t="s">
        <v>12</v>
      </c>
      <c r="X9" s="2"/>
    </row>
    <row r="10" spans="1:146" x14ac:dyDescent="0.3">
      <c r="A10" s="13">
        <v>55036</v>
      </c>
      <c r="B10" s="45"/>
      <c r="C10" s="80">
        <v>45036</v>
      </c>
      <c r="D10" s="24">
        <v>1</v>
      </c>
      <c r="E10" s="2">
        <v>515896</v>
      </c>
      <c r="F10" s="2">
        <v>176221</v>
      </c>
      <c r="G10" s="2">
        <v>339675</v>
      </c>
      <c r="H10" s="2">
        <v>61142</v>
      </c>
      <c r="I10" s="2">
        <v>400817</v>
      </c>
      <c r="J10" s="2">
        <v>3397</v>
      </c>
      <c r="K10" s="2">
        <v>16984</v>
      </c>
      <c r="L10" s="2">
        <v>0</v>
      </c>
      <c r="M10" s="51">
        <v>33968</v>
      </c>
      <c r="N10" s="51">
        <v>61142</v>
      </c>
      <c r="O10" s="2"/>
      <c r="P10" s="2">
        <v>285326</v>
      </c>
      <c r="Q10" s="36"/>
      <c r="R10" s="2"/>
      <c r="S10" s="2"/>
      <c r="T10" s="2">
        <v>285326</v>
      </c>
      <c r="U10" s="2">
        <v>0</v>
      </c>
      <c r="V10" s="2">
        <f>T10-U10</f>
        <v>285326</v>
      </c>
      <c r="W10" s="11" t="s">
        <v>13</v>
      </c>
      <c r="X10" s="2"/>
    </row>
    <row r="11" spans="1:146" x14ac:dyDescent="0.3">
      <c r="A11" s="13">
        <v>55036</v>
      </c>
      <c r="B11" s="45" t="s">
        <v>7</v>
      </c>
      <c r="C11" s="80">
        <v>45093</v>
      </c>
      <c r="D11" s="24">
        <v>1</v>
      </c>
      <c r="E11" s="2">
        <v>61142</v>
      </c>
      <c r="F11" s="2"/>
      <c r="G11" s="2">
        <v>61142</v>
      </c>
      <c r="H11" s="2">
        <v>0</v>
      </c>
      <c r="I11" s="2">
        <v>61142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/>
      <c r="P11" s="51">
        <v>61142</v>
      </c>
      <c r="Q11" s="36"/>
      <c r="R11" s="2"/>
      <c r="S11" s="2"/>
      <c r="T11" s="2">
        <v>500000</v>
      </c>
      <c r="U11" s="2">
        <f>T11*$U$6</f>
        <v>5000</v>
      </c>
      <c r="V11" s="2">
        <f t="shared" ref="V11:V15" si="0">T11-U11</f>
        <v>495000</v>
      </c>
      <c r="W11" s="11" t="s">
        <v>14</v>
      </c>
      <c r="X11" s="2"/>
    </row>
    <row r="12" spans="1:146" x14ac:dyDescent="0.3">
      <c r="A12" s="13">
        <v>55036</v>
      </c>
      <c r="B12" s="45"/>
      <c r="C12" s="80">
        <v>45135</v>
      </c>
      <c r="D12" s="24">
        <v>9</v>
      </c>
      <c r="E12" s="2">
        <v>1105708</v>
      </c>
      <c r="F12" s="2">
        <v>466108.8</v>
      </c>
      <c r="G12" s="2">
        <v>639599</v>
      </c>
      <c r="H12" s="2">
        <v>115128</v>
      </c>
      <c r="I12" s="2">
        <v>754727</v>
      </c>
      <c r="J12" s="2">
        <v>6396</v>
      </c>
      <c r="K12" s="2">
        <v>31980</v>
      </c>
      <c r="L12" s="2">
        <v>0</v>
      </c>
      <c r="M12" s="51">
        <v>63960</v>
      </c>
      <c r="N12" s="51">
        <v>115128</v>
      </c>
      <c r="O12" s="2"/>
      <c r="P12" s="2">
        <v>537263</v>
      </c>
      <c r="Q12" s="36"/>
      <c r="R12" s="2"/>
      <c r="S12" s="2"/>
      <c r="T12" s="2">
        <v>61141</v>
      </c>
      <c r="U12" s="2">
        <v>0</v>
      </c>
      <c r="V12" s="2">
        <f t="shared" si="0"/>
        <v>61141</v>
      </c>
      <c r="W12" s="11" t="s">
        <v>15</v>
      </c>
      <c r="X12" s="2"/>
    </row>
    <row r="13" spans="1:146" x14ac:dyDescent="0.3">
      <c r="A13" s="13">
        <v>55036</v>
      </c>
      <c r="B13" s="45" t="s">
        <v>47</v>
      </c>
      <c r="C13" s="80"/>
      <c r="D13" s="24"/>
      <c r="E13" s="2">
        <f>M8+M12+M10</f>
        <v>130198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51">
        <f>E13</f>
        <v>130198</v>
      </c>
      <c r="Q13" s="36"/>
      <c r="R13" s="2"/>
      <c r="S13" s="2"/>
      <c r="T13" s="2">
        <v>58085</v>
      </c>
      <c r="U13" s="2">
        <v>0</v>
      </c>
      <c r="V13" s="2">
        <f t="shared" si="0"/>
        <v>58085</v>
      </c>
      <c r="W13" s="11" t="s">
        <v>18</v>
      </c>
      <c r="X13" s="2"/>
    </row>
    <row r="14" spans="1:146" x14ac:dyDescent="0.3">
      <c r="A14" s="13">
        <v>55036</v>
      </c>
      <c r="B14" s="45" t="s">
        <v>7</v>
      </c>
      <c r="C14" s="80"/>
      <c r="D14" s="24">
        <v>9</v>
      </c>
      <c r="E14" s="2">
        <f>N12</f>
        <v>115128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51">
        <f>E14</f>
        <v>115128</v>
      </c>
      <c r="Q14" s="36"/>
      <c r="R14" s="2"/>
      <c r="S14" s="2"/>
      <c r="T14" s="2">
        <v>200000</v>
      </c>
      <c r="U14" s="2">
        <f>T14*$U$6</f>
        <v>2000</v>
      </c>
      <c r="V14" s="2">
        <f t="shared" si="0"/>
        <v>198000</v>
      </c>
      <c r="W14" s="11" t="s">
        <v>19</v>
      </c>
      <c r="X14" s="2"/>
    </row>
    <row r="15" spans="1:146" x14ac:dyDescent="0.3">
      <c r="A15" s="13">
        <v>55036</v>
      </c>
      <c r="B15" s="45"/>
      <c r="C15" s="80">
        <v>45344</v>
      </c>
      <c r="D15" s="24">
        <v>26</v>
      </c>
      <c r="E15" s="2">
        <f>C1*25%</f>
        <v>712500</v>
      </c>
      <c r="F15" s="2">
        <v>199123.19</v>
      </c>
      <c r="G15" s="2">
        <f>E15-F15</f>
        <v>513376.81</v>
      </c>
      <c r="H15" s="2">
        <f>G15*18%</f>
        <v>92407.825799999991</v>
      </c>
      <c r="I15" s="2">
        <f>G15+H15</f>
        <v>605784.63580000005</v>
      </c>
      <c r="J15" s="2">
        <f>G15*1%</f>
        <v>5133.7681000000002</v>
      </c>
      <c r="K15" s="2">
        <f>G15*5%</f>
        <v>25668.840500000002</v>
      </c>
      <c r="L15" s="2">
        <f t="shared" ref="L15" si="1">ROUND(G15*$L$6,)</f>
        <v>0</v>
      </c>
      <c r="M15" s="2"/>
      <c r="N15" s="51">
        <f>H15</f>
        <v>92407.825799999991</v>
      </c>
      <c r="O15" s="2">
        <v>142500</v>
      </c>
      <c r="P15" s="2">
        <f>I15-SUM(J15:O15)</f>
        <v>340074.20140000002</v>
      </c>
      <c r="Q15" s="36"/>
      <c r="R15" s="2"/>
      <c r="S15" s="2"/>
      <c r="T15" s="2">
        <v>430000</v>
      </c>
      <c r="U15" s="2">
        <f>T15*$U$6</f>
        <v>4300</v>
      </c>
      <c r="V15" s="2">
        <f t="shared" si="0"/>
        <v>425700</v>
      </c>
      <c r="W15" s="11" t="s">
        <v>20</v>
      </c>
      <c r="X15" s="2"/>
    </row>
    <row r="16" spans="1:146" x14ac:dyDescent="0.3">
      <c r="A16" s="13">
        <v>55036</v>
      </c>
      <c r="B16" s="45" t="s">
        <v>7</v>
      </c>
      <c r="C16" s="80"/>
      <c r="D16" s="24">
        <v>26</v>
      </c>
      <c r="E16" s="2">
        <f>N15</f>
        <v>92407.825799999991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51">
        <f>N15</f>
        <v>92407.825799999991</v>
      </c>
      <c r="Q16" s="36"/>
      <c r="R16" s="2"/>
      <c r="S16" s="2"/>
      <c r="T16" s="2">
        <v>115128</v>
      </c>
      <c r="U16" s="2">
        <v>0</v>
      </c>
      <c r="V16" s="2">
        <f t="shared" ref="V16" si="2">T16-U16</f>
        <v>115128</v>
      </c>
      <c r="W16" s="11" t="s">
        <v>48</v>
      </c>
      <c r="X16" s="2"/>
    </row>
    <row r="17" spans="1:146" x14ac:dyDescent="0.3">
      <c r="A17" s="13">
        <v>55036</v>
      </c>
      <c r="B17" s="45"/>
      <c r="C17" s="80"/>
      <c r="D17" s="2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6"/>
      <c r="R17" s="2"/>
      <c r="S17" s="2"/>
      <c r="T17" s="2">
        <v>400000</v>
      </c>
      <c r="U17" s="2"/>
      <c r="V17" s="2">
        <v>396000</v>
      </c>
      <c r="W17" s="11" t="s">
        <v>57</v>
      </c>
      <c r="X17" s="2"/>
    </row>
    <row r="18" spans="1:146" x14ac:dyDescent="0.3">
      <c r="A18" s="13">
        <v>55036</v>
      </c>
      <c r="B18" s="45"/>
      <c r="C18" s="80"/>
      <c r="D18" s="2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6"/>
      <c r="R18" s="2"/>
      <c r="S18" s="2"/>
      <c r="T18" s="2">
        <v>150000</v>
      </c>
      <c r="U18" s="2"/>
      <c r="V18" s="2">
        <v>148500</v>
      </c>
      <c r="W18" s="11" t="s">
        <v>61</v>
      </c>
      <c r="X18" s="2"/>
    </row>
    <row r="19" spans="1:146" x14ac:dyDescent="0.3">
      <c r="A19" s="13">
        <v>55036</v>
      </c>
      <c r="B19" s="45"/>
      <c r="C19" s="80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6"/>
      <c r="R19" s="2"/>
      <c r="S19" s="2"/>
      <c r="T19" s="2"/>
      <c r="U19" s="2"/>
      <c r="V19" s="2"/>
      <c r="W19" s="11"/>
      <c r="X19" s="2"/>
    </row>
    <row r="20" spans="1:146" s="6" customFormat="1" x14ac:dyDescent="0.3">
      <c r="A20" s="26">
        <v>55447</v>
      </c>
      <c r="B20" s="43"/>
      <c r="C20" s="81"/>
      <c r="D20" s="28"/>
      <c r="E20" s="27"/>
      <c r="F20" s="27"/>
      <c r="G20" s="27"/>
      <c r="H20" s="29"/>
      <c r="I20" s="27"/>
      <c r="J20" s="29"/>
      <c r="K20" s="29"/>
      <c r="L20" s="29"/>
      <c r="M20" s="29"/>
      <c r="N20" s="29"/>
      <c r="O20" s="29"/>
      <c r="P20" s="27"/>
      <c r="Q20" s="41">
        <v>55447</v>
      </c>
      <c r="R20" s="27"/>
      <c r="S20" s="27"/>
      <c r="T20" s="27"/>
      <c r="U20" s="29"/>
      <c r="V20" s="27"/>
      <c r="W20" s="27"/>
      <c r="X20" s="27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</row>
    <row r="21" spans="1:146" ht="26.4" x14ac:dyDescent="0.3">
      <c r="A21" s="26">
        <v>55447</v>
      </c>
      <c r="B21" s="44" t="s">
        <v>101</v>
      </c>
      <c r="C21" s="82">
        <v>45002</v>
      </c>
      <c r="D21" s="23">
        <v>15</v>
      </c>
      <c r="E21" s="2">
        <f>2579480*20%</f>
        <v>515896</v>
      </c>
      <c r="F21" s="2">
        <v>112679.89</v>
      </c>
      <c r="G21" s="2">
        <f>ROUND(E21-F21,)</f>
        <v>403216</v>
      </c>
      <c r="H21" s="2">
        <f>ROUND(G21*$H$6,0)</f>
        <v>72579</v>
      </c>
      <c r="I21" s="2">
        <f>G21+H21</f>
        <v>475795</v>
      </c>
      <c r="J21" s="2">
        <f>ROUND(G21*$J$6,)</f>
        <v>4032</v>
      </c>
      <c r="K21" s="2">
        <f>(G21*$K$6)</f>
        <v>20160.800000000003</v>
      </c>
      <c r="L21" s="2">
        <f>ROUND(G21*$L$6,)</f>
        <v>0</v>
      </c>
      <c r="M21" s="51">
        <f>ROUND(G21*$M$6,)</f>
        <v>40322</v>
      </c>
      <c r="N21" s="51">
        <f>H21</f>
        <v>72579</v>
      </c>
      <c r="O21" s="2"/>
      <c r="P21" s="2">
        <f>ROUND(I21-SUM(J21:N21),0)</f>
        <v>338701</v>
      </c>
      <c r="Q21" s="36"/>
      <c r="R21" s="2">
        <v>2850000</v>
      </c>
      <c r="S21" s="2">
        <f>R21-SUM(T21:T31)</f>
        <v>1102323</v>
      </c>
      <c r="T21" s="2">
        <v>150000</v>
      </c>
      <c r="U21" s="2">
        <f>T21*$U$6</f>
        <v>1500</v>
      </c>
      <c r="V21" s="2">
        <f>T21-U21</f>
        <v>148500</v>
      </c>
      <c r="W21" s="11" t="s">
        <v>5</v>
      </c>
      <c r="X21" s="2">
        <f>SUM(P21:P31)-SUM(V21:V31)</f>
        <v>258574</v>
      </c>
    </row>
    <row r="22" spans="1:146" x14ac:dyDescent="0.3">
      <c r="A22" s="26">
        <v>55447</v>
      </c>
      <c r="B22" s="44" t="s">
        <v>7</v>
      </c>
      <c r="C22" s="82">
        <v>45040</v>
      </c>
      <c r="D22" s="23">
        <v>15</v>
      </c>
      <c r="E22" s="2">
        <v>72579</v>
      </c>
      <c r="F22" s="2"/>
      <c r="G22" s="2">
        <f t="shared" ref="G22:G25" si="3">ROUND(E22-F22,)</f>
        <v>72579</v>
      </c>
      <c r="H22" s="2"/>
      <c r="I22" s="2">
        <f t="shared" ref="I22:I25" si="4">G22+H22</f>
        <v>72579</v>
      </c>
      <c r="J22" s="2">
        <v>0</v>
      </c>
      <c r="K22" s="2">
        <v>0</v>
      </c>
      <c r="L22" s="2">
        <v>0</v>
      </c>
      <c r="M22" s="2">
        <v>0</v>
      </c>
      <c r="N22" s="2">
        <f t="shared" ref="N22:N24" si="5">H22</f>
        <v>0</v>
      </c>
      <c r="O22" s="2"/>
      <c r="P22" s="51">
        <f t="shared" ref="P22:P24" si="6">ROUND(I22-SUM(J22:N22),0)</f>
        <v>72579</v>
      </c>
      <c r="Q22" s="36"/>
      <c r="R22" s="2"/>
      <c r="S22" s="2"/>
      <c r="T22" s="2">
        <v>190201</v>
      </c>
      <c r="U22" s="2">
        <v>0</v>
      </c>
      <c r="V22" s="2">
        <f>T22-U22</f>
        <v>190201</v>
      </c>
      <c r="W22" s="11" t="s">
        <v>6</v>
      </c>
      <c r="X22" s="2"/>
    </row>
    <row r="23" spans="1:146" ht="26.4" x14ac:dyDescent="0.3">
      <c r="A23" s="26">
        <v>55447</v>
      </c>
      <c r="B23" s="44" t="s">
        <v>101</v>
      </c>
      <c r="C23" s="82">
        <v>45037</v>
      </c>
      <c r="D23" s="23">
        <v>2</v>
      </c>
      <c r="E23" s="2">
        <v>515896</v>
      </c>
      <c r="F23" s="2">
        <v>166368.37</v>
      </c>
      <c r="G23" s="2">
        <f t="shared" si="3"/>
        <v>349528</v>
      </c>
      <c r="H23" s="2">
        <f t="shared" ref="H23" si="7">ROUND(G23*$H$6,0)</f>
        <v>62915</v>
      </c>
      <c r="I23" s="2">
        <f t="shared" si="4"/>
        <v>412443</v>
      </c>
      <c r="J23" s="2">
        <f t="shared" ref="J23" si="8">ROUND(G23*$J$6,)</f>
        <v>3495</v>
      </c>
      <c r="K23" s="2">
        <f t="shared" ref="K23" si="9">ROUND(G23*$K$6,)</f>
        <v>17476</v>
      </c>
      <c r="L23" s="2">
        <f t="shared" ref="L23:L25" si="10">ROUND(G23*$L$6,)</f>
        <v>0</v>
      </c>
      <c r="M23" s="51">
        <f t="shared" ref="M23" si="11">ROUND(G23*$M$6,)</f>
        <v>34953</v>
      </c>
      <c r="N23" s="51">
        <f t="shared" si="5"/>
        <v>62915</v>
      </c>
      <c r="O23" s="2"/>
      <c r="P23" s="2">
        <f t="shared" si="6"/>
        <v>293604</v>
      </c>
      <c r="Q23" s="36"/>
      <c r="R23" s="2"/>
      <c r="S23" s="2"/>
      <c r="T23" s="2">
        <v>293604</v>
      </c>
      <c r="U23" s="2">
        <v>0</v>
      </c>
      <c r="V23" s="2">
        <f>T23-U23</f>
        <v>293604</v>
      </c>
      <c r="W23" s="11" t="s">
        <v>8</v>
      </c>
      <c r="X23" s="2"/>
    </row>
    <row r="24" spans="1:146" x14ac:dyDescent="0.3">
      <c r="A24" s="26">
        <v>55447</v>
      </c>
      <c r="B24" s="44" t="s">
        <v>7</v>
      </c>
      <c r="C24" s="80">
        <v>45097</v>
      </c>
      <c r="D24" s="23">
        <v>2</v>
      </c>
      <c r="E24" s="2">
        <v>62915</v>
      </c>
      <c r="F24" s="2"/>
      <c r="G24" s="2">
        <f t="shared" si="3"/>
        <v>62915</v>
      </c>
      <c r="H24" s="2">
        <v>0</v>
      </c>
      <c r="I24" s="2">
        <f t="shared" si="4"/>
        <v>62915</v>
      </c>
      <c r="J24" s="2">
        <v>0</v>
      </c>
      <c r="K24" s="2">
        <v>0</v>
      </c>
      <c r="L24" s="2">
        <f t="shared" si="10"/>
        <v>0</v>
      </c>
      <c r="M24" s="2">
        <v>0</v>
      </c>
      <c r="N24" s="2">
        <f t="shared" si="5"/>
        <v>0</v>
      </c>
      <c r="O24" s="2"/>
      <c r="P24" s="51">
        <f t="shared" si="6"/>
        <v>62915</v>
      </c>
      <c r="Q24" s="36"/>
      <c r="R24" s="2"/>
      <c r="S24" s="2"/>
      <c r="T24" s="2">
        <v>72579</v>
      </c>
      <c r="U24" s="2">
        <v>0</v>
      </c>
      <c r="V24" s="2">
        <f>T24-U24</f>
        <v>72579</v>
      </c>
      <c r="W24" s="11" t="s">
        <v>9</v>
      </c>
      <c r="X24" s="2"/>
    </row>
    <row r="25" spans="1:146" ht="26.4" x14ac:dyDescent="0.3">
      <c r="A25" s="26">
        <v>55447</v>
      </c>
      <c r="B25" s="44" t="s">
        <v>101</v>
      </c>
      <c r="C25" s="80">
        <v>45099</v>
      </c>
      <c r="D25" s="23">
        <v>7</v>
      </c>
      <c r="E25" s="2">
        <v>644870</v>
      </c>
      <c r="F25" s="2">
        <v>388652</v>
      </c>
      <c r="G25" s="2">
        <f t="shared" si="3"/>
        <v>256218</v>
      </c>
      <c r="H25" s="2">
        <f>ROUND(G25*$H$6,0)</f>
        <v>46119</v>
      </c>
      <c r="I25" s="2">
        <f t="shared" si="4"/>
        <v>302337</v>
      </c>
      <c r="J25" s="2">
        <f>ROUND(G25*$J$6,)</f>
        <v>2562</v>
      </c>
      <c r="K25" s="2">
        <f>ROUND(G25*$K$6,)</f>
        <v>12811</v>
      </c>
      <c r="L25" s="2">
        <f t="shared" si="10"/>
        <v>0</v>
      </c>
      <c r="M25" s="51">
        <f>ROUND(G25*$M$6,)</f>
        <v>25622</v>
      </c>
      <c r="N25" s="51">
        <f>H25</f>
        <v>46119</v>
      </c>
      <c r="O25" s="2"/>
      <c r="P25" s="2">
        <f>ROUND(I25-SUM(J25:N25),0)</f>
        <v>215223</v>
      </c>
      <c r="Q25" s="36"/>
      <c r="R25" s="2"/>
      <c r="S25" s="2"/>
      <c r="T25" s="2">
        <v>62915</v>
      </c>
      <c r="U25" s="2"/>
      <c r="V25" s="2">
        <v>62915</v>
      </c>
      <c r="W25" s="11" t="s">
        <v>10</v>
      </c>
      <c r="X25" s="2"/>
    </row>
    <row r="26" spans="1:146" ht="26.4" x14ac:dyDescent="0.3">
      <c r="A26" s="26">
        <v>55447</v>
      </c>
      <c r="B26" s="44" t="s">
        <v>101</v>
      </c>
      <c r="C26" s="80">
        <v>45135</v>
      </c>
      <c r="D26" s="23">
        <v>10</v>
      </c>
      <c r="E26" s="2">
        <v>460838</v>
      </c>
      <c r="F26" s="2"/>
      <c r="G26" s="2">
        <v>460838</v>
      </c>
      <c r="H26" s="2">
        <v>82951</v>
      </c>
      <c r="I26" s="2">
        <v>543789</v>
      </c>
      <c r="J26" s="2">
        <v>4608</v>
      </c>
      <c r="K26" s="2">
        <v>23042</v>
      </c>
      <c r="L26" s="2">
        <v>0</v>
      </c>
      <c r="M26" s="51">
        <v>46084</v>
      </c>
      <c r="N26" s="51">
        <v>82951</v>
      </c>
      <c r="O26" s="2"/>
      <c r="P26" s="2">
        <v>387104</v>
      </c>
      <c r="Q26" s="36"/>
      <c r="R26" s="2"/>
      <c r="S26" s="2"/>
      <c r="T26" s="2">
        <v>215223</v>
      </c>
      <c r="U26" s="2"/>
      <c r="V26" s="2">
        <v>215223</v>
      </c>
      <c r="W26" s="11" t="s">
        <v>16</v>
      </c>
      <c r="X26" s="2"/>
    </row>
    <row r="27" spans="1:146" x14ac:dyDescent="0.3">
      <c r="A27" s="26">
        <v>55447</v>
      </c>
      <c r="B27" s="45" t="s">
        <v>7</v>
      </c>
      <c r="C27" s="80"/>
      <c r="D27" s="24">
        <v>7</v>
      </c>
      <c r="E27" s="2">
        <v>46119</v>
      </c>
      <c r="F27" s="2"/>
      <c r="G27" s="2"/>
      <c r="H27" s="2"/>
      <c r="I27" s="2">
        <v>46119</v>
      </c>
      <c r="J27" s="2"/>
      <c r="K27" s="2"/>
      <c r="L27" s="2"/>
      <c r="M27" s="2"/>
      <c r="N27" s="2"/>
      <c r="O27" s="2"/>
      <c r="P27" s="51">
        <v>46119</v>
      </c>
      <c r="Q27" s="36"/>
      <c r="R27" s="2"/>
      <c r="S27" s="2"/>
      <c r="T27" s="2">
        <v>387104</v>
      </c>
      <c r="U27" s="2"/>
      <c r="V27" s="2">
        <v>387104</v>
      </c>
      <c r="W27" s="11" t="s">
        <v>22</v>
      </c>
      <c r="X27" s="2"/>
    </row>
    <row r="28" spans="1:146" x14ac:dyDescent="0.3">
      <c r="A28" s="26">
        <v>55447</v>
      </c>
      <c r="B28" s="45" t="s">
        <v>7</v>
      </c>
      <c r="C28" s="80">
        <v>45135</v>
      </c>
      <c r="D28" s="24">
        <v>10</v>
      </c>
      <c r="E28" s="2">
        <f>N26</f>
        <v>82951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51">
        <f>E28</f>
        <v>82951</v>
      </c>
      <c r="Q28" s="36"/>
      <c r="R28" s="2"/>
      <c r="S28" s="2"/>
      <c r="T28" s="2">
        <v>46119</v>
      </c>
      <c r="U28" s="2"/>
      <c r="V28" s="2">
        <v>46119</v>
      </c>
      <c r="W28" s="11" t="s">
        <v>23</v>
      </c>
      <c r="X28" s="2"/>
    </row>
    <row r="29" spans="1:146" x14ac:dyDescent="0.3">
      <c r="A29" s="26">
        <v>55447</v>
      </c>
      <c r="B29" s="45" t="s">
        <v>47</v>
      </c>
      <c r="C29" s="80"/>
      <c r="D29" s="24"/>
      <c r="E29" s="2">
        <f>M23+M21+M25+M26</f>
        <v>146981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51">
        <f>E29</f>
        <v>146981</v>
      </c>
      <c r="Q29" s="36"/>
      <c r="R29" s="2"/>
      <c r="S29" s="2"/>
      <c r="T29" s="2">
        <v>146981</v>
      </c>
      <c r="U29" s="2"/>
      <c r="V29" s="2">
        <f>T29-U29</f>
        <v>146981</v>
      </c>
      <c r="W29" s="11" t="s">
        <v>41</v>
      </c>
      <c r="X29" s="2"/>
    </row>
    <row r="30" spans="1:146" ht="26.4" x14ac:dyDescent="0.3">
      <c r="A30" s="26">
        <v>55447</v>
      </c>
      <c r="B30" s="44" t="s">
        <v>101</v>
      </c>
      <c r="C30" s="80">
        <v>45590</v>
      </c>
      <c r="D30" s="24">
        <v>9</v>
      </c>
      <c r="E30" s="2">
        <v>513000</v>
      </c>
      <c r="F30" s="2">
        <v>193737.46</v>
      </c>
      <c r="G30" s="2">
        <f t="shared" ref="G30" si="12">ROUND(E30-F30,)</f>
        <v>319263</v>
      </c>
      <c r="H30" s="2">
        <f>ROUND(G30*$H$6,0)</f>
        <v>57467</v>
      </c>
      <c r="I30" s="2">
        <f t="shared" ref="I30" si="13">G30+H30</f>
        <v>376730</v>
      </c>
      <c r="J30" s="2">
        <f>ROUND(G30*$J$6,)</f>
        <v>3193</v>
      </c>
      <c r="K30" s="2">
        <f>ROUND(G30*$K$6,)</f>
        <v>15963</v>
      </c>
      <c r="L30" s="2">
        <f t="shared" ref="L30" si="14">ROUND(G30*$L$6,)</f>
        <v>0</v>
      </c>
      <c r="M30" s="2"/>
      <c r="N30" s="51">
        <f>H30</f>
        <v>57467</v>
      </c>
      <c r="O30" s="2"/>
      <c r="P30" s="2">
        <f>ROUND(I30-SUM(J30:N30),0)</f>
        <v>300107</v>
      </c>
      <c r="Q30" s="60"/>
      <c r="R30" s="2"/>
      <c r="S30" s="2"/>
      <c r="T30" s="2">
        <v>82951</v>
      </c>
      <c r="U30" s="2"/>
      <c r="V30" s="2">
        <f>T30-U30</f>
        <v>82951</v>
      </c>
      <c r="W30" s="11" t="s">
        <v>46</v>
      </c>
      <c r="X30" s="2"/>
    </row>
    <row r="31" spans="1:146" x14ac:dyDescent="0.3">
      <c r="A31" s="26">
        <v>55447</v>
      </c>
      <c r="B31" s="45" t="s">
        <v>7</v>
      </c>
      <c r="C31" s="80"/>
      <c r="D31" s="24">
        <v>9</v>
      </c>
      <c r="E31" s="2">
        <f>N30</f>
        <v>57467</v>
      </c>
      <c r="F31" s="2"/>
      <c r="G31" s="2"/>
      <c r="H31" s="2"/>
      <c r="I31" s="2">
        <v>46119</v>
      </c>
      <c r="J31" s="2"/>
      <c r="K31" s="2"/>
      <c r="L31" s="2"/>
      <c r="M31" s="2"/>
      <c r="N31" s="2"/>
      <c r="O31" s="2"/>
      <c r="P31" s="51">
        <f>E31</f>
        <v>57467</v>
      </c>
      <c r="Q31" s="36"/>
      <c r="R31" s="2"/>
      <c r="S31" s="2"/>
      <c r="T31" s="2">
        <v>100000</v>
      </c>
      <c r="U31" s="2">
        <f>T31*$U$6</f>
        <v>1000</v>
      </c>
      <c r="V31" s="2">
        <f>T31-U31</f>
        <v>99000</v>
      </c>
      <c r="W31" s="11" t="s">
        <v>59</v>
      </c>
      <c r="X31" s="2"/>
    </row>
    <row r="32" spans="1:146" x14ac:dyDescent="0.2">
      <c r="A32" s="13">
        <v>55448</v>
      </c>
      <c r="B32" s="46"/>
      <c r="C32" s="79"/>
      <c r="D32" s="2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40">
        <v>55448</v>
      </c>
      <c r="R32" s="7"/>
      <c r="S32" s="7"/>
      <c r="T32" s="7"/>
      <c r="U32" s="7"/>
      <c r="V32" s="7"/>
      <c r="W32" s="15"/>
      <c r="X32" s="7"/>
    </row>
    <row r="33" spans="1:146" x14ac:dyDescent="0.2">
      <c r="A33" s="13">
        <v>55448</v>
      </c>
      <c r="B33" s="45" t="s">
        <v>102</v>
      </c>
      <c r="C33" s="82"/>
      <c r="D33" s="2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6"/>
      <c r="R33" s="2"/>
      <c r="S33" s="2"/>
      <c r="T33" s="2"/>
      <c r="U33" s="2"/>
      <c r="V33" s="2"/>
      <c r="W33" s="12"/>
      <c r="X33" s="2">
        <f>SUM(P33:P34)-SUM(V33:V34)</f>
        <v>0</v>
      </c>
    </row>
    <row r="34" spans="1:146" x14ac:dyDescent="0.2">
      <c r="A34" s="13">
        <v>55448</v>
      </c>
      <c r="B34" s="45"/>
      <c r="C34" s="82"/>
      <c r="D34" s="2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6"/>
      <c r="R34" s="2"/>
      <c r="S34" s="2"/>
      <c r="T34" s="2"/>
      <c r="U34" s="2"/>
      <c r="V34" s="2"/>
      <c r="W34" s="12"/>
      <c r="X34" s="2"/>
    </row>
    <row r="35" spans="1:146" s="6" customFormat="1" x14ac:dyDescent="0.3">
      <c r="A35" s="13">
        <v>57766</v>
      </c>
      <c r="B35" s="46"/>
      <c r="C35" s="79"/>
      <c r="D35" s="22"/>
      <c r="E35" s="7"/>
      <c r="F35" s="7"/>
      <c r="G35" s="7"/>
      <c r="H35" s="7"/>
      <c r="I35" s="7"/>
      <c r="J35" s="7"/>
      <c r="K35" s="7"/>
      <c r="L35" s="7">
        <f>ROUND(G35*$L$6,)</f>
        <v>0</v>
      </c>
      <c r="M35" s="7"/>
      <c r="N35" s="7"/>
      <c r="O35" s="7"/>
      <c r="P35" s="7"/>
      <c r="Q35" s="40">
        <v>57766</v>
      </c>
      <c r="R35" s="7"/>
      <c r="S35" s="7"/>
      <c r="T35" s="7"/>
      <c r="U35" s="7"/>
      <c r="V35" s="7"/>
      <c r="W35" s="13"/>
      <c r="X35" s="7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</row>
    <row r="36" spans="1:146" x14ac:dyDescent="0.3">
      <c r="A36" s="13">
        <v>57766</v>
      </c>
      <c r="B36" s="45" t="s">
        <v>103</v>
      </c>
      <c r="C36" s="82">
        <v>45083</v>
      </c>
      <c r="D36" s="24">
        <v>5</v>
      </c>
      <c r="E36" s="2">
        <v>870812.5</v>
      </c>
      <c r="F36" s="2">
        <v>257631</v>
      </c>
      <c r="G36" s="2">
        <f>E36-F36</f>
        <v>613181.5</v>
      </c>
      <c r="H36" s="2">
        <f>G36*18%</f>
        <v>110372.67</v>
      </c>
      <c r="I36" s="2">
        <f>G36+H36</f>
        <v>723554.17</v>
      </c>
      <c r="J36" s="2">
        <f>G36*1%</f>
        <v>6131.8150000000005</v>
      </c>
      <c r="K36" s="2">
        <f>G36*5%</f>
        <v>30659.075000000001</v>
      </c>
      <c r="L36" s="2">
        <f>ROUND(G36*$L$6,)</f>
        <v>0</v>
      </c>
      <c r="M36" s="51">
        <f>G36*10%</f>
        <v>61318.15</v>
      </c>
      <c r="N36" s="51">
        <f>H36</f>
        <v>110372.67</v>
      </c>
      <c r="O36" s="2"/>
      <c r="P36" s="2">
        <f>I36-SUM(J36:O36)</f>
        <v>515072.46</v>
      </c>
      <c r="Q36" s="36"/>
      <c r="R36" s="18">
        <v>3780000</v>
      </c>
      <c r="S36" s="2">
        <f>R36-SUM(T36:T46)</f>
        <v>1297584</v>
      </c>
      <c r="T36" s="2">
        <v>200000</v>
      </c>
      <c r="U36" s="2">
        <f>T36*$U$6</f>
        <v>2000</v>
      </c>
      <c r="V36" s="2">
        <f>T36-U36</f>
        <v>198000</v>
      </c>
      <c r="W36" s="14" t="s">
        <v>28</v>
      </c>
      <c r="X36" s="2">
        <f>SUM(P36:P46)-SUM(V36:V46)</f>
        <v>-89836.868800000288</v>
      </c>
    </row>
    <row r="37" spans="1:146" x14ac:dyDescent="0.3">
      <c r="A37" s="13">
        <v>57766</v>
      </c>
      <c r="B37" s="45"/>
      <c r="C37" s="82">
        <v>45135</v>
      </c>
      <c r="D37" s="24">
        <v>8</v>
      </c>
      <c r="E37" s="2">
        <v>830187</v>
      </c>
      <c r="F37" s="2">
        <v>523017</v>
      </c>
      <c r="G37" s="2">
        <f>E37-F37</f>
        <v>307170</v>
      </c>
      <c r="H37" s="2">
        <f>G37*18%</f>
        <v>55290.6</v>
      </c>
      <c r="I37" s="2">
        <f>G37+H37</f>
        <v>362460.6</v>
      </c>
      <c r="J37" s="2">
        <f t="shared" ref="J37:J38" si="15">G37*1%</f>
        <v>3071.7000000000003</v>
      </c>
      <c r="K37" s="2">
        <f t="shared" ref="K37:K38" si="16">G37*5%</f>
        <v>15358.5</v>
      </c>
      <c r="L37" s="2">
        <f>ROUND(G37*$L$6,)</f>
        <v>0</v>
      </c>
      <c r="M37" s="2"/>
      <c r="N37" s="51">
        <f>H37</f>
        <v>55290.6</v>
      </c>
      <c r="O37" s="2"/>
      <c r="P37" s="2">
        <f>I37-SUM(J37:O37)</f>
        <v>288739.8</v>
      </c>
      <c r="Q37" s="36"/>
      <c r="R37" s="2"/>
      <c r="S37" s="2"/>
      <c r="T37" s="2">
        <v>317072</v>
      </c>
      <c r="U37" s="2"/>
      <c r="V37" s="2">
        <f t="shared" ref="V37:V40" si="17">T37-U37</f>
        <v>317072</v>
      </c>
      <c r="W37" s="11" t="s">
        <v>29</v>
      </c>
      <c r="X37" s="2"/>
    </row>
    <row r="38" spans="1:146" x14ac:dyDescent="0.3">
      <c r="A38" s="13">
        <v>57766</v>
      </c>
      <c r="B38" s="45"/>
      <c r="C38" s="82">
        <v>45231</v>
      </c>
      <c r="D38" s="24">
        <v>18</v>
      </c>
      <c r="E38" s="2">
        <v>1134000</v>
      </c>
      <c r="F38" s="2">
        <v>462647</v>
      </c>
      <c r="G38" s="2">
        <f>E38-F38</f>
        <v>671353</v>
      </c>
      <c r="H38" s="2">
        <f>G38*18%</f>
        <v>120843.54</v>
      </c>
      <c r="I38" s="2">
        <f>G38+H38</f>
        <v>792196.54</v>
      </c>
      <c r="J38" s="2">
        <f t="shared" si="15"/>
        <v>6713.53</v>
      </c>
      <c r="K38" s="2">
        <f t="shared" si="16"/>
        <v>33567.65</v>
      </c>
      <c r="L38" s="2">
        <f>ROUND(G38*$L$6,)</f>
        <v>0</v>
      </c>
      <c r="M38" s="51">
        <f>G38*10%</f>
        <v>67135.3</v>
      </c>
      <c r="N38" s="51">
        <f>H38</f>
        <v>120843.54</v>
      </c>
      <c r="O38" s="2"/>
      <c r="P38" s="2">
        <v>563937</v>
      </c>
      <c r="Q38" s="36"/>
      <c r="R38" s="2"/>
      <c r="S38" s="2"/>
      <c r="T38" s="2">
        <v>288739</v>
      </c>
      <c r="U38" s="2"/>
      <c r="V38" s="2">
        <f t="shared" si="17"/>
        <v>288739</v>
      </c>
      <c r="W38" s="11" t="s">
        <v>30</v>
      </c>
      <c r="X38" s="2"/>
    </row>
    <row r="39" spans="1:146" x14ac:dyDescent="0.3">
      <c r="A39" s="13">
        <v>57766</v>
      </c>
      <c r="B39" s="45" t="s">
        <v>7</v>
      </c>
      <c r="C39" s="80"/>
      <c r="D39" s="24" t="s">
        <v>51</v>
      </c>
      <c r="E39" s="2">
        <f>N38+N36</f>
        <v>231216.21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51">
        <f>E39</f>
        <v>231216.21</v>
      </c>
      <c r="Q39" s="36"/>
      <c r="R39" s="2"/>
      <c r="S39" s="2"/>
      <c r="T39" s="2">
        <v>148500</v>
      </c>
      <c r="U39" s="2"/>
      <c r="V39" s="2">
        <f t="shared" si="17"/>
        <v>148500</v>
      </c>
      <c r="W39" s="14" t="s">
        <v>31</v>
      </c>
      <c r="X39" s="2"/>
    </row>
    <row r="40" spans="1:146" x14ac:dyDescent="0.3">
      <c r="A40" s="13">
        <v>57766</v>
      </c>
      <c r="B40" s="45" t="s">
        <v>47</v>
      </c>
      <c r="C40" s="82"/>
      <c r="D40" s="24"/>
      <c r="E40" s="2">
        <f>M38+M36+M37</f>
        <v>128453.45000000001</v>
      </c>
      <c r="F40" s="2"/>
      <c r="G40" s="2"/>
      <c r="H40" s="2"/>
      <c r="I40" s="2"/>
      <c r="J40" s="2"/>
      <c r="K40" s="2"/>
      <c r="L40" s="2">
        <f t="shared" ref="L40" si="18">ROUND(G40*$L$6,)</f>
        <v>0</v>
      </c>
      <c r="M40" s="2"/>
      <c r="N40" s="2"/>
      <c r="O40" s="2"/>
      <c r="P40" s="51">
        <f>E40</f>
        <v>128453.45000000001</v>
      </c>
      <c r="Q40" s="36"/>
      <c r="R40" s="2"/>
      <c r="S40" s="2"/>
      <c r="T40" s="2">
        <v>300000</v>
      </c>
      <c r="U40" s="2">
        <f>T40*$U$6</f>
        <v>3000</v>
      </c>
      <c r="V40" s="2">
        <f t="shared" si="17"/>
        <v>297000</v>
      </c>
      <c r="W40" s="11" t="s">
        <v>32</v>
      </c>
      <c r="X40" s="2"/>
    </row>
    <row r="41" spans="1:146" x14ac:dyDescent="0.3">
      <c r="A41" s="13">
        <v>57766</v>
      </c>
      <c r="B41" s="45" t="s">
        <v>7</v>
      </c>
      <c r="C41" s="80"/>
      <c r="D41" s="24">
        <v>8</v>
      </c>
      <c r="E41" s="2">
        <f>N37</f>
        <v>55290.6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51">
        <f>E41</f>
        <v>55290.6</v>
      </c>
      <c r="Q41" s="36" t="s">
        <v>63</v>
      </c>
      <c r="R41" s="2"/>
      <c r="S41" s="2"/>
      <c r="T41" s="2">
        <v>118436</v>
      </c>
      <c r="U41" s="2">
        <v>0</v>
      </c>
      <c r="V41" s="2">
        <f t="shared" ref="V41:V42" si="19">T41-U41</f>
        <v>118436</v>
      </c>
      <c r="W41" s="11" t="s">
        <v>38</v>
      </c>
      <c r="X41" s="2"/>
    </row>
    <row r="42" spans="1:146" x14ac:dyDescent="0.3">
      <c r="A42" s="13">
        <v>57766</v>
      </c>
      <c r="B42" s="45"/>
      <c r="C42" s="82">
        <v>45343</v>
      </c>
      <c r="D42" s="24">
        <v>25</v>
      </c>
      <c r="E42" s="2">
        <f>C2*25%</f>
        <v>945000</v>
      </c>
      <c r="F42" s="2">
        <v>329155.03999999998</v>
      </c>
      <c r="G42" s="2">
        <f>E42-F42</f>
        <v>615844.96</v>
      </c>
      <c r="H42" s="2">
        <f>G42*18%</f>
        <v>110852.09279999998</v>
      </c>
      <c r="I42" s="2">
        <f>G42+H42</f>
        <v>726697.05279999995</v>
      </c>
      <c r="J42" s="2">
        <f>G42*1%</f>
        <v>6158.4495999999999</v>
      </c>
      <c r="K42" s="2">
        <f>G42*5%</f>
        <v>30792.248</v>
      </c>
      <c r="L42" s="2">
        <f t="shared" ref="L42" si="20">ROUND(G42*$L$6,)</f>
        <v>0</v>
      </c>
      <c r="M42" s="2"/>
      <c r="N42" s="51">
        <f>H42</f>
        <v>110852.09279999998</v>
      </c>
      <c r="O42" s="2">
        <f>G42*15%</f>
        <v>92376.743999999992</v>
      </c>
      <c r="P42" s="2">
        <f>I42-SUM(J42:O42)</f>
        <v>486517.51839999994</v>
      </c>
      <c r="Q42" s="36"/>
      <c r="R42" s="2"/>
      <c r="S42" s="2"/>
      <c r="T42" s="2">
        <v>128453</v>
      </c>
      <c r="U42" s="2"/>
      <c r="V42" s="2">
        <f t="shared" si="19"/>
        <v>128453</v>
      </c>
      <c r="W42" s="11" t="s">
        <v>40</v>
      </c>
      <c r="X42" s="2"/>
    </row>
    <row r="43" spans="1:146" x14ac:dyDescent="0.3">
      <c r="A43" s="13">
        <v>57766</v>
      </c>
      <c r="B43" s="45" t="s">
        <v>7</v>
      </c>
      <c r="C43" s="82"/>
      <c r="D43" s="24">
        <v>25</v>
      </c>
      <c r="E43" s="2">
        <f>N42</f>
        <v>110852.09279999998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51">
        <f>E43</f>
        <v>110852.09279999998</v>
      </c>
      <c r="Q43" s="36"/>
      <c r="R43" s="2"/>
      <c r="S43" s="2"/>
      <c r="T43" s="2">
        <v>231216</v>
      </c>
      <c r="U43" s="2"/>
      <c r="V43" s="2">
        <f t="shared" ref="V43" si="21">T43-U43</f>
        <v>231216</v>
      </c>
      <c r="W43" s="11" t="s">
        <v>50</v>
      </c>
      <c r="X43" s="2"/>
    </row>
    <row r="44" spans="1:146" x14ac:dyDescent="0.3">
      <c r="A44" s="13">
        <v>57766</v>
      </c>
      <c r="B44" s="45"/>
      <c r="C44" s="82"/>
      <c r="D44" s="2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6"/>
      <c r="R44" s="2"/>
      <c r="S44" s="2"/>
      <c r="T44" s="2">
        <v>250000</v>
      </c>
      <c r="U44" s="2">
        <f>T44*$U$6</f>
        <v>2500</v>
      </c>
      <c r="V44" s="2">
        <f t="shared" ref="V44" si="22">T44-U44</f>
        <v>247500</v>
      </c>
      <c r="W44" s="11" t="s">
        <v>52</v>
      </c>
      <c r="X44" s="2"/>
    </row>
    <row r="45" spans="1:146" x14ac:dyDescent="0.3">
      <c r="A45" s="13">
        <v>57766</v>
      </c>
      <c r="B45" s="45"/>
      <c r="C45" s="82"/>
      <c r="D45" s="2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6"/>
      <c r="R45" s="2"/>
      <c r="S45" s="2"/>
      <c r="T45" s="2">
        <v>500000</v>
      </c>
      <c r="U45" s="2"/>
      <c r="V45" s="2">
        <v>495000</v>
      </c>
      <c r="W45" s="11" t="s">
        <v>58</v>
      </c>
      <c r="X45" s="2"/>
    </row>
    <row r="46" spans="1:146" x14ac:dyDescent="0.3">
      <c r="A46" s="13">
        <v>57766</v>
      </c>
      <c r="B46" s="45"/>
      <c r="C46" s="82"/>
      <c r="D46" s="2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6"/>
      <c r="R46" s="2"/>
      <c r="S46" s="2"/>
      <c r="T46" s="2"/>
      <c r="U46" s="2"/>
      <c r="V46" s="2"/>
      <c r="W46" s="11"/>
      <c r="X46" s="2"/>
    </row>
    <row r="47" spans="1:146" x14ac:dyDescent="0.2">
      <c r="A47" s="13">
        <v>57874</v>
      </c>
      <c r="B47" s="46"/>
      <c r="C47" s="79"/>
      <c r="D47" s="22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40">
        <v>57874</v>
      </c>
      <c r="R47" s="7"/>
      <c r="S47" s="7"/>
      <c r="T47" s="7"/>
      <c r="U47" s="7"/>
      <c r="V47" s="7"/>
      <c r="W47" s="15"/>
      <c r="X47" s="7"/>
    </row>
    <row r="48" spans="1:146" x14ac:dyDescent="0.2">
      <c r="A48" s="13">
        <v>57874</v>
      </c>
      <c r="B48" s="45" t="s">
        <v>104</v>
      </c>
      <c r="C48" s="82"/>
      <c r="D48" s="2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6"/>
      <c r="R48" s="2"/>
      <c r="S48" s="2"/>
      <c r="T48" s="2"/>
      <c r="U48" s="2"/>
      <c r="V48" s="2"/>
      <c r="W48" s="12"/>
      <c r="X48" s="2">
        <f>SUM(P48:P49)-SUM(V48:V49)</f>
        <v>0</v>
      </c>
    </row>
    <row r="49" spans="1:146" x14ac:dyDescent="0.2">
      <c r="A49" s="13">
        <v>57874</v>
      </c>
      <c r="B49" s="45"/>
      <c r="C49" s="82"/>
      <c r="D49" s="2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6"/>
      <c r="R49" s="2"/>
      <c r="S49" s="2"/>
      <c r="T49" s="2"/>
      <c r="U49" s="2"/>
      <c r="V49" s="2"/>
      <c r="W49" s="12"/>
      <c r="X49" s="2"/>
    </row>
    <row r="50" spans="1:146" s="6" customFormat="1" x14ac:dyDescent="0.3">
      <c r="A50" s="13">
        <v>58919</v>
      </c>
      <c r="B50" s="46"/>
      <c r="C50" s="79"/>
      <c r="D50" s="22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40">
        <v>58919</v>
      </c>
      <c r="R50" s="7"/>
      <c r="S50" s="7"/>
      <c r="T50" s="7"/>
      <c r="U50" s="7"/>
      <c r="V50" s="7"/>
      <c r="W50" s="13"/>
      <c r="X50" s="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</row>
    <row r="51" spans="1:146" x14ac:dyDescent="0.3">
      <c r="A51" s="13">
        <v>58919</v>
      </c>
      <c r="B51" s="45" t="s">
        <v>105</v>
      </c>
      <c r="C51" s="82">
        <v>45231</v>
      </c>
      <c r="D51" s="24">
        <v>19</v>
      </c>
      <c r="E51" s="2">
        <v>1732500</v>
      </c>
      <c r="F51" s="2">
        <f>537030+440847</f>
        <v>977877</v>
      </c>
      <c r="G51" s="2">
        <f>E51-F51</f>
        <v>754623</v>
      </c>
      <c r="H51" s="2">
        <f>G51*18%</f>
        <v>135832.13999999998</v>
      </c>
      <c r="I51" s="2">
        <f>G51+H51</f>
        <v>890455.14</v>
      </c>
      <c r="J51" s="2">
        <f>G51*1%</f>
        <v>7546.2300000000005</v>
      </c>
      <c r="K51" s="2">
        <f>G51*5%</f>
        <v>37731.15</v>
      </c>
      <c r="L51" s="2">
        <f t="shared" ref="L51:L54" si="23">ROUND(G51*$L$6,)</f>
        <v>0</v>
      </c>
      <c r="M51" s="51">
        <f>G51*10%</f>
        <v>75462.3</v>
      </c>
      <c r="N51" s="51">
        <v>135832</v>
      </c>
      <c r="O51" s="2"/>
      <c r="P51" s="2">
        <f>G51-J51-K51-M51</f>
        <v>633883.31999999995</v>
      </c>
      <c r="R51" s="2">
        <v>2475000</v>
      </c>
      <c r="S51" s="2">
        <f>R51-SUM(T51:T60)</f>
        <v>908655</v>
      </c>
      <c r="T51" s="2">
        <v>200000</v>
      </c>
      <c r="U51" s="2">
        <f>T51*$U$6</f>
        <v>2000</v>
      </c>
      <c r="V51" s="2">
        <f>T51-U51</f>
        <v>198000</v>
      </c>
      <c r="W51" s="14" t="s">
        <v>24</v>
      </c>
      <c r="X51" s="2">
        <f>SUM(P51:P60)-SUM(V51:V60)</f>
        <v>-181685.88329999987</v>
      </c>
    </row>
    <row r="52" spans="1:146" x14ac:dyDescent="0.3">
      <c r="A52" s="13">
        <v>58919</v>
      </c>
      <c r="B52" s="45" t="s">
        <v>47</v>
      </c>
      <c r="C52" s="82"/>
      <c r="D52" s="24">
        <v>19</v>
      </c>
      <c r="E52" s="2">
        <f>M51</f>
        <v>75462.3</v>
      </c>
      <c r="F52" s="2"/>
      <c r="G52" s="2"/>
      <c r="H52" s="2"/>
      <c r="I52" s="2"/>
      <c r="J52" s="2"/>
      <c r="K52" s="2"/>
      <c r="L52" s="2">
        <f t="shared" ref="L52:L53" si="24">ROUND(G52*$L$6,)</f>
        <v>0</v>
      </c>
      <c r="M52" s="2"/>
      <c r="N52" s="2"/>
      <c r="O52" s="2"/>
      <c r="P52" s="51">
        <f>E52</f>
        <v>75462.3</v>
      </c>
      <c r="Q52" s="36"/>
      <c r="R52" s="2"/>
      <c r="S52" s="2"/>
      <c r="T52" s="2">
        <v>200000</v>
      </c>
      <c r="U52" s="2">
        <f>T52*$U$6</f>
        <v>2000</v>
      </c>
      <c r="V52" s="2">
        <f t="shared" ref="V52:V55" si="25">T52-U52</f>
        <v>198000</v>
      </c>
      <c r="W52" s="11" t="s">
        <v>25</v>
      </c>
      <c r="X52" s="2"/>
    </row>
    <row r="53" spans="1:146" x14ac:dyDescent="0.3">
      <c r="A53" s="13">
        <v>58919</v>
      </c>
      <c r="B53" s="45"/>
      <c r="C53" s="82">
        <v>45339</v>
      </c>
      <c r="D53" s="24">
        <v>22</v>
      </c>
      <c r="E53" s="2">
        <f>C3*30%</f>
        <v>742500</v>
      </c>
      <c r="F53" s="2">
        <v>202312.89</v>
      </c>
      <c r="G53" s="2">
        <f>E53-F53</f>
        <v>540187.11</v>
      </c>
      <c r="H53" s="2">
        <f>G53*18%</f>
        <v>97233.679799999998</v>
      </c>
      <c r="I53" s="2">
        <f>G53+H53</f>
        <v>637420.78980000003</v>
      </c>
      <c r="J53" s="2">
        <f>G53*1%</f>
        <v>5401.8711000000003</v>
      </c>
      <c r="K53" s="2">
        <f>G53*5%</f>
        <v>27009.355500000001</v>
      </c>
      <c r="L53" s="2">
        <f t="shared" si="24"/>
        <v>0</v>
      </c>
      <c r="M53" s="2"/>
      <c r="N53" s="51">
        <f>H53</f>
        <v>97233.679799999998</v>
      </c>
      <c r="O53" s="2">
        <f>G53*15%</f>
        <v>81028.066500000001</v>
      </c>
      <c r="P53" s="2">
        <f>I53-SUM(J53:O53)</f>
        <v>426747.81690000003</v>
      </c>
      <c r="Q53" s="36"/>
      <c r="R53" s="2"/>
      <c r="S53" s="2"/>
      <c r="T53" s="2">
        <v>200000</v>
      </c>
      <c r="U53" s="2">
        <f>T53*$U$6</f>
        <v>2000</v>
      </c>
      <c r="V53" s="2">
        <f t="shared" si="25"/>
        <v>198000</v>
      </c>
      <c r="W53" s="11" t="s">
        <v>26</v>
      </c>
      <c r="X53" s="2"/>
    </row>
    <row r="54" spans="1:146" x14ac:dyDescent="0.3">
      <c r="A54" s="13">
        <v>58919</v>
      </c>
      <c r="B54" s="45" t="s">
        <v>7</v>
      </c>
      <c r="C54" s="82"/>
      <c r="D54" s="24">
        <v>19</v>
      </c>
      <c r="E54" s="2">
        <f>N51</f>
        <v>135832</v>
      </c>
      <c r="F54" s="2"/>
      <c r="G54" s="2"/>
      <c r="H54" s="2"/>
      <c r="I54" s="2"/>
      <c r="J54" s="2"/>
      <c r="K54" s="2"/>
      <c r="L54" s="2">
        <f t="shared" si="23"/>
        <v>0</v>
      </c>
      <c r="M54" s="2"/>
      <c r="N54" s="2"/>
      <c r="O54" s="2"/>
      <c r="P54" s="51">
        <f>E54</f>
        <v>135832</v>
      </c>
      <c r="Q54" s="36"/>
      <c r="R54" s="2"/>
      <c r="S54" s="2"/>
      <c r="T54" s="2">
        <v>100000</v>
      </c>
      <c r="U54" s="2">
        <f>T54*$U$6</f>
        <v>1000</v>
      </c>
      <c r="V54" s="2">
        <f t="shared" si="25"/>
        <v>99000</v>
      </c>
      <c r="W54" s="11" t="s">
        <v>27</v>
      </c>
      <c r="X54" s="2"/>
    </row>
    <row r="55" spans="1:146" x14ac:dyDescent="0.3">
      <c r="A55" s="13">
        <v>58919</v>
      </c>
      <c r="B55" s="45" t="s">
        <v>7</v>
      </c>
      <c r="C55" s="82"/>
      <c r="D55" s="24">
        <v>22</v>
      </c>
      <c r="E55" s="2">
        <f>N53</f>
        <v>97233.679799999998</v>
      </c>
      <c r="F55" s="2"/>
      <c r="G55" s="2"/>
      <c r="H55" s="2"/>
      <c r="I55" s="2"/>
      <c r="J55" s="2"/>
      <c r="K55" s="2"/>
      <c r="L55" s="2">
        <f t="shared" ref="L55" si="26">ROUND(G55*$L$6,)</f>
        <v>0</v>
      </c>
      <c r="M55" s="2"/>
      <c r="N55" s="2"/>
      <c r="O55" s="2"/>
      <c r="P55" s="51">
        <f>E55</f>
        <v>97233.679799999998</v>
      </c>
      <c r="Q55" s="36"/>
      <c r="R55" s="2"/>
      <c r="S55" s="2"/>
      <c r="T55" s="2">
        <v>16345</v>
      </c>
      <c r="U55" s="2"/>
      <c r="V55" s="2">
        <f t="shared" si="25"/>
        <v>16345</v>
      </c>
      <c r="W55" s="11" t="s">
        <v>39</v>
      </c>
      <c r="X55" s="2"/>
    </row>
    <row r="56" spans="1:146" x14ac:dyDescent="0.3">
      <c r="A56" s="13">
        <v>58919</v>
      </c>
      <c r="B56" s="45"/>
      <c r="C56" s="82"/>
      <c r="D56" s="2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6"/>
      <c r="R56" s="2"/>
      <c r="S56" s="2"/>
      <c r="T56" s="2">
        <v>100000</v>
      </c>
      <c r="U56" s="2"/>
      <c r="V56" s="2">
        <v>99000</v>
      </c>
      <c r="W56" s="11" t="s">
        <v>54</v>
      </c>
      <c r="X56" s="2"/>
    </row>
    <row r="57" spans="1:146" x14ac:dyDescent="0.3">
      <c r="A57" s="13">
        <v>58919</v>
      </c>
      <c r="B57" s="45"/>
      <c r="C57" s="82"/>
      <c r="D57" s="2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6"/>
      <c r="R57" s="2"/>
      <c r="S57" s="2"/>
      <c r="T57" s="2">
        <v>250000</v>
      </c>
      <c r="U57" s="2">
        <f t="shared" ref="U57" si="27">T57*$U$6</f>
        <v>2500</v>
      </c>
      <c r="V57" s="2">
        <f t="shared" ref="V57" si="28">T57-U57</f>
        <v>247500</v>
      </c>
      <c r="W57" s="11" t="s">
        <v>53</v>
      </c>
      <c r="X57" s="2"/>
    </row>
    <row r="58" spans="1:146" x14ac:dyDescent="0.3">
      <c r="A58" s="13">
        <v>58919</v>
      </c>
      <c r="B58" s="45"/>
      <c r="C58" s="82"/>
      <c r="D58" s="2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6"/>
      <c r="R58" s="2"/>
      <c r="S58" s="2"/>
      <c r="T58" s="2">
        <v>500000</v>
      </c>
      <c r="U58" s="2"/>
      <c r="V58" s="2">
        <v>495000</v>
      </c>
      <c r="W58" s="11" t="s">
        <v>55</v>
      </c>
      <c r="X58" s="2"/>
    </row>
    <row r="59" spans="1:146" x14ac:dyDescent="0.3">
      <c r="A59" s="13">
        <v>58919</v>
      </c>
      <c r="B59" s="45"/>
      <c r="C59" s="82"/>
      <c r="D59" s="2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6"/>
      <c r="R59" s="2"/>
      <c r="S59" s="2"/>
      <c r="T59" s="2"/>
      <c r="U59" s="2"/>
      <c r="V59" s="2"/>
      <c r="W59" s="11"/>
      <c r="X59" s="2"/>
    </row>
    <row r="60" spans="1:146" x14ac:dyDescent="0.3">
      <c r="A60" s="13">
        <v>58919</v>
      </c>
      <c r="B60" s="45"/>
      <c r="C60" s="82"/>
      <c r="D60" s="2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6"/>
      <c r="R60" s="2"/>
      <c r="S60" s="2"/>
      <c r="T60" s="2"/>
      <c r="U60" s="2"/>
      <c r="V60" s="2"/>
      <c r="W60" s="11"/>
      <c r="X60" s="2"/>
    </row>
    <row r="61" spans="1:146" s="6" customFormat="1" x14ac:dyDescent="0.3">
      <c r="A61" s="13">
        <v>58920</v>
      </c>
      <c r="B61" s="46"/>
      <c r="C61" s="79"/>
      <c r="D61" s="2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40">
        <v>58920</v>
      </c>
      <c r="R61" s="7"/>
      <c r="S61" s="7"/>
      <c r="T61" s="7"/>
      <c r="U61" s="7"/>
      <c r="V61" s="7"/>
      <c r="W61" s="13"/>
      <c r="X61" s="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</row>
    <row r="62" spans="1:146" x14ac:dyDescent="0.3">
      <c r="A62" s="13">
        <v>58920</v>
      </c>
      <c r="B62" s="44" t="s">
        <v>106</v>
      </c>
      <c r="C62" s="82">
        <v>45150</v>
      </c>
      <c r="D62" s="23">
        <v>12</v>
      </c>
      <c r="E62" s="2">
        <v>525000</v>
      </c>
      <c r="F62" s="2">
        <f>328503.61+22110</f>
        <v>350613.61</v>
      </c>
      <c r="G62" s="2">
        <f>ROUND(E62-F62,)</f>
        <v>174386</v>
      </c>
      <c r="H62" s="2">
        <f>G62*18%</f>
        <v>31389.48</v>
      </c>
      <c r="I62" s="2">
        <f>G62+H62</f>
        <v>205775.48</v>
      </c>
      <c r="J62" s="2">
        <f>ROUND(G62*$J$6,)</f>
        <v>1744</v>
      </c>
      <c r="K62" s="2">
        <f>(G62*$K$6)</f>
        <v>8719.3000000000011</v>
      </c>
      <c r="L62" s="2">
        <f>ROUND(G62*$L$6,)</f>
        <v>0</v>
      </c>
      <c r="M62" s="2">
        <v>0</v>
      </c>
      <c r="N62" s="51">
        <f>H62</f>
        <v>31389.48</v>
      </c>
      <c r="O62" s="2"/>
      <c r="P62" s="2">
        <f>ROUND(I62-SUM(J62:O62),0)</f>
        <v>163923</v>
      </c>
      <c r="Q62" s="36"/>
      <c r="R62" s="2">
        <v>3500000</v>
      </c>
      <c r="S62" s="2">
        <f>R62-SUM(T62:T71)</f>
        <v>1605382</v>
      </c>
      <c r="T62" s="2">
        <v>200000</v>
      </c>
      <c r="U62" s="2">
        <f>T62*$U$6</f>
        <v>2000</v>
      </c>
      <c r="V62" s="2">
        <f>T62-U62</f>
        <v>198000</v>
      </c>
      <c r="W62" s="14" t="s">
        <v>17</v>
      </c>
      <c r="X62" s="2">
        <f>SUM(P62:P71)-SUM(V62:V71)</f>
        <v>203242.93999999994</v>
      </c>
    </row>
    <row r="63" spans="1:146" x14ac:dyDescent="0.3">
      <c r="A63" s="13">
        <v>58920</v>
      </c>
      <c r="B63" s="44"/>
      <c r="C63" s="82">
        <v>45233</v>
      </c>
      <c r="D63" s="24">
        <v>21</v>
      </c>
      <c r="E63" s="2">
        <v>875000</v>
      </c>
      <c r="F63" s="2">
        <v>318806</v>
      </c>
      <c r="G63" s="2">
        <f>E63-F63</f>
        <v>556194</v>
      </c>
      <c r="H63" s="2">
        <f>G63*18%</f>
        <v>100114.92</v>
      </c>
      <c r="I63" s="2">
        <f>G63+H63</f>
        <v>656308.92000000004</v>
      </c>
      <c r="J63" s="2">
        <f>G63*1%</f>
        <v>5561.9400000000005</v>
      </c>
      <c r="K63" s="2">
        <f>G63*5%</f>
        <v>27809.7</v>
      </c>
      <c r="L63" s="2">
        <f>ROUND(G63*$L$6,)</f>
        <v>0</v>
      </c>
      <c r="M63" s="51">
        <f>G63*10%</f>
        <v>55619.4</v>
      </c>
      <c r="N63" s="51">
        <v>100115</v>
      </c>
      <c r="O63" s="2"/>
      <c r="P63" s="2">
        <f>ROUND(I63-SUM(J63:O63),0)</f>
        <v>467203</v>
      </c>
      <c r="Q63" s="36"/>
      <c r="R63" s="2"/>
      <c r="S63" s="2"/>
      <c r="T63" s="2">
        <v>150000</v>
      </c>
      <c r="U63" s="2">
        <f>T63*$U$6</f>
        <v>1500</v>
      </c>
      <c r="V63" s="2">
        <f t="shared" ref="V63:V66" si="29">T63-U63</f>
        <v>148500</v>
      </c>
      <c r="W63" s="11" t="s">
        <v>21</v>
      </c>
      <c r="X63" s="2"/>
    </row>
    <row r="64" spans="1:146" x14ac:dyDescent="0.3">
      <c r="A64" s="13">
        <v>58920</v>
      </c>
      <c r="B64" s="45" t="s">
        <v>7</v>
      </c>
      <c r="C64" s="80"/>
      <c r="D64" s="24">
        <v>12</v>
      </c>
      <c r="E64" s="2">
        <f>N62</f>
        <v>31389.48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51">
        <f>E64</f>
        <v>31389.48</v>
      </c>
      <c r="Q64" s="36"/>
      <c r="R64" s="2"/>
      <c r="S64" s="2"/>
      <c r="T64" s="2">
        <v>150000</v>
      </c>
      <c r="U64" s="2">
        <f t="shared" ref="U64:U65" si="30">T64*$U$6</f>
        <v>1500</v>
      </c>
      <c r="V64" s="2">
        <f t="shared" si="29"/>
        <v>148500</v>
      </c>
      <c r="W64" s="11" t="s">
        <v>35</v>
      </c>
      <c r="X64" s="2"/>
    </row>
    <row r="65" spans="1:146" x14ac:dyDescent="0.3">
      <c r="A65" s="13">
        <v>58920</v>
      </c>
      <c r="B65" s="45" t="s">
        <v>47</v>
      </c>
      <c r="C65" s="82"/>
      <c r="D65" s="24"/>
      <c r="E65" s="2">
        <f>M63</f>
        <v>55619.4</v>
      </c>
      <c r="F65" s="2"/>
      <c r="G65" s="2"/>
      <c r="H65" s="2"/>
      <c r="I65" s="2"/>
      <c r="J65" s="2"/>
      <c r="K65" s="2"/>
      <c r="L65" s="2">
        <f>ROUND(G65*$L$6,)</f>
        <v>0</v>
      </c>
      <c r="M65" s="2"/>
      <c r="N65" s="2"/>
      <c r="O65" s="2"/>
      <c r="P65" s="51">
        <f>E65</f>
        <v>55619.4</v>
      </c>
      <c r="Q65" s="36"/>
      <c r="R65" s="2"/>
      <c r="S65" s="2"/>
      <c r="T65" s="2">
        <v>300000</v>
      </c>
      <c r="U65" s="2">
        <f t="shared" si="30"/>
        <v>3000</v>
      </c>
      <c r="V65" s="2">
        <f t="shared" si="29"/>
        <v>297000</v>
      </c>
      <c r="W65" s="11" t="s">
        <v>36</v>
      </c>
      <c r="X65" s="2"/>
    </row>
    <row r="66" spans="1:146" x14ac:dyDescent="0.3">
      <c r="A66" s="13">
        <v>58920</v>
      </c>
      <c r="B66" s="44"/>
      <c r="C66" s="82">
        <v>45343</v>
      </c>
      <c r="D66" s="24">
        <v>24</v>
      </c>
      <c r="E66" s="2">
        <v>1225000</v>
      </c>
      <c r="F66" s="2">
        <v>376904</v>
      </c>
      <c r="G66" s="2">
        <f>E66-F66</f>
        <v>848096</v>
      </c>
      <c r="H66" s="2">
        <f>G66*18%</f>
        <v>152657.28</v>
      </c>
      <c r="I66" s="2">
        <f>G66+H66</f>
        <v>1000753.28</v>
      </c>
      <c r="J66" s="2">
        <f>G66*1%</f>
        <v>8480.9600000000009</v>
      </c>
      <c r="K66" s="2">
        <f>G66*5%</f>
        <v>42404.800000000003</v>
      </c>
      <c r="L66" s="2">
        <f t="shared" ref="L66" si="31">ROUND(G66*$L$6,)</f>
        <v>0</v>
      </c>
      <c r="M66" s="2">
        <v>0</v>
      </c>
      <c r="N66" s="51">
        <f>H66</f>
        <v>152657.28</v>
      </c>
      <c r="O66" s="2"/>
      <c r="P66" s="2">
        <f>ROUND(I66-SUM(J66:O66),0)</f>
        <v>797210</v>
      </c>
      <c r="Q66" s="36"/>
      <c r="R66" s="2"/>
      <c r="S66" s="2"/>
      <c r="T66" s="2">
        <v>31389</v>
      </c>
      <c r="U66" s="2">
        <v>0</v>
      </c>
      <c r="V66" s="2">
        <f t="shared" si="29"/>
        <v>31389</v>
      </c>
      <c r="W66" s="11" t="s">
        <v>49</v>
      </c>
      <c r="X66" s="2"/>
    </row>
    <row r="67" spans="1:146" x14ac:dyDescent="0.3">
      <c r="A67" s="13">
        <v>58920</v>
      </c>
      <c r="B67" s="45" t="s">
        <v>7</v>
      </c>
      <c r="C67" s="82"/>
      <c r="D67" s="24">
        <v>21</v>
      </c>
      <c r="E67" s="2">
        <f>N63</f>
        <v>100115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51">
        <f>E67</f>
        <v>100115</v>
      </c>
      <c r="Q67" s="36"/>
      <c r="R67" s="2"/>
      <c r="S67" s="2"/>
      <c r="T67" s="2">
        <v>300000</v>
      </c>
      <c r="U67" s="2"/>
      <c r="V67" s="2">
        <v>297000</v>
      </c>
      <c r="W67" s="11" t="s">
        <v>62</v>
      </c>
      <c r="X67" s="2"/>
    </row>
    <row r="68" spans="1:146" x14ac:dyDescent="0.3">
      <c r="A68" s="13">
        <v>58920</v>
      </c>
      <c r="B68" s="44"/>
      <c r="C68" s="82">
        <v>45518</v>
      </c>
      <c r="D68" s="24">
        <v>5</v>
      </c>
      <c r="E68" s="2">
        <v>525000</v>
      </c>
      <c r="F68" s="2">
        <v>243979</v>
      </c>
      <c r="G68" s="2">
        <f>E68-F68</f>
        <v>281021</v>
      </c>
      <c r="H68" s="2">
        <f>G68*18%</f>
        <v>50583.78</v>
      </c>
      <c r="I68" s="2">
        <f>G68+H68</f>
        <v>331604.78000000003</v>
      </c>
      <c r="J68" s="2">
        <f>G68*1%</f>
        <v>2810.21</v>
      </c>
      <c r="K68" s="2">
        <f>G68*5%</f>
        <v>14051.050000000001</v>
      </c>
      <c r="L68" s="2">
        <f t="shared" ref="L68" si="32">ROUND(G68*$L$6,)</f>
        <v>0</v>
      </c>
      <c r="M68" s="2">
        <v>0</v>
      </c>
      <c r="N68" s="51">
        <f>H68</f>
        <v>50583.78</v>
      </c>
      <c r="O68" s="2"/>
      <c r="P68" s="2">
        <f>ROUND(I68-SUM(J68:O68),0)</f>
        <v>264160</v>
      </c>
      <c r="Q68" s="50"/>
      <c r="R68" s="2"/>
      <c r="S68" s="2"/>
      <c r="T68" s="1">
        <v>400000</v>
      </c>
      <c r="U68" s="2"/>
      <c r="V68" s="2">
        <v>396000</v>
      </c>
      <c r="W68" s="11" t="s">
        <v>64</v>
      </c>
      <c r="X68" s="2"/>
    </row>
    <row r="69" spans="1:146" x14ac:dyDescent="0.3">
      <c r="A69" s="13">
        <v>58920</v>
      </c>
      <c r="B69" s="45" t="s">
        <v>7</v>
      </c>
      <c r="C69" s="82"/>
      <c r="D69" s="24">
        <v>24</v>
      </c>
      <c r="E69" s="2">
        <f>N66</f>
        <v>152657.28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51">
        <f>E69</f>
        <v>152657.28</v>
      </c>
      <c r="Q69" s="36"/>
      <c r="R69" s="2"/>
      <c r="S69" s="2"/>
      <c r="T69" s="2">
        <v>100115</v>
      </c>
      <c r="U69" s="2"/>
      <c r="V69" s="2">
        <v>100115</v>
      </c>
      <c r="W69" s="11" t="s">
        <v>70</v>
      </c>
      <c r="X69" s="2"/>
    </row>
    <row r="70" spans="1:146" x14ac:dyDescent="0.3">
      <c r="A70" s="13">
        <v>58920</v>
      </c>
      <c r="B70" s="45" t="s">
        <v>7</v>
      </c>
      <c r="C70" s="82"/>
      <c r="D70" s="24">
        <v>5</v>
      </c>
      <c r="E70" s="2">
        <f>N68</f>
        <v>50583.78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51">
        <f>E70</f>
        <v>50583.78</v>
      </c>
      <c r="Q70" s="36"/>
      <c r="R70" s="2"/>
      <c r="S70" s="2"/>
      <c r="T70" s="2">
        <v>263114</v>
      </c>
      <c r="U70" s="2"/>
      <c r="V70" s="2">
        <v>263114</v>
      </c>
      <c r="W70" s="11" t="s">
        <v>71</v>
      </c>
      <c r="X70" s="2"/>
    </row>
    <row r="71" spans="1:146" x14ac:dyDescent="0.3">
      <c r="A71" s="13">
        <v>58920</v>
      </c>
      <c r="B71" s="45"/>
      <c r="C71" s="82"/>
      <c r="D71" s="2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6"/>
      <c r="R71" s="2"/>
      <c r="S71" s="2"/>
      <c r="T71" s="2"/>
      <c r="U71" s="2"/>
      <c r="V71" s="2"/>
      <c r="W71" s="11"/>
      <c r="X71" s="2"/>
    </row>
    <row r="72" spans="1:146" s="6" customFormat="1" x14ac:dyDescent="0.2">
      <c r="A72" s="13">
        <v>60071</v>
      </c>
      <c r="B72" s="46"/>
      <c r="C72" s="79"/>
      <c r="D72" s="2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40">
        <v>60071</v>
      </c>
      <c r="R72" s="7"/>
      <c r="S72" s="7"/>
      <c r="T72" s="7"/>
      <c r="U72" s="7"/>
      <c r="V72" s="7"/>
      <c r="W72" s="15"/>
      <c r="X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</row>
    <row r="73" spans="1:146" x14ac:dyDescent="0.3">
      <c r="A73" s="13">
        <v>60071</v>
      </c>
      <c r="B73" s="45" t="s">
        <v>107</v>
      </c>
      <c r="C73" s="82">
        <v>45232</v>
      </c>
      <c r="D73" s="24">
        <v>20</v>
      </c>
      <c r="E73" s="2">
        <v>579563</v>
      </c>
      <c r="F73" s="2">
        <v>225200</v>
      </c>
      <c r="G73" s="2">
        <f>E73-F73</f>
        <v>354363</v>
      </c>
      <c r="H73" s="2">
        <f>G73*18%</f>
        <v>63785.34</v>
      </c>
      <c r="I73" s="2">
        <f>G73+H73</f>
        <v>418148.33999999997</v>
      </c>
      <c r="J73" s="2">
        <f>I73*1%</f>
        <v>4181.4834000000001</v>
      </c>
      <c r="K73" s="2">
        <f>I73*5%</f>
        <v>20907.417000000001</v>
      </c>
      <c r="L73" s="2"/>
      <c r="M73" s="51">
        <f>G73*10%</f>
        <v>35436.300000000003</v>
      </c>
      <c r="N73" s="51">
        <v>63785</v>
      </c>
      <c r="O73" s="2"/>
      <c r="P73" s="2">
        <v>297665</v>
      </c>
      <c r="Q73" s="36"/>
      <c r="R73" s="2">
        <v>3863750</v>
      </c>
      <c r="S73" s="2">
        <f>R73-SUM(T73:T76)</f>
        <v>3528649</v>
      </c>
      <c r="T73" s="2">
        <v>200000</v>
      </c>
      <c r="U73" s="2">
        <f>T73*$U$6</f>
        <v>2000</v>
      </c>
      <c r="V73" s="2">
        <f>T73-U73</f>
        <v>198000</v>
      </c>
      <c r="W73" s="11" t="s">
        <v>33</v>
      </c>
      <c r="X73" s="2">
        <f>SUM(P73:P76)-SUM(V73:V76)</f>
        <v>63785.299999999988</v>
      </c>
    </row>
    <row r="74" spans="1:146" x14ac:dyDescent="0.3">
      <c r="A74" s="13">
        <v>60071</v>
      </c>
      <c r="B74" s="45" t="s">
        <v>47</v>
      </c>
      <c r="C74" s="82"/>
      <c r="D74" s="24">
        <v>20</v>
      </c>
      <c r="E74" s="2">
        <f>M73</f>
        <v>35436.300000000003</v>
      </c>
      <c r="F74" s="2"/>
      <c r="G74" s="2"/>
      <c r="H74" s="2"/>
      <c r="I74" s="2"/>
      <c r="J74" s="2"/>
      <c r="K74" s="2"/>
      <c r="L74" s="2">
        <f t="shared" ref="L74" si="33">ROUND(G74*$L$6,)</f>
        <v>0</v>
      </c>
      <c r="M74" s="2"/>
      <c r="N74" s="2"/>
      <c r="O74" s="2"/>
      <c r="P74" s="51">
        <f>E74</f>
        <v>35436.300000000003</v>
      </c>
      <c r="Q74" s="36"/>
      <c r="R74" s="2"/>
      <c r="S74" s="2"/>
      <c r="T74" s="2">
        <v>99665</v>
      </c>
      <c r="U74" s="2"/>
      <c r="V74" s="2">
        <f t="shared" ref="V74:V75" si="34">T74-U74</f>
        <v>99665</v>
      </c>
      <c r="W74" s="11" t="s">
        <v>34</v>
      </c>
      <c r="X74" s="2"/>
    </row>
    <row r="75" spans="1:146" x14ac:dyDescent="0.3">
      <c r="A75" s="13">
        <v>60071</v>
      </c>
      <c r="B75" s="45" t="s">
        <v>7</v>
      </c>
      <c r="C75" s="82"/>
      <c r="D75" s="24">
        <v>20</v>
      </c>
      <c r="E75" s="2">
        <f>N73</f>
        <v>63785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51">
        <f>E75</f>
        <v>63785</v>
      </c>
      <c r="Q75" s="36"/>
      <c r="R75" s="2"/>
      <c r="S75" s="2"/>
      <c r="T75" s="2">
        <v>35436</v>
      </c>
      <c r="U75" s="2"/>
      <c r="V75" s="2">
        <f t="shared" si="34"/>
        <v>35436</v>
      </c>
      <c r="W75" s="11" t="s">
        <v>42</v>
      </c>
      <c r="X75" s="2"/>
    </row>
    <row r="76" spans="1:146" x14ac:dyDescent="0.2">
      <c r="A76" s="13">
        <v>60071</v>
      </c>
      <c r="B76" s="45"/>
      <c r="C76" s="82"/>
      <c r="D76" s="2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6"/>
      <c r="R76" s="2"/>
      <c r="S76" s="2"/>
      <c r="T76" s="2"/>
      <c r="U76" s="2"/>
      <c r="V76" s="2"/>
      <c r="W76" s="12"/>
      <c r="X76" s="2"/>
    </row>
    <row r="77" spans="1:146" x14ac:dyDescent="0.2">
      <c r="A77" s="13">
        <v>60429</v>
      </c>
      <c r="B77" s="46"/>
      <c r="C77" s="79"/>
      <c r="D77" s="22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40">
        <v>60429</v>
      </c>
      <c r="R77" s="7"/>
      <c r="S77" s="7"/>
      <c r="T77" s="7"/>
      <c r="U77" s="7"/>
      <c r="V77" s="7"/>
      <c r="W77" s="15"/>
      <c r="X77" s="7"/>
    </row>
    <row r="78" spans="1:146" x14ac:dyDescent="0.3">
      <c r="A78" s="13">
        <v>60429</v>
      </c>
      <c r="B78" s="45" t="s">
        <v>108</v>
      </c>
      <c r="C78" s="82">
        <v>45449</v>
      </c>
      <c r="D78" s="24">
        <v>1</v>
      </c>
      <c r="E78" s="2">
        <v>2360000</v>
      </c>
      <c r="F78" s="2">
        <v>810968</v>
      </c>
      <c r="G78" s="2">
        <f>E78-F78</f>
        <v>1549032</v>
      </c>
      <c r="H78" s="2">
        <f>G78*18%</f>
        <v>278825.76</v>
      </c>
      <c r="I78" s="2">
        <f>G78+H78</f>
        <v>1827857.76</v>
      </c>
      <c r="J78" s="2">
        <f>G78*1%</f>
        <v>15490.32</v>
      </c>
      <c r="K78" s="2">
        <f>G78*5%</f>
        <v>77451.600000000006</v>
      </c>
      <c r="L78" s="2"/>
      <c r="M78" s="2">
        <v>0</v>
      </c>
      <c r="N78" s="51">
        <f>H78</f>
        <v>278825.76</v>
      </c>
      <c r="O78" s="2"/>
      <c r="P78" s="2">
        <f>I78-SUM(J78:O78)</f>
        <v>1456090.08</v>
      </c>
      <c r="Q78" s="36"/>
      <c r="R78" s="2">
        <v>5900000</v>
      </c>
      <c r="S78" s="2">
        <f>R78-SUM(T78:T84)</f>
        <v>2850000</v>
      </c>
      <c r="T78" s="2">
        <v>400000</v>
      </c>
      <c r="U78" s="2">
        <f>T78*$U$6</f>
        <v>4000</v>
      </c>
      <c r="V78" s="2">
        <f>T78-U78</f>
        <v>396000</v>
      </c>
      <c r="W78" s="11" t="s">
        <v>37</v>
      </c>
      <c r="X78" s="2">
        <f>SUM(P78:P85)-SUM(V78:V85)</f>
        <v>566688.65919999965</v>
      </c>
    </row>
    <row r="79" spans="1:146" x14ac:dyDescent="0.3">
      <c r="A79" s="13">
        <v>60429</v>
      </c>
      <c r="B79" s="45" t="s">
        <v>108</v>
      </c>
      <c r="C79" s="82">
        <v>45511</v>
      </c>
      <c r="D79" s="24">
        <v>3</v>
      </c>
      <c r="E79" s="2">
        <v>295000</v>
      </c>
      <c r="F79" s="2">
        <v>150470</v>
      </c>
      <c r="G79" s="2">
        <f>E79-F79</f>
        <v>144530</v>
      </c>
      <c r="H79" s="2">
        <f>G79*18%</f>
        <v>26015.399999999998</v>
      </c>
      <c r="I79" s="2">
        <f>G79+H79</f>
        <v>170545.4</v>
      </c>
      <c r="J79" s="2">
        <f>G79*1%</f>
        <v>1445.3</v>
      </c>
      <c r="K79" s="2">
        <f>G79*5%</f>
        <v>7226.5</v>
      </c>
      <c r="L79" s="2"/>
      <c r="M79" s="2">
        <v>0</v>
      </c>
      <c r="N79" s="51">
        <f>H79</f>
        <v>26015.399999999998</v>
      </c>
      <c r="O79" s="2"/>
      <c r="P79" s="2">
        <f>I79-SUM(J79:O79)</f>
        <v>135858.20000000001</v>
      </c>
      <c r="Q79" s="36"/>
      <c r="R79" s="2"/>
      <c r="S79" s="2"/>
      <c r="T79" s="2">
        <v>200000</v>
      </c>
      <c r="U79" s="2">
        <v>2000</v>
      </c>
      <c r="V79" s="2">
        <v>198000</v>
      </c>
      <c r="W79" s="11" t="s">
        <v>66</v>
      </c>
      <c r="X79" s="2"/>
    </row>
    <row r="80" spans="1:146" x14ac:dyDescent="0.3">
      <c r="A80" s="13">
        <v>60429</v>
      </c>
      <c r="B80" s="45" t="s">
        <v>7</v>
      </c>
      <c r="C80" s="82">
        <v>45481</v>
      </c>
      <c r="D80" s="24">
        <v>3</v>
      </c>
      <c r="E80" s="2">
        <f>N79</f>
        <v>26015.399999999998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51">
        <f>E80</f>
        <v>26015.399999999998</v>
      </c>
      <c r="Q80" s="36"/>
      <c r="R80" s="2"/>
      <c r="S80" s="2"/>
      <c r="T80" s="2">
        <v>600000</v>
      </c>
      <c r="U80" s="2">
        <v>6000</v>
      </c>
      <c r="V80" s="2">
        <v>594000</v>
      </c>
      <c r="W80" s="11" t="s">
        <v>80</v>
      </c>
      <c r="X80" s="2"/>
    </row>
    <row r="81" spans="1:24" x14ac:dyDescent="0.3">
      <c r="A81" s="13">
        <v>60429</v>
      </c>
      <c r="B81" s="45" t="s">
        <v>108</v>
      </c>
      <c r="C81" s="82">
        <v>45590</v>
      </c>
      <c r="D81" s="24">
        <v>11</v>
      </c>
      <c r="E81" s="2">
        <v>590000</v>
      </c>
      <c r="F81" s="2">
        <v>169544.84</v>
      </c>
      <c r="G81" s="2">
        <f>E81-F81</f>
        <v>420455.16000000003</v>
      </c>
      <c r="H81" s="2">
        <f>G81*18%</f>
        <v>75681.928800000009</v>
      </c>
      <c r="I81" s="2">
        <f>G81+H81</f>
        <v>496137.08880000003</v>
      </c>
      <c r="J81" s="2">
        <f>G81*1%</f>
        <v>4204.5516000000007</v>
      </c>
      <c r="K81" s="2">
        <f>G81*5%</f>
        <v>21022.758000000002</v>
      </c>
      <c r="L81" s="2"/>
      <c r="M81" s="2">
        <v>0</v>
      </c>
      <c r="N81" s="51">
        <f>H81</f>
        <v>75681.928800000009</v>
      </c>
      <c r="O81" s="2"/>
      <c r="P81" s="2">
        <f>I81-SUM(J81:O81)</f>
        <v>395227.8504</v>
      </c>
      <c r="Q81" s="60"/>
      <c r="R81" s="2"/>
      <c r="S81" s="2"/>
      <c r="T81" s="2">
        <v>450000</v>
      </c>
      <c r="U81" s="2">
        <f>T81-V81</f>
        <v>4500</v>
      </c>
      <c r="V81" s="2">
        <v>445500</v>
      </c>
      <c r="W81" s="11" t="s">
        <v>83</v>
      </c>
      <c r="X81" s="2"/>
    </row>
    <row r="82" spans="1:24" x14ac:dyDescent="0.3">
      <c r="A82" s="13">
        <v>60429</v>
      </c>
      <c r="B82" s="45" t="s">
        <v>108</v>
      </c>
      <c r="C82" s="82">
        <v>45590</v>
      </c>
      <c r="D82" s="24">
        <v>12</v>
      </c>
      <c r="E82" s="2">
        <v>885000</v>
      </c>
      <c r="F82" s="2">
        <v>0</v>
      </c>
      <c r="G82" s="2">
        <f>E82-F82</f>
        <v>885000</v>
      </c>
      <c r="H82" s="2">
        <f>G82*18%</f>
        <v>159300</v>
      </c>
      <c r="I82" s="2">
        <f>G82+H82</f>
        <v>1044300</v>
      </c>
      <c r="J82" s="2">
        <f>G82*1%</f>
        <v>8850</v>
      </c>
      <c r="K82" s="2">
        <f>G82*5%</f>
        <v>44250</v>
      </c>
      <c r="L82" s="2"/>
      <c r="M82" s="2">
        <v>0</v>
      </c>
      <c r="N82" s="51">
        <f>H82</f>
        <v>159300</v>
      </c>
      <c r="O82" s="2"/>
      <c r="P82" s="2">
        <f>I82-SUM(J82:O82)</f>
        <v>831900</v>
      </c>
      <c r="Q82" s="60"/>
      <c r="R82" s="2"/>
      <c r="S82" s="2"/>
      <c r="T82" s="2">
        <v>350000</v>
      </c>
      <c r="U82" s="2">
        <f t="shared" ref="U82:U83" si="35">T82-V82</f>
        <v>3500</v>
      </c>
      <c r="V82" s="2">
        <v>346500</v>
      </c>
      <c r="W82" s="11" t="s">
        <v>84</v>
      </c>
      <c r="X82" s="2"/>
    </row>
    <row r="83" spans="1:24" x14ac:dyDescent="0.3">
      <c r="A83" s="13">
        <v>60429</v>
      </c>
      <c r="B83" s="45" t="s">
        <v>108</v>
      </c>
      <c r="C83" s="82">
        <v>45609</v>
      </c>
      <c r="D83" s="24">
        <v>13</v>
      </c>
      <c r="E83" s="2">
        <v>295000</v>
      </c>
      <c r="F83" s="2">
        <v>92063</v>
      </c>
      <c r="G83" s="2">
        <f>E83-F83</f>
        <v>202937</v>
      </c>
      <c r="H83" s="2">
        <f>G83*18%</f>
        <v>36528.659999999996</v>
      </c>
      <c r="I83" s="2">
        <f>G83+H83</f>
        <v>239465.66</v>
      </c>
      <c r="J83" s="2">
        <f>G83*1%</f>
        <v>2029.3700000000001</v>
      </c>
      <c r="K83" s="2">
        <f>G83*5%</f>
        <v>10146.85</v>
      </c>
      <c r="L83" s="2"/>
      <c r="M83" s="2">
        <v>0</v>
      </c>
      <c r="N83" s="51">
        <f>H83</f>
        <v>36528.659999999996</v>
      </c>
      <c r="O83" s="2"/>
      <c r="P83" s="2">
        <f>I83-SUM(J83:O83)</f>
        <v>190760.78</v>
      </c>
      <c r="Q83" s="60"/>
      <c r="R83" s="2"/>
      <c r="S83" s="2"/>
      <c r="T83" s="2">
        <v>300000</v>
      </c>
      <c r="U83" s="2">
        <f t="shared" si="35"/>
        <v>3000</v>
      </c>
      <c r="V83" s="2">
        <v>297000</v>
      </c>
      <c r="W83" s="11" t="s">
        <v>86</v>
      </c>
      <c r="X83" s="2"/>
    </row>
    <row r="84" spans="1:24" x14ac:dyDescent="0.3">
      <c r="A84" s="13">
        <v>60429</v>
      </c>
      <c r="B84" s="45" t="s">
        <v>7</v>
      </c>
      <c r="C84" s="82"/>
      <c r="D84" s="24" t="s">
        <v>89</v>
      </c>
      <c r="E84" s="2">
        <f>N78+N81+N83</f>
        <v>391036.34879999998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51">
        <f>E84</f>
        <v>391036.34879999998</v>
      </c>
      <c r="Q84" s="60"/>
      <c r="R84" s="2"/>
      <c r="S84" s="2"/>
      <c r="T84" s="2">
        <v>750000</v>
      </c>
      <c r="U84" s="2">
        <f>T84-V84</f>
        <v>7500</v>
      </c>
      <c r="V84" s="2">
        <v>742500</v>
      </c>
      <c r="W84" s="11" t="s">
        <v>88</v>
      </c>
      <c r="X84" s="2"/>
    </row>
    <row r="85" spans="1:24" x14ac:dyDescent="0.3">
      <c r="A85" s="13">
        <v>60429</v>
      </c>
      <c r="B85" s="45" t="s">
        <v>7</v>
      </c>
      <c r="C85" s="82"/>
      <c r="D85" s="24">
        <v>12</v>
      </c>
      <c r="E85" s="2">
        <f>N82</f>
        <v>159300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51">
        <f>E85</f>
        <v>159300</v>
      </c>
      <c r="Q85" s="60"/>
      <c r="R85" s="2"/>
      <c r="S85" s="2"/>
      <c r="T85" s="2"/>
      <c r="U85" s="2"/>
      <c r="V85" s="2"/>
      <c r="W85" s="11"/>
      <c r="X85" s="2"/>
    </row>
    <row r="86" spans="1:24" x14ac:dyDescent="0.2">
      <c r="A86" s="13">
        <v>64751</v>
      </c>
      <c r="B86" s="46"/>
      <c r="C86" s="79"/>
      <c r="D86" s="22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40">
        <v>64751</v>
      </c>
      <c r="R86" s="7"/>
      <c r="S86" s="7"/>
      <c r="T86" s="7"/>
      <c r="U86" s="7"/>
      <c r="V86" s="7"/>
      <c r="W86" s="15"/>
      <c r="X86" s="7"/>
    </row>
    <row r="87" spans="1:24" x14ac:dyDescent="0.3">
      <c r="A87" s="13">
        <v>64751</v>
      </c>
      <c r="B87" s="49" t="s">
        <v>109</v>
      </c>
      <c r="C87" s="82">
        <v>45475</v>
      </c>
      <c r="D87" s="24">
        <v>2</v>
      </c>
      <c r="E87" s="2">
        <v>703125</v>
      </c>
      <c r="F87" s="2">
        <v>319326</v>
      </c>
      <c r="G87" s="2">
        <f>E87-F87</f>
        <v>383799</v>
      </c>
      <c r="H87" s="2">
        <f>G87*18%</f>
        <v>69083.819999999992</v>
      </c>
      <c r="I87" s="2">
        <f>G87+H87</f>
        <v>452882.82</v>
      </c>
      <c r="J87" s="2">
        <f>G87*1%</f>
        <v>3837.9900000000002</v>
      </c>
      <c r="K87" s="2">
        <f>G87*5%</f>
        <v>19189.95</v>
      </c>
      <c r="L87" s="2"/>
      <c r="M87" s="2">
        <v>0</v>
      </c>
      <c r="N87" s="51">
        <f>H87</f>
        <v>69083.819999999992</v>
      </c>
      <c r="O87" s="2"/>
      <c r="P87" s="2">
        <f>I87-SUM(J87:O87)</f>
        <v>360771.06</v>
      </c>
      <c r="Q87" s="36"/>
      <c r="R87" s="2">
        <v>4687500</v>
      </c>
      <c r="S87" s="2">
        <f>R87-SUM(T87:T90)</f>
        <v>4687500</v>
      </c>
      <c r="T87" s="2"/>
      <c r="U87" s="2"/>
      <c r="V87" s="2">
        <v>360771</v>
      </c>
      <c r="W87" s="11" t="s">
        <v>65</v>
      </c>
      <c r="X87" s="2">
        <f>SUM(P87:P94)-SUM(V87:V94)</f>
        <v>466506.9972000001</v>
      </c>
    </row>
    <row r="88" spans="1:24" x14ac:dyDescent="0.3">
      <c r="A88" s="13">
        <v>64751</v>
      </c>
      <c r="B88" s="49" t="s">
        <v>77</v>
      </c>
      <c r="C88" s="82">
        <v>45475</v>
      </c>
      <c r="D88" s="24">
        <v>2</v>
      </c>
      <c r="E88" s="2">
        <f>N87</f>
        <v>69083.819999999992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51">
        <f>E88</f>
        <v>69083.819999999992</v>
      </c>
      <c r="Q88" s="36"/>
      <c r="R88" s="2"/>
      <c r="S88" s="2"/>
      <c r="T88" s="2"/>
      <c r="U88" s="2"/>
      <c r="V88" s="2">
        <v>99000</v>
      </c>
      <c r="W88" s="11" t="s">
        <v>68</v>
      </c>
      <c r="X88" s="2"/>
    </row>
    <row r="89" spans="1:24" x14ac:dyDescent="0.3">
      <c r="A89" s="13">
        <v>64751</v>
      </c>
      <c r="B89" s="49" t="s">
        <v>109</v>
      </c>
      <c r="C89" s="82">
        <v>45590</v>
      </c>
      <c r="D89" s="24">
        <v>10</v>
      </c>
      <c r="E89" s="2">
        <v>1406250</v>
      </c>
      <c r="F89" s="2">
        <v>324722.37</v>
      </c>
      <c r="G89" s="2">
        <f>E89-F89</f>
        <v>1081527.6299999999</v>
      </c>
      <c r="H89" s="2">
        <f>G89*18%</f>
        <v>194674.97339999996</v>
      </c>
      <c r="I89" s="2">
        <f>G89+H89</f>
        <v>1276202.6033999999</v>
      </c>
      <c r="J89" s="2">
        <f>G89*1%</f>
        <v>10815.2763</v>
      </c>
      <c r="K89" s="2">
        <f>G89*5%</f>
        <v>54076.381499999996</v>
      </c>
      <c r="L89" s="2"/>
      <c r="M89" s="2">
        <v>0</v>
      </c>
      <c r="N89" s="51">
        <f>H89</f>
        <v>194674.97339999996</v>
      </c>
      <c r="O89" s="2"/>
      <c r="P89" s="2">
        <f>I89-SUM(J89:O89)</f>
        <v>1016635.9722</v>
      </c>
      <c r="Q89" s="60"/>
      <c r="R89" s="2"/>
      <c r="S89" s="2"/>
      <c r="T89" s="2"/>
      <c r="U89" s="2"/>
      <c r="V89" s="2">
        <v>297000</v>
      </c>
      <c r="W89" s="11" t="s">
        <v>78</v>
      </c>
      <c r="X89" s="2"/>
    </row>
    <row r="90" spans="1:24" x14ac:dyDescent="0.3">
      <c r="A90" s="13">
        <v>64751</v>
      </c>
      <c r="B90" s="49" t="s">
        <v>109</v>
      </c>
      <c r="C90" s="82">
        <v>45664</v>
      </c>
      <c r="D90" s="24">
        <v>15</v>
      </c>
      <c r="E90" s="2">
        <v>1406250</v>
      </c>
      <c r="F90" s="2">
        <v>220397</v>
      </c>
      <c r="G90" s="2">
        <f>E90-F90</f>
        <v>1185853</v>
      </c>
      <c r="H90" s="2">
        <f>G90*18%</f>
        <v>213453.53999999998</v>
      </c>
      <c r="I90" s="2">
        <f>G90+H90</f>
        <v>1399306.54</v>
      </c>
      <c r="J90" s="2">
        <f>G90*1%</f>
        <v>11858.53</v>
      </c>
      <c r="K90" s="2">
        <f>G90*5%</f>
        <v>59292.65</v>
      </c>
      <c r="L90" s="2"/>
      <c r="M90" s="2">
        <v>0</v>
      </c>
      <c r="N90" s="62">
        <f>H90</f>
        <v>213453.53999999998</v>
      </c>
      <c r="O90" s="2"/>
      <c r="P90" s="2">
        <f>I90-SUM(J90:O90)</f>
        <v>1114701.82</v>
      </c>
      <c r="Q90" s="36"/>
      <c r="R90" s="2"/>
      <c r="S90" s="2"/>
      <c r="T90" s="2"/>
      <c r="U90" s="2"/>
      <c r="V90" s="2">
        <v>297000</v>
      </c>
      <c r="W90" s="11" t="s">
        <v>79</v>
      </c>
      <c r="X90" s="2"/>
    </row>
    <row r="91" spans="1:24" x14ac:dyDescent="0.3">
      <c r="A91" s="13">
        <v>64751</v>
      </c>
      <c r="B91" s="45" t="s">
        <v>7</v>
      </c>
      <c r="C91" s="82">
        <v>45475</v>
      </c>
      <c r="D91" s="24">
        <v>10</v>
      </c>
      <c r="E91" s="2">
        <f>N89</f>
        <v>194674.97339999996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51">
        <f>E91</f>
        <v>194674.97339999996</v>
      </c>
      <c r="Q91" s="36"/>
      <c r="R91" s="2"/>
      <c r="S91" s="2"/>
      <c r="T91" s="2"/>
      <c r="U91" s="2"/>
      <c r="V91" s="2">
        <v>297000</v>
      </c>
      <c r="W91" s="11" t="s">
        <v>81</v>
      </c>
      <c r="X91" s="2"/>
    </row>
    <row r="92" spans="1:24" x14ac:dyDescent="0.3">
      <c r="A92" s="13">
        <v>64751</v>
      </c>
      <c r="B92" s="49" t="s">
        <v>109</v>
      </c>
      <c r="C92" s="82">
        <v>45708</v>
      </c>
      <c r="D92" s="24">
        <v>22</v>
      </c>
      <c r="E92" s="2">
        <v>937500</v>
      </c>
      <c r="F92" s="2">
        <v>297036.86</v>
      </c>
      <c r="G92" s="2">
        <f>E92-F92</f>
        <v>640463.14</v>
      </c>
      <c r="H92" s="2">
        <f>G92*18%</f>
        <v>115283.3652</v>
      </c>
      <c r="I92" s="2">
        <f>G92+H92</f>
        <v>755746.50520000001</v>
      </c>
      <c r="J92" s="2">
        <f>G92*1%</f>
        <v>6404.6314000000002</v>
      </c>
      <c r="K92" s="2">
        <f>G92*5%</f>
        <v>32023.157000000003</v>
      </c>
      <c r="L92" s="2"/>
      <c r="M92" s="2">
        <v>0</v>
      </c>
      <c r="N92" s="2">
        <f>H92</f>
        <v>115283.3652</v>
      </c>
      <c r="O92" s="2">
        <f>3%*R87</f>
        <v>140625</v>
      </c>
      <c r="P92" s="61">
        <f>I92-SUM(J92:O92)</f>
        <v>461410.35159999999</v>
      </c>
      <c r="Q92" s="36"/>
      <c r="R92" s="2"/>
      <c r="S92" s="2"/>
      <c r="T92" s="2"/>
      <c r="U92" s="2"/>
      <c r="V92" s="2">
        <v>250000</v>
      </c>
      <c r="W92" s="11" t="s">
        <v>90</v>
      </c>
      <c r="X92" s="2"/>
    </row>
    <row r="93" spans="1:24" x14ac:dyDescent="0.3">
      <c r="A93" s="13">
        <v>64751</v>
      </c>
      <c r="B93" s="49"/>
      <c r="C93" s="82"/>
      <c r="D93" s="2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61"/>
      <c r="Q93" s="36"/>
      <c r="R93" s="2"/>
      <c r="S93" s="2"/>
      <c r="T93" s="2"/>
      <c r="U93" s="2"/>
      <c r="V93" s="2">
        <v>750000</v>
      </c>
      <c r="W93" s="11" t="s">
        <v>91</v>
      </c>
      <c r="X93" s="2"/>
    </row>
    <row r="94" spans="1:24" x14ac:dyDescent="0.2">
      <c r="A94" s="13">
        <v>64751</v>
      </c>
      <c r="B94" s="49"/>
      <c r="C94" s="82"/>
      <c r="D94" s="2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61"/>
      <c r="Q94" s="36"/>
      <c r="R94" s="2"/>
      <c r="S94" s="2"/>
      <c r="T94" s="2"/>
      <c r="U94" s="2"/>
      <c r="V94" s="2">
        <v>400000</v>
      </c>
      <c r="W94" s="63" t="s">
        <v>93</v>
      </c>
      <c r="X94" s="2"/>
    </row>
    <row r="95" spans="1:24" x14ac:dyDescent="0.2">
      <c r="A95" s="13">
        <v>65408</v>
      </c>
      <c r="B95" s="46"/>
      <c r="C95" s="79"/>
      <c r="D95" s="22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40">
        <f>A95</f>
        <v>65408</v>
      </c>
      <c r="R95" s="7"/>
      <c r="S95" s="7"/>
      <c r="T95" s="7"/>
      <c r="U95" s="7"/>
      <c r="V95" s="7"/>
      <c r="W95" s="15"/>
      <c r="X95" s="7"/>
    </row>
    <row r="96" spans="1:24" x14ac:dyDescent="0.3">
      <c r="A96" s="13">
        <v>65408</v>
      </c>
      <c r="B96" s="45" t="s">
        <v>110</v>
      </c>
      <c r="C96" s="82">
        <v>45511</v>
      </c>
      <c r="D96" s="24">
        <v>4</v>
      </c>
      <c r="E96" s="2">
        <v>892500</v>
      </c>
      <c r="F96" s="2">
        <v>344556</v>
      </c>
      <c r="G96" s="2">
        <f>E96-F96</f>
        <v>547944</v>
      </c>
      <c r="H96" s="2">
        <f>G96*18%</f>
        <v>98629.92</v>
      </c>
      <c r="I96" s="2">
        <f>G96+H96</f>
        <v>646573.92000000004</v>
      </c>
      <c r="J96" s="2">
        <f>G96*1%</f>
        <v>5479.4400000000005</v>
      </c>
      <c r="K96" s="2">
        <f>G96*5%</f>
        <v>27397.200000000001</v>
      </c>
      <c r="L96" s="2"/>
      <c r="M96" s="2">
        <v>0</v>
      </c>
      <c r="N96" s="51">
        <f>H96</f>
        <v>98629.92</v>
      </c>
      <c r="O96" s="2"/>
      <c r="P96" s="2">
        <f>I96-SUM(J96:O96)</f>
        <v>515067.36000000004</v>
      </c>
      <c r="Q96" s="36"/>
      <c r="R96" s="2">
        <v>595000</v>
      </c>
      <c r="S96" s="2">
        <f>R96-SUM(T96:T98)</f>
        <v>595000</v>
      </c>
      <c r="T96" s="2"/>
      <c r="U96" s="2"/>
      <c r="V96" s="2">
        <v>198000</v>
      </c>
      <c r="W96" s="11" t="s">
        <v>67</v>
      </c>
      <c r="X96" s="2">
        <f>SUM(P96:P101)-SUM(V96:V101)</f>
        <v>-495370.72</v>
      </c>
    </row>
    <row r="97" spans="1:24" x14ac:dyDescent="0.3">
      <c r="A97" s="13">
        <v>65408</v>
      </c>
      <c r="B97" s="45" t="s">
        <v>7</v>
      </c>
      <c r="C97" s="82">
        <v>45512</v>
      </c>
      <c r="D97" s="24">
        <v>4</v>
      </c>
      <c r="E97" s="2">
        <f>N96</f>
        <v>98629.92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51">
        <f>E97</f>
        <v>98629.92</v>
      </c>
      <c r="Q97" s="36"/>
      <c r="R97" s="2"/>
      <c r="S97" s="2"/>
      <c r="T97" s="2"/>
      <c r="U97" s="2"/>
      <c r="V97" s="2">
        <v>317068</v>
      </c>
      <c r="W97" s="11" t="s">
        <v>72</v>
      </c>
      <c r="X97" s="2"/>
    </row>
    <row r="98" spans="1:24" x14ac:dyDescent="0.3">
      <c r="A98" s="13">
        <v>65408</v>
      </c>
      <c r="B98" s="45"/>
      <c r="C98" s="82"/>
      <c r="D98" s="2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6"/>
      <c r="R98" s="2"/>
      <c r="S98" s="2"/>
      <c r="T98" s="2"/>
      <c r="U98" s="2"/>
      <c r="V98" s="2">
        <v>99000</v>
      </c>
      <c r="W98" s="11" t="s">
        <v>82</v>
      </c>
      <c r="X98" s="2"/>
    </row>
    <row r="99" spans="1:24" x14ac:dyDescent="0.3">
      <c r="A99" s="13">
        <v>65408</v>
      </c>
      <c r="B99" s="45"/>
      <c r="C99" s="82"/>
      <c r="D99" s="2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6"/>
      <c r="R99" s="2"/>
      <c r="S99" s="2"/>
      <c r="T99" s="2"/>
      <c r="U99" s="2"/>
      <c r="V99" s="2">
        <v>396000</v>
      </c>
      <c r="W99" s="1" t="s">
        <v>85</v>
      </c>
      <c r="X99" s="2"/>
    </row>
    <row r="100" spans="1:24" x14ac:dyDescent="0.3">
      <c r="A100" s="13">
        <v>65408</v>
      </c>
      <c r="B100" s="45"/>
      <c r="C100" s="82"/>
      <c r="D100" s="2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6"/>
      <c r="R100" s="2"/>
      <c r="S100" s="2"/>
      <c r="T100" s="2"/>
      <c r="U100" s="2"/>
      <c r="V100" s="2">
        <v>99000</v>
      </c>
      <c r="W100" s="11" t="s">
        <v>87</v>
      </c>
      <c r="X100" s="2"/>
    </row>
    <row r="101" spans="1:24" x14ac:dyDescent="0.3">
      <c r="A101" s="13">
        <v>65408</v>
      </c>
      <c r="B101" s="45"/>
      <c r="C101" s="82"/>
      <c r="D101" s="2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6"/>
      <c r="R101" s="2"/>
      <c r="S101" s="2"/>
      <c r="T101" s="2"/>
      <c r="U101" s="2"/>
      <c r="V101" s="2"/>
      <c r="W101" s="11"/>
      <c r="X101" s="2"/>
    </row>
    <row r="102" spans="1:24" x14ac:dyDescent="0.2">
      <c r="A102" s="13">
        <v>68383</v>
      </c>
      <c r="B102" s="46"/>
      <c r="C102" s="79"/>
      <c r="D102" s="2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40">
        <f>A102</f>
        <v>68383</v>
      </c>
      <c r="R102" s="7"/>
      <c r="S102" s="7"/>
      <c r="T102" s="7"/>
      <c r="U102" s="7"/>
      <c r="V102" s="7"/>
      <c r="W102" s="15"/>
      <c r="X102" s="7"/>
    </row>
    <row r="103" spans="1:24" ht="26.4" x14ac:dyDescent="0.2">
      <c r="A103" s="13">
        <v>68383</v>
      </c>
      <c r="B103" s="49" t="s">
        <v>112</v>
      </c>
      <c r="C103" s="82">
        <v>45672</v>
      </c>
      <c r="D103" s="24">
        <v>19</v>
      </c>
      <c r="E103" s="2">
        <v>649687</v>
      </c>
      <c r="F103" s="2">
        <v>10679</v>
      </c>
      <c r="G103" s="2">
        <f>E103-F103</f>
        <v>639008</v>
      </c>
      <c r="H103" s="2">
        <f>G103*18%</f>
        <v>115021.44</v>
      </c>
      <c r="I103" s="2">
        <f>G103+H103</f>
        <v>754029.44</v>
      </c>
      <c r="J103" s="2">
        <f>G103*1%</f>
        <v>6390.08</v>
      </c>
      <c r="K103" s="2">
        <f>G103*5%</f>
        <v>31950.400000000001</v>
      </c>
      <c r="L103" s="2"/>
      <c r="M103" s="2">
        <v>0</v>
      </c>
      <c r="N103" s="51">
        <f>H103</f>
        <v>115021.44</v>
      </c>
      <c r="O103" s="2">
        <v>129938</v>
      </c>
      <c r="P103" s="2">
        <f>I103-SUM(J103:O103)</f>
        <v>470729.5199999999</v>
      </c>
      <c r="Q103" s="36"/>
      <c r="R103" s="2">
        <f>85%*2598750</f>
        <v>2208937.5</v>
      </c>
      <c r="S103" s="2">
        <f>R103-SUM(T103:T104)</f>
        <v>2208937.5</v>
      </c>
      <c r="T103" s="2"/>
      <c r="U103" s="2"/>
      <c r="V103" s="2">
        <v>400000</v>
      </c>
      <c r="W103" s="63" t="s">
        <v>92</v>
      </c>
      <c r="X103" s="2">
        <f>SUM(P103:P105)-SUM(V103:V105)</f>
        <v>70729.519999999902</v>
      </c>
    </row>
    <row r="104" spans="1:24" x14ac:dyDescent="0.3">
      <c r="A104" s="13">
        <v>68383</v>
      </c>
      <c r="B104" s="45" t="s">
        <v>7</v>
      </c>
      <c r="C104" s="82"/>
      <c r="D104" s="2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1">
        <f>E104</f>
        <v>0</v>
      </c>
      <c r="Q104" s="36"/>
      <c r="R104" s="2"/>
      <c r="S104" s="2"/>
      <c r="T104" s="2"/>
      <c r="U104" s="2"/>
      <c r="V104" s="2"/>
      <c r="W104" s="11"/>
      <c r="X104" s="2"/>
    </row>
    <row r="105" spans="1:24" ht="15" thickBot="1" x14ac:dyDescent="0.35">
      <c r="A105" s="13">
        <v>68383</v>
      </c>
      <c r="B105" s="52"/>
      <c r="C105" s="83"/>
      <c r="D105" s="53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5"/>
      <c r="R105" s="54"/>
      <c r="S105" s="54"/>
      <c r="T105" s="54"/>
      <c r="U105" s="54"/>
      <c r="V105" s="54"/>
      <c r="W105" s="56"/>
      <c r="X105" s="54"/>
    </row>
    <row r="106" spans="1:24" x14ac:dyDescent="0.3">
      <c r="A106" s="8"/>
      <c r="B106" s="47"/>
      <c r="C106" s="9"/>
      <c r="D106" s="21"/>
      <c r="E106" s="8"/>
      <c r="F106" s="8"/>
      <c r="G106" s="8"/>
      <c r="H106" s="8"/>
      <c r="I106" s="32"/>
      <c r="J106" s="32"/>
      <c r="K106" s="32">
        <f t="shared" ref="K106:P106" si="36">SUM(K8:K105)</f>
        <v>853258.1825</v>
      </c>
      <c r="L106" s="32">
        <f t="shared" si="36"/>
        <v>0</v>
      </c>
      <c r="M106" s="32">
        <f t="shared" si="36"/>
        <v>572150.45000000007</v>
      </c>
      <c r="N106" s="32">
        <f t="shared" si="36"/>
        <v>3060247.7557999999</v>
      </c>
      <c r="O106" s="32">
        <f t="shared" si="36"/>
        <v>586467.81050000002</v>
      </c>
      <c r="P106" s="32">
        <f t="shared" si="36"/>
        <v>18011318.971500002</v>
      </c>
      <c r="Q106" s="37"/>
      <c r="R106" s="32" t="s">
        <v>3</v>
      </c>
      <c r="S106" s="32"/>
      <c r="T106" s="32"/>
      <c r="U106" s="32"/>
      <c r="V106" s="32">
        <f>SUM(V6:V105)</f>
        <v>17711941</v>
      </c>
      <c r="W106" s="8"/>
      <c r="X106" s="32">
        <f>SUM(X6:X105)</f>
        <v>299377.97149999964</v>
      </c>
    </row>
    <row r="107" spans="1:24" x14ac:dyDescent="0.3">
      <c r="A107" s="2"/>
      <c r="B107" s="45"/>
      <c r="C107" s="5"/>
      <c r="D107" s="24"/>
      <c r="E107" s="2"/>
      <c r="F107" s="2"/>
      <c r="G107" s="2"/>
      <c r="H107" s="2"/>
      <c r="I107" s="2"/>
      <c r="J107" s="2"/>
      <c r="K107" s="2"/>
      <c r="L107" s="2"/>
      <c r="M107" s="2" t="s">
        <v>73</v>
      </c>
      <c r="N107" s="2"/>
      <c r="O107" s="2"/>
      <c r="P107" s="2"/>
      <c r="Q107" s="38"/>
      <c r="R107" s="2"/>
      <c r="S107" s="2"/>
      <c r="T107" s="2"/>
      <c r="U107" s="2"/>
      <c r="V107" s="2"/>
      <c r="W107" s="2"/>
      <c r="X107" s="2"/>
    </row>
    <row r="108" spans="1:24" ht="15" thickBot="1" x14ac:dyDescent="0.35">
      <c r="A108" s="16"/>
      <c r="B108" s="42"/>
      <c r="C108" s="17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39"/>
      <c r="R108" s="57" t="s">
        <v>2</v>
      </c>
      <c r="S108" s="57"/>
      <c r="T108" s="16"/>
      <c r="U108" s="16"/>
      <c r="V108" s="57">
        <f>P106-V106</f>
        <v>299377.97150000185</v>
      </c>
      <c r="W108" s="16"/>
      <c r="X108" s="57"/>
    </row>
    <row r="110" spans="1:24" ht="15" thickBot="1" x14ac:dyDescent="0.35"/>
    <row r="111" spans="1:24" ht="15.6" x14ac:dyDescent="0.3">
      <c r="K111" s="66" t="s">
        <v>4</v>
      </c>
      <c r="L111" s="66"/>
      <c r="M111" s="66"/>
    </row>
    <row r="112" spans="1:24" ht="16.2" thickBot="1" x14ac:dyDescent="0.35">
      <c r="K112" s="67">
        <v>45737</v>
      </c>
      <c r="L112" s="64"/>
      <c r="M112" s="64"/>
    </row>
    <row r="113" spans="11:13" ht="15.6" x14ac:dyDescent="0.3">
      <c r="K113" s="68" t="s">
        <v>44</v>
      </c>
      <c r="L113" s="68"/>
      <c r="M113" s="59">
        <f>K106</f>
        <v>853258.1825</v>
      </c>
    </row>
    <row r="114" spans="11:13" ht="15.6" x14ac:dyDescent="0.3">
      <c r="K114" s="65" t="s">
        <v>45</v>
      </c>
      <c r="L114" s="65"/>
      <c r="M114" s="19">
        <f>V108</f>
        <v>299377.97150000185</v>
      </c>
    </row>
    <row r="115" spans="11:13" ht="15.6" x14ac:dyDescent="0.3">
      <c r="K115" s="65" t="s">
        <v>74</v>
      </c>
      <c r="L115" s="65"/>
      <c r="M115" s="58">
        <f>O106</f>
        <v>586467.81050000002</v>
      </c>
    </row>
    <row r="116" spans="11:13" ht="16.2" thickBot="1" x14ac:dyDescent="0.35">
      <c r="K116" s="64" t="s">
        <v>60</v>
      </c>
      <c r="L116" s="64"/>
      <c r="M116" s="20">
        <f>N82+N90</f>
        <v>372753.54</v>
      </c>
    </row>
  </sheetData>
  <mergeCells count="6">
    <mergeCell ref="K116:L116"/>
    <mergeCell ref="K115:L115"/>
    <mergeCell ref="K111:M111"/>
    <mergeCell ref="K112:M112"/>
    <mergeCell ref="K113:L113"/>
    <mergeCell ref="K114:L114"/>
  </mergeCells>
  <phoneticPr fontId="5" type="noConversion"/>
  <pageMargins left="0.70866141732283472" right="0.70866141732283472" top="0.74803149606299213" bottom="0.74803149606299213" header="0.31496062992125984" footer="0.31496062992125984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2024-04-04T07:30:02Z</cp:lastPrinted>
  <dcterms:created xsi:type="dcterms:W3CDTF">2022-06-10T14:11:52Z</dcterms:created>
  <dcterms:modified xsi:type="dcterms:W3CDTF">2025-05-27T07:27:14Z</dcterms:modified>
</cp:coreProperties>
</file>