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Downloads\Shahrukh Shaikh (3)\Shahrukh Shaikh\"/>
    </mc:Choice>
  </mc:AlternateContent>
  <xr:revisionPtr revIDLastSave="0" documentId="13_ncr:1_{42C42C40-C156-46BB-93B5-525A918243A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TMT" sheetId="2" r:id="rId2"/>
    <sheet name="cement" sheetId="3" r:id="rId3"/>
    <sheet name="Diese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7" i="1" l="1"/>
  <c r="K107" i="1" s="1"/>
  <c r="G70" i="1"/>
  <c r="K70" i="1" s="1"/>
  <c r="G105" i="1"/>
  <c r="H105" i="1" s="1"/>
  <c r="O105" i="1" s="1"/>
  <c r="E106" i="1" s="1"/>
  <c r="P106" i="1" s="1"/>
  <c r="G83" i="1"/>
  <c r="J83" i="1" s="1"/>
  <c r="G96" i="1"/>
  <c r="H107" i="1" l="1"/>
  <c r="O107" i="1" s="1"/>
  <c r="J107" i="1"/>
  <c r="H70" i="1"/>
  <c r="I70" i="1"/>
  <c r="J70" i="1"/>
  <c r="I105" i="1"/>
  <c r="J105" i="1"/>
  <c r="K105" i="1"/>
  <c r="K83" i="1"/>
  <c r="H83" i="1"/>
  <c r="O83" i="1" s="1"/>
  <c r="E84" i="1" s="1"/>
  <c r="P84" i="1" s="1"/>
  <c r="J96" i="1"/>
  <c r="K96" i="1"/>
  <c r="H96" i="1"/>
  <c r="G68" i="1"/>
  <c r="G81" i="1"/>
  <c r="I107" i="1" l="1"/>
  <c r="P107" i="1" s="1"/>
  <c r="O96" i="1"/>
  <c r="P97" i="1" s="1"/>
  <c r="E97" i="1"/>
  <c r="O70" i="1"/>
  <c r="P71" i="1" s="1"/>
  <c r="E71" i="1"/>
  <c r="P105" i="1"/>
  <c r="I83" i="1"/>
  <c r="P83" i="1" s="1"/>
  <c r="I96" i="1"/>
  <c r="P96" i="1" s="1"/>
  <c r="H68" i="1"/>
  <c r="O68" i="1" s="1"/>
  <c r="E69" i="1" s="1"/>
  <c r="P69" i="1" s="1"/>
  <c r="J68" i="1"/>
  <c r="K68" i="1"/>
  <c r="J81" i="1"/>
  <c r="H81" i="1"/>
  <c r="O81" i="1" s="1"/>
  <c r="E82" i="1" s="1"/>
  <c r="P82" i="1" s="1"/>
  <c r="K81" i="1"/>
  <c r="G111" i="1"/>
  <c r="K111" i="1" s="1"/>
  <c r="G103" i="1"/>
  <c r="J103" i="1" s="1"/>
  <c r="Q110" i="1"/>
  <c r="Q102" i="1"/>
  <c r="P70" i="1" l="1"/>
  <c r="I68" i="1"/>
  <c r="P68" i="1" s="1"/>
  <c r="I81" i="1"/>
  <c r="P81" i="1" s="1"/>
  <c r="J111" i="1"/>
  <c r="M111" i="1"/>
  <c r="H111" i="1"/>
  <c r="O111" i="1" s="1"/>
  <c r="E112" i="1" s="1"/>
  <c r="P112" i="1" s="1"/>
  <c r="L111" i="1"/>
  <c r="K103" i="1"/>
  <c r="H103" i="1"/>
  <c r="O103" i="1" s="1"/>
  <c r="E104" i="1" s="1"/>
  <c r="P104" i="1" s="1"/>
  <c r="P25" i="1"/>
  <c r="G31" i="1"/>
  <c r="M31" i="1" s="1"/>
  <c r="I111" i="1" l="1"/>
  <c r="P111" i="1" s="1"/>
  <c r="I103" i="1"/>
  <c r="P103" i="1" s="1"/>
  <c r="H31" i="1"/>
  <c r="O31" i="1" s="1"/>
  <c r="E32" i="1" s="1"/>
  <c r="P32" i="1" s="1"/>
  <c r="J31" i="1"/>
  <c r="K31" i="1"/>
  <c r="L31" i="1"/>
  <c r="N99" i="1"/>
  <c r="L37" i="1"/>
  <c r="H37" i="1"/>
  <c r="I37" i="1" s="1"/>
  <c r="J43" i="1"/>
  <c r="J41" i="1"/>
  <c r="J39" i="1"/>
  <c r="E60" i="1"/>
  <c r="G60" i="1" s="1"/>
  <c r="G99" i="1"/>
  <c r="J99" i="1" s="1"/>
  <c r="Q98" i="1"/>
  <c r="P31" i="1" l="1"/>
  <c r="I31" i="1"/>
  <c r="H60" i="1"/>
  <c r="O60" i="1" s="1"/>
  <c r="E61" i="1" s="1"/>
  <c r="P61" i="1" s="1"/>
  <c r="J60" i="1"/>
  <c r="K60" i="1"/>
  <c r="L99" i="1"/>
  <c r="M99" i="1"/>
  <c r="K99" i="1"/>
  <c r="H99" i="1"/>
  <c r="Q93" i="1"/>
  <c r="G94" i="1"/>
  <c r="K94" i="1" s="1"/>
  <c r="G18" i="1"/>
  <c r="M18" i="1" s="1"/>
  <c r="O99" i="1" l="1"/>
  <c r="P100" i="1" s="1"/>
  <c r="E100" i="1"/>
  <c r="I60" i="1"/>
  <c r="P60" i="1" s="1"/>
  <c r="H18" i="1"/>
  <c r="O18" i="1" s="1"/>
  <c r="E20" i="1" s="1"/>
  <c r="P20" i="1" s="1"/>
  <c r="J18" i="1"/>
  <c r="L18" i="1"/>
  <c r="K18" i="1"/>
  <c r="I99" i="1"/>
  <c r="H94" i="1"/>
  <c r="J94" i="1"/>
  <c r="P99" i="1" l="1"/>
  <c r="O94" i="1"/>
  <c r="P95" i="1" s="1"/>
  <c r="E95" i="1"/>
  <c r="I18" i="1"/>
  <c r="P18" i="1" s="1"/>
  <c r="I94" i="1"/>
  <c r="G17" i="1"/>
  <c r="M17" i="1" s="1"/>
  <c r="G47" i="1"/>
  <c r="K47" i="1" s="1"/>
  <c r="P94" i="1" l="1"/>
  <c r="H17" i="1"/>
  <c r="O17" i="1" s="1"/>
  <c r="E19" i="1" s="1"/>
  <c r="P19" i="1" s="1"/>
  <c r="K17" i="1"/>
  <c r="L17" i="1"/>
  <c r="J17" i="1"/>
  <c r="H47" i="1"/>
  <c r="L47" i="1"/>
  <c r="M47" i="1"/>
  <c r="J47" i="1"/>
  <c r="G89" i="1"/>
  <c r="Q88" i="1"/>
  <c r="I17" i="1" l="1"/>
  <c r="P17" i="1" s="1"/>
  <c r="O47" i="1"/>
  <c r="E48" i="1" s="1"/>
  <c r="P48" i="1" s="1"/>
  <c r="I47" i="1"/>
  <c r="J89" i="1"/>
  <c r="K89" i="1"/>
  <c r="H89" i="1"/>
  <c r="E58" i="1"/>
  <c r="G58" i="1" s="1"/>
  <c r="P47" i="1" l="1"/>
  <c r="O89" i="1"/>
  <c r="E90" i="1" s="1"/>
  <c r="P90" i="1" s="1"/>
  <c r="I89" i="1"/>
  <c r="H58" i="1"/>
  <c r="O58" i="1" s="1"/>
  <c r="E59" i="1" s="1"/>
  <c r="P59" i="1" s="1"/>
  <c r="J58" i="1"/>
  <c r="K58" i="1"/>
  <c r="P89" i="1" l="1"/>
  <c r="I58" i="1"/>
  <c r="P58" i="1" s="1"/>
  <c r="E79" i="1"/>
  <c r="G79" i="1" s="1"/>
  <c r="H79" i="1" l="1"/>
  <c r="O79" i="1" s="1"/>
  <c r="E80" i="1" s="1"/>
  <c r="P80" i="1" s="1"/>
  <c r="J79" i="1"/>
  <c r="K79" i="1"/>
  <c r="O39" i="1"/>
  <c r="O41" i="1"/>
  <c r="O43" i="1"/>
  <c r="E45" i="1" s="1"/>
  <c r="P45" i="1" s="1"/>
  <c r="O37" i="1"/>
  <c r="M37" i="1"/>
  <c r="K37" i="1"/>
  <c r="J37" i="1"/>
  <c r="G44" i="1"/>
  <c r="Q75" i="1"/>
  <c r="Q63" i="1"/>
  <c r="Q54" i="1"/>
  <c r="Q36" i="1"/>
  <c r="Q22" i="1"/>
  <c r="Q7" i="1"/>
  <c r="G65" i="1"/>
  <c r="K44" i="1" l="1"/>
  <c r="J44" i="1"/>
  <c r="I79" i="1"/>
  <c r="P79" i="1" s="1"/>
  <c r="L44" i="1"/>
  <c r="M44" i="1"/>
  <c r="H44" i="1"/>
  <c r="E46" i="1" s="1"/>
  <c r="P46" i="1" s="1"/>
  <c r="P37" i="1"/>
  <c r="K65" i="1"/>
  <c r="J65" i="1"/>
  <c r="H65" i="1"/>
  <c r="O65" i="1" s="1"/>
  <c r="H2" i="4"/>
  <c r="F2" i="3"/>
  <c r="Q14" i="2"/>
  <c r="R14" i="2" s="1"/>
  <c r="P14" i="2"/>
  <c r="Q13" i="2"/>
  <c r="R13" i="2" s="1"/>
  <c r="P13" i="2"/>
  <c r="Q12" i="2"/>
  <c r="R12" i="2" s="1"/>
  <c r="P12" i="2"/>
  <c r="Q11" i="2"/>
  <c r="R11" i="2" s="1"/>
  <c r="P11" i="2"/>
  <c r="Q10" i="2"/>
  <c r="R10" i="2" s="1"/>
  <c r="P10" i="2"/>
  <c r="Q9" i="2"/>
  <c r="R9" i="2" s="1"/>
  <c r="P9" i="2"/>
  <c r="Q8" i="2"/>
  <c r="R8" i="2" s="1"/>
  <c r="P8" i="2"/>
  <c r="Q7" i="2"/>
  <c r="R7" i="2" s="1"/>
  <c r="P7" i="2"/>
  <c r="Q6" i="2"/>
  <c r="R6" i="2" s="1"/>
  <c r="P6" i="2"/>
  <c r="Q5" i="2"/>
  <c r="R5" i="2" s="1"/>
  <c r="P5" i="2"/>
  <c r="Q4" i="2"/>
  <c r="R4" i="2" s="1"/>
  <c r="P4" i="2"/>
  <c r="Q3" i="2"/>
  <c r="R3" i="2" s="1"/>
  <c r="P3" i="2"/>
  <c r="Q2" i="2"/>
  <c r="R2" i="2" s="1"/>
  <c r="P2" i="2"/>
  <c r="E67" i="1" l="1"/>
  <c r="P67" i="1" s="1"/>
  <c r="I44" i="1"/>
  <c r="O44" i="1"/>
  <c r="I65" i="1"/>
  <c r="P65" i="1" s="1"/>
  <c r="H2" i="3"/>
  <c r="I2" i="3"/>
  <c r="J2" i="3" s="1"/>
  <c r="P44" i="1" l="1"/>
  <c r="G29" i="1"/>
  <c r="M29" i="1" s="1"/>
  <c r="H29" i="1" l="1"/>
  <c r="O29" i="1" s="1"/>
  <c r="J29" i="1"/>
  <c r="K29" i="1"/>
  <c r="L29" i="1"/>
  <c r="P29" i="1" l="1"/>
  <c r="I29" i="1"/>
  <c r="G56" i="1"/>
  <c r="L56" i="1" s="1"/>
  <c r="E77" i="1"/>
  <c r="P77" i="1" s="1"/>
  <c r="J56" i="1" l="1"/>
  <c r="H56" i="1"/>
  <c r="O56" i="1" s="1"/>
  <c r="K56" i="1"/>
  <c r="G15" i="1"/>
  <c r="H15" i="1" s="1"/>
  <c r="I56" i="1" l="1"/>
  <c r="P56" i="1" s="1"/>
  <c r="I15" i="1"/>
  <c r="O15" i="1"/>
  <c r="J15" i="1"/>
  <c r="K15" i="1"/>
  <c r="L15" i="1"/>
  <c r="M15" i="1"/>
  <c r="G28" i="1"/>
  <c r="J28" i="1" s="1"/>
  <c r="G76" i="1"/>
  <c r="M76" i="1" s="1"/>
  <c r="G64" i="1"/>
  <c r="P15" i="1" l="1"/>
  <c r="H64" i="1"/>
  <c r="O64" i="1" s="1"/>
  <c r="E66" i="1" s="1"/>
  <c r="P66" i="1" s="1"/>
  <c r="K64" i="1"/>
  <c r="J64" i="1"/>
  <c r="K28" i="1"/>
  <c r="L28" i="1"/>
  <c r="M28" i="1"/>
  <c r="H28" i="1"/>
  <c r="O28" i="1" s="1"/>
  <c r="E30" i="1" s="1"/>
  <c r="P30" i="1" s="1"/>
  <c r="J76" i="1"/>
  <c r="K76" i="1"/>
  <c r="H76" i="1"/>
  <c r="O76" i="1" s="1"/>
  <c r="E78" i="1" s="1"/>
  <c r="P78" i="1" s="1"/>
  <c r="G14" i="1"/>
  <c r="J14" i="1" s="1"/>
  <c r="F13" i="1"/>
  <c r="G13" i="1" s="1"/>
  <c r="H13" i="1" s="1"/>
  <c r="O13" i="1" s="1"/>
  <c r="P28" i="1" l="1"/>
  <c r="I28" i="1"/>
  <c r="I76" i="1"/>
  <c r="P76" i="1" s="1"/>
  <c r="I64" i="1"/>
  <c r="P64" i="1" s="1"/>
  <c r="H14" i="1"/>
  <c r="O14" i="1" s="1"/>
  <c r="M14" i="1"/>
  <c r="K14" i="1"/>
  <c r="L14" i="1"/>
  <c r="L13" i="1"/>
  <c r="K13" i="1"/>
  <c r="J13" i="1"/>
  <c r="M13" i="1"/>
  <c r="I14" i="1" l="1"/>
  <c r="P14" i="1" s="1"/>
  <c r="I13" i="1"/>
  <c r="P13" i="1" s="1"/>
  <c r="G12" i="1" l="1"/>
  <c r="M12" i="1" s="1"/>
  <c r="H12" i="1" l="1"/>
  <c r="O12" i="1" s="1"/>
  <c r="E16" i="1" s="1"/>
  <c r="P16" i="1" s="1"/>
  <c r="J12" i="1"/>
  <c r="K12" i="1"/>
  <c r="L12" i="1"/>
  <c r="G55" i="1"/>
  <c r="H55" i="1" s="1"/>
  <c r="O55" i="1" s="1"/>
  <c r="E57" i="1" s="1"/>
  <c r="P57" i="1" s="1"/>
  <c r="I12" i="1" l="1"/>
  <c r="P12" i="1" s="1"/>
  <c r="J55" i="1"/>
  <c r="K55" i="1"/>
  <c r="L55" i="1"/>
  <c r="G10" i="1"/>
  <c r="I55" i="1" l="1"/>
  <c r="P55" i="1" s="1"/>
  <c r="I10" i="1"/>
  <c r="P10" i="1" s="1"/>
  <c r="G11" i="1" l="1"/>
  <c r="I11" i="1" s="1"/>
  <c r="P11" i="1" l="1"/>
  <c r="G8" i="1"/>
  <c r="L8" i="1" l="1"/>
  <c r="H8" i="1"/>
  <c r="K8" i="1"/>
  <c r="J8" i="1"/>
  <c r="M8" i="1"/>
  <c r="I8" i="1" l="1"/>
  <c r="O8" i="1"/>
  <c r="G9" i="1" l="1"/>
  <c r="P8" i="1"/>
  <c r="K9" i="1" l="1"/>
  <c r="J9" i="1"/>
  <c r="H9" i="1"/>
  <c r="M9" i="1"/>
  <c r="L9" i="1"/>
  <c r="O9" i="1" l="1"/>
  <c r="I9" i="1"/>
  <c r="P9" i="1" l="1"/>
</calcChain>
</file>

<file path=xl/sharedStrings.xml><?xml version="1.0" encoding="utf-8"?>
<sst xmlns="http://schemas.openxmlformats.org/spreadsheetml/2006/main" count="318" uniqueCount="187">
  <si>
    <t>Amount</t>
  </si>
  <si>
    <t>UTR</t>
  </si>
  <si>
    <t>Hold Amount for quantity more than DPR</t>
  </si>
  <si>
    <t>Raghuveer Singh &amp; Sons</t>
  </si>
  <si>
    <t xml:space="preserve">Mukundpur Village Pipe laying work </t>
  </si>
  <si>
    <t>17-01-2023 NEFT/AXISP00355634807/RIUP22/1823/RAGHUVEER SINGH 271941.00</t>
  </si>
  <si>
    <t>06-05-2023 NEFT/AXISP00388047283/SPUP23/0351/RAGHUVEER SINGH 48815.00</t>
  </si>
  <si>
    <t>GST Release Note</t>
  </si>
  <si>
    <t>12-05-2023 NEFT/AXISP00389894140/RIUP23/199/RAGHUVEER SINGH 89048.00</t>
  </si>
  <si>
    <t xml:space="preserve">Mohammadpur Madan Village Pipe laying work </t>
  </si>
  <si>
    <t>14-09-2022 NEFT/AXISP00320017433/RIUP22/737/RAGHUVEER SINGH 245000.00</t>
  </si>
  <si>
    <t>20-10-2022 NEFT/AXISP00330179782/RIUP22/1049/RAGHUVEER SINGH 94523.00</t>
  </si>
  <si>
    <t>19-11-2022 NEFT/AXISP00339152072/RIUP22/1302/RAGHUVEER SINGH 96010.00</t>
  </si>
  <si>
    <t>23-01-2023 NEFT/AXISP00356620192/RIUP22/1936/RAGHUVEER SINGH ₹ 98,000.00</t>
  </si>
  <si>
    <t>09-03-2023 NEFT/AXISP00370113978/RIUP22/2539/RAGHUVEER SINGH 294000.00</t>
  </si>
  <si>
    <t>06-05-2023 NEFT/AXISP00388049691/SPUP23/0352/RAGHUVEER SINGH 2630.00</t>
  </si>
  <si>
    <t>12-05-2023 NEFT/AXISP00389894117/RIUP23/200/RAGHUVEER SINGH 97306.00</t>
  </si>
  <si>
    <t>01-07-2023 NEFT/AXISP00402764253/RIUP23/970/RAGHUVEER SINGH 2199.00</t>
  </si>
  <si>
    <t xml:space="preserve">Mandi Village Pipe laying work </t>
  </si>
  <si>
    <t>14-09-2022 NEFT/AXISP00320017432/RIUP22/736/RAGHUVEER SINGH 294000.00</t>
  </si>
  <si>
    <t>12-10-2022 NEFT/AXISP00327753846/RIUP22/973/RAGHUVEER SINGH 490000.00</t>
  </si>
  <si>
    <t>20-10-2022 NEFT/AXISP00330179776/RIUP22/1003/RAGHUVEER SINGH 75333.00</t>
  </si>
  <si>
    <t>18-11-2022 NEFT/AXISP00338948738/RIUP22/1296/RAGHUVEER SINGH 196000.00</t>
  </si>
  <si>
    <t>18-11-2022 NEFT/AXISP00338948740/RIUP22/1297/RAGHUVEER SINGH 223621.00</t>
  </si>
  <si>
    <t>21-12-2022 NEFT/AXISP00347873505/RIUP22/1587/RAGHUVEER SINGH 196000.00</t>
  </si>
  <si>
    <t>04-01-2023 NEFT/AXISP00351745739/RIUP22/1783/RAGHUVEER SINGH ₹ 1,47,000.00</t>
  </si>
  <si>
    <t>26-04-2023 26-04-2023 NEFT/AXISP00384433559/SPUP23/0282/RAGHUVEER SINGH 19442.00</t>
  </si>
  <si>
    <t>29-05-2023 NEFT/AXISP00393029882/RIUP23/261/RAGHUVEER SINGH 64731.00</t>
  </si>
  <si>
    <t>05-08-2023 NEFT/AXISP00412924934/RIUP23/1381/RAGHUVEER SINGH 66644.00</t>
  </si>
  <si>
    <t>02-08-2023 NEFT/AXISP00412149931/RIUP23/1353/RAGHUVEER SINGH 331124.00</t>
  </si>
  <si>
    <t>22-09-2023 NEFT/AXISP00426907980/RIUP23/2211/RAGHUVEER SINGH AN/UBIN0551376 196000.00</t>
  </si>
  <si>
    <t>Mandi villahe OHT work</t>
  </si>
  <si>
    <t>09-11-2023 NEFT/AXISP00442779071/RIUP23/3206/RAGHUVEER SINGH AN/UBIN0551376 245000.0</t>
  </si>
  <si>
    <t>Mukundpur village OHT work</t>
  </si>
  <si>
    <t>01-11-2023 NEFT/AXISP00439227023/RIUP23/2975/RAGHUVEER SINGH AN/UBIN0551376 413922.00</t>
  </si>
  <si>
    <t>06-12-2023 NEFT/AXISP00450305027/RIUP23/3467/RAGHUVEER SINGH AN/UBIN0551376 286275.00</t>
  </si>
  <si>
    <t>26-12-2023 NEFT/AXISP00455532162/RIUP23/3870A/RAGHUVEER SINGH AN/UBIN0551376 225148.00</t>
  </si>
  <si>
    <t>06-12-2023 NEFT/AXISP00450230202/RIUP23/3554/RAGHUVEER SINGH AN/UBIN0551376 80150.00</t>
  </si>
  <si>
    <t>Hold amount release</t>
  </si>
  <si>
    <t>14-12-2023 NEFT/AXISP00452996800/RIUP23/3685/RAGHUVEER SINGHAN/UBIN0551376 513650.00</t>
  </si>
  <si>
    <t>18-12-2023 NEFT/AXISP00453898735/RIMP23/3779/RAGHUVEER SINGHAN/UBIN0551376 504485.00</t>
  </si>
  <si>
    <t xml:space="preserve">                                                            </t>
  </si>
  <si>
    <t>BILL NO/BILL DATE</t>
  </si>
  <si>
    <t>PURCHASE FROM</t>
  </si>
  <si>
    <t>8MM</t>
  </si>
  <si>
    <t>10MM</t>
  </si>
  <si>
    <t>12MM</t>
  </si>
  <si>
    <t>16MM</t>
  </si>
  <si>
    <t>20MM</t>
  </si>
  <si>
    <t>Date Of Issue</t>
  </si>
  <si>
    <t>Issue Slip No</t>
  </si>
  <si>
    <t>Name of Party</t>
  </si>
  <si>
    <t>SIZE (IN MM)</t>
  </si>
  <si>
    <t>QTY (TON)</t>
  </si>
  <si>
    <t xml:space="preserve"> </t>
  </si>
  <si>
    <t>GST (18%)</t>
  </si>
  <si>
    <t>Amount (In Rs.)</t>
  </si>
  <si>
    <t>ISSUE</t>
  </si>
  <si>
    <t>DEBIT NOTE NO.</t>
  </si>
  <si>
    <t>CONTRACTOR INVOICE DETAIL</t>
  </si>
  <si>
    <t>26.05.2023</t>
  </si>
  <si>
    <t>MOHAMMADPUR MADAN VILLAGE</t>
  </si>
  <si>
    <t>537/27.06.2023</t>
  </si>
  <si>
    <t>16.06.2023</t>
  </si>
  <si>
    <t>Mukundpur VILLAGE</t>
  </si>
  <si>
    <t>848/ 30.10.2023</t>
  </si>
  <si>
    <t>BILL MUKUNDPUR 30.10.2023</t>
  </si>
  <si>
    <t>17.06.2023</t>
  </si>
  <si>
    <t>847/ 30.10.2023</t>
  </si>
  <si>
    <t>BILL MANDI 30.10.2023</t>
  </si>
  <si>
    <t>QTY (BAG)</t>
  </si>
  <si>
    <t>IN TON</t>
  </si>
  <si>
    <t>RATE (PER TON)</t>
  </si>
  <si>
    <t>GST (28%)</t>
  </si>
  <si>
    <t xml:space="preserve">ISSUE FOR </t>
  </si>
  <si>
    <t>31.05.2023</t>
  </si>
  <si>
    <t>RAGHUNATH SINGH &amp; SONS</t>
  </si>
  <si>
    <t>S.NO.</t>
  </si>
  <si>
    <t>FUEL  (In Ltr)</t>
  </si>
  <si>
    <t>Petrol Pump Slip No.</t>
  </si>
  <si>
    <t>Latest Rate</t>
  </si>
  <si>
    <t>Vehicle No.</t>
  </si>
  <si>
    <t>Remarks</t>
  </si>
  <si>
    <t>Tax Invocies On PMC</t>
  </si>
  <si>
    <t>02.08.2023</t>
  </si>
  <si>
    <t>RAGHUVEER SINGH &amp; SONS</t>
  </si>
  <si>
    <t>DEBIT TO RAGHUVEER SINGH &amp; SONS</t>
  </si>
  <si>
    <t>MOHMMADPUR MARDAN</t>
  </si>
  <si>
    <t>834/ 23.10.2023</t>
  </si>
  <si>
    <t>BILL MUKUNDPUR 23.10.2023</t>
  </si>
  <si>
    <t>12-01-2024 NEFT/AXISP00462196163/RIUP23/4155/RAGHUVEER SINGH AN/UBIN0551376 161115.00</t>
  </si>
  <si>
    <t>2,5,7 &amp; 22</t>
  </si>
  <si>
    <t>17.01-2024</t>
  </si>
  <si>
    <t>15-02-2024 NEFT/AXISP00471706641/RIUP23/4687/RAGHUVEER SINGH AN/UBIN0551376 923025.00</t>
  </si>
  <si>
    <t>27-02-2024 NEFT/AXISP00474275528/RIUP23/4756/RAGHUVEER SINGH AN/UBIN0551376 ₹ 66,209.00</t>
  </si>
  <si>
    <t>06-03-2024 NEFT/AXISP00477945206/RIUP23/4759/RAGHUVEER SINGH AN/UBIN0551376 262254.00</t>
  </si>
  <si>
    <t>06-03-2024 NEFT/AXISP00477945207/RIUP23/4758/RAGHUVEER SINGH AN/UBIN0551376 256836.00</t>
  </si>
  <si>
    <t>22-03-2024 NEFT/AXISP00483612629/RIUP23/4757/RAGHUVEER SINGH AN/UBIN0551376 27270.00</t>
  </si>
  <si>
    <t>26-03-2024 NEFT/AXISP00484218144/RIUP23/5283/RAGHUVEER SINGHAN/UBIN0551376 397575.00</t>
  </si>
  <si>
    <t>26-04-2024 NEFT/AXISP00494041782/RIUP23/5240/RAGHUVEER SINGH AN/UBIN0551376 250000.00</t>
  </si>
  <si>
    <t>07-06-2024 NEFT/AXISP00507505915/RIUP24/0561/RAGHUVEER SINGH AN/UBIN0551376 450000.00</t>
  </si>
  <si>
    <t>21-06-2024 NEFT/AXISP00510912036/RIUP24/0597/RAGHUVEER SINGH AN/UBIN0551376 200000.00</t>
  </si>
  <si>
    <t>21-06-2024 NEFT/AXISP00510912035/RIUP24/0937/RAGHUVEER SINGHAN/UBIN0551376 102998.00</t>
  </si>
  <si>
    <t>21-06-2024 NEFT/AXISP00510912032/RIUP24/0936/RAGHUVEER SINGHAN/UBIN0551376 161346.00</t>
  </si>
  <si>
    <t>05-07-2024 NEFT/AXISP00515811475/RIUP24/0598/RAGHUVEER SINGH AN/UBIN0551376 135054.00</t>
  </si>
  <si>
    <t>05-07-2024 NEFT/AXISP00515811476/RIUP24/1061/RAGHUVEER SINGH AN/UBIN0551376 36029.00</t>
  </si>
  <si>
    <t>16-07-2024 NEFT/AXISP00519021663/RIUP24/0974/RAGHUVEER SINGH AN/UBIN0551376 308199.00</t>
  </si>
  <si>
    <t>31-07-2024 NEFT/AXISP00522966386/RIUP24/1158/RAGHUVEER SINGH AN/UBIN0551376 68322.00</t>
  </si>
  <si>
    <t>31-07-2024 NEFT/AXISP00522966388/RIUP24/1157/RAGHUVEER SINGH AN/UBIN0551376 178650.00</t>
  </si>
  <si>
    <t>31-07-2024 NEFT/AXISP00522966385/RIUP24/0665/RAGHUVEER SINGH AN/UBIN0551376 132525.00</t>
  </si>
  <si>
    <t>31-07-2024 NEFT/AXISP00522966387/RIUP24/1160/RAGHUVEER SINGH AN/UBIN0551376 76950.00</t>
  </si>
  <si>
    <t>29-08-2024 NEFT/AXISP00533102971/RIUP24/1378/RAGHUVEER SINGH AN/UBIN0551376 225000.00</t>
  </si>
  <si>
    <t>19-08-2024 NEFT/AXISP00529670921/RIUP24/1380/RAGHUVEER SINGH AN/UBIN0551376 249044.00</t>
  </si>
  <si>
    <t>06-09-2024 NEFT/AXISP00537489920/RIUP24/1688/RAGHUVEER SINGH AN/UBIN0551376 147000.00</t>
  </si>
  <si>
    <t>13-09-2024 NEFT/AXISP00540414541/RIUP24/1789/RAGHUVEER SINGH AN/UBIN0551376 98000.00</t>
  </si>
  <si>
    <t>13-09-2024 NEFT/AXISP00540414543/RIUP24/1791/RAGHUVEER SINGH AN/UBIN0551376 147000.00</t>
  </si>
  <si>
    <t>13-09-2024 NEFT/AXISP00540414542/RIUP24/1790/RAGHUVEER SINGH AN/UBIN0551376 98000.00</t>
  </si>
  <si>
    <t>20-09-2024 NEFT/AXISP00542641361/RIUP24/1873/RAGHUVEER SINGH AN/UBIN0551376 73500.00</t>
  </si>
  <si>
    <t>20-09-2024 NEFT/AXISP00542641360/RIUP24/1866/RAGHUVEER SINGH AN/UBIN0551376 61852.00</t>
  </si>
  <si>
    <t>20-09-2024 NEFT/AXISP00542641362/RIUP24/1874/RAGHUVEER SINGH AN/UBIN0551376 98000.00</t>
  </si>
  <si>
    <t>30-10-2024 NEFT/AXISP00561390209/RIUP24/2352/RAGHUVEER SINGH AN/UBIN0551376 88200.00</t>
  </si>
  <si>
    <t>30-10-2024 NEFT/AXISP00561390210/RIUP24/2353/RAGHUVEER SINGH AN/UBIN0551376 441000.00</t>
  </si>
  <si>
    <t>Gst releae note</t>
  </si>
  <si>
    <t>GST release note</t>
  </si>
  <si>
    <t>23-12-2024 NEFT/AXISP00587800983/RIUP24/2794/RAGHUVEER SINGH AN/UBIN0551376 196000.00</t>
  </si>
  <si>
    <t>26-12-2024 Debit N/RIUP24/2793/RAGHUVEER SING/INDBN26123786880 196000.0</t>
  </si>
  <si>
    <t>30-01-2025 NEFT/AXISP00606020249/RIUP24/2967/RAGHUVEER SINGH AN/UBIN0551376 33373.00</t>
  </si>
  <si>
    <t>30-01-2025 NEFT/AXISP00606020250/RIUP24/2970/RAGHUVEER SINGH AN/UBIN0551376 71719.00</t>
  </si>
  <si>
    <t>30-01-2025 NEFT/AXISP00606020246/RIUP24/2208/RAGHUVEER SINGH AN/UBIN0551376 48202.00</t>
  </si>
  <si>
    <t>30-01-2025 NEFT/AXISP00606020247/RIUP24/2209/RAGHUVEER SINGH AN/UBIN0551376 40718.00</t>
  </si>
  <si>
    <t>30-01-2025 NEFT/AXISP00606020245/RIUP24/2207/RAGHUVEER SINGH AN/UBIN0551376 25650.00</t>
  </si>
  <si>
    <t>07-02-2025 NEFT/AXISP00612495137/RIUP24/2206/RAGHUVEER SINGH AN/UBIN0551376 49598.00</t>
  </si>
  <si>
    <t>07-02-2025 NEFT/AXISP00612495136/RIUP24/2205/RAGHUVEER SINGH AN/UBIN0551376 118325.00</t>
  </si>
  <si>
    <t>10-02-2025 NEFT/AXISP00613794875/RIUP24/2210/RAGHUVEER SINGH AN/UBIN0551376 150719.00</t>
  </si>
  <si>
    <t>11-02-2025 NEFT/AXISP00614452335/RIUP24/2968/RAGHUVEER SINGH AN/UBIN0551376 89578.00</t>
  </si>
  <si>
    <t>11-02-2025 NEFT/AXISP00614452336/RIUP24/2971/RAGHUVEER SINGH AN/UBIN0551376 74340.00</t>
  </si>
  <si>
    <t>07-03-2024 NEFT/AXISP00478081326/RIUP23/4761/RAGHUVEER SINGH AN/UBIN0551376 1,02,827.00</t>
  </si>
  <si>
    <t>27-02-2024 NEFT/AXISP00474275529/RIUP23/4760/RAGHUVEER SINGH AN/UBIN0551376 225710.00</t>
  </si>
  <si>
    <t>30-01-2024 NEFT/AXISP00465687466/RIUP23/4368/RAGHUVEER SINGH AN/UBIN0551376 9,19,058.00</t>
  </si>
  <si>
    <t>06-01-2024 NEFT/AXISP00460284752/RIUP23/4092/RAGHUVEER SINGH AN/UBIN0551376 5,22,711.00</t>
  </si>
  <si>
    <t>13-10-2023 NEFT/AXISP00434019637/RIUP23/2549/RAGHUVEER SINGH AN/UBIN0551376 3,52,346.00</t>
  </si>
  <si>
    <t>06-03-2025 NEFT/AXISP00628995534/RIUP24/2969/RAGHUVEER SINGH AN/UBIN0551376 22970.00</t>
  </si>
  <si>
    <t>12-03-2025 NEFT/AXISP00632214332/RIUP24/3238/RAGHUVEER SINGH AN/UBIN0551376 625000.00</t>
  </si>
  <si>
    <t>28-03-2025 NEFT/AXISP00641455059/RIUP24/3237/RAGHUVEER SINGH AN/UBIN0551376 137248.00</t>
  </si>
  <si>
    <t>09-04-2025 NEFT/AXISP00648889490/RIUP24/3515/RAGHUVEER SINGH AN/UBIN0551376 200000.00</t>
  </si>
  <si>
    <t>09-04-2025 NEFT/AXISP00648889489/RIUP24/3514/RAGHUVEER SINGH AN/UBIN0551376 200000.00</t>
  </si>
  <si>
    <t>09-04-2025 NEFT/AXISP00648889488/RIUP25/0069/RAGHUVEER SINGH AN/UBIN0551376 197465.00</t>
  </si>
  <si>
    <t>25-04-2025 NEFT/AXISP00656241459/RIUP25/0149/RAGHUVEER SINGH AN/UBIN0551376 98000.00</t>
  </si>
  <si>
    <t>25-04-2025 NEFT/AXISP00656241458/RIUP25/0148/RAGHUVEER SINGH AN/UBIN0551376 100000.00</t>
  </si>
  <si>
    <t>25-04-2025 NEFT/AXISP00656241457/RIUP25/0147/RAGHUVEER SINGH AN/UBIN0551376 200000.00</t>
  </si>
  <si>
    <t>30-04-2025 NEFT/AXISP00658414396/RIUP25/0180/RAGHUVEER SINGH AN/UBIN0551376 200000.00</t>
  </si>
  <si>
    <t>08-05-2025 NEFT/AXISP00662656519/RIUP25/0217/RAGHUVEER SINGH AN/UBIN0551376 200000.00</t>
  </si>
  <si>
    <t>21-05-2025 NEFT/AXISP00668416305/RIUP25/0297/RAGHUVEER SINGH AN/UBIN0551376 250000.00</t>
  </si>
  <si>
    <t>21-05-2025 NEFT/AXISP00668416306/RIUP25/0298/RAGHUVEER SINGH AN/UBIN0551376 147000.00</t>
  </si>
  <si>
    <t>Subcontractor:</t>
  </si>
  <si>
    <t>State:</t>
  </si>
  <si>
    <t>District:</t>
  </si>
  <si>
    <t>Block:</t>
  </si>
  <si>
    <t>Uttar Pradesh</t>
  </si>
  <si>
    <t>Muzaffarnagar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</si>
  <si>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</si>
  <si>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</si>
  <si>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</si>
  <si>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</si>
  <si>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</si>
  <si>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</si>
  <si>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</si>
  <si>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</si>
  <si>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</si>
  <si>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</si>
  <si>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</si>
  <si>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</si>
  <si>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</si>
  <si>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</si>
  <si>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</si>
  <si>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>MOHAMMADPUR MADAN Village OHT  200KL 12M staging work</t>
  </si>
  <si>
    <t>MOHAMMADPUR MADAN Village OHT  200KL 12M at work</t>
  </si>
  <si>
    <t xml:space="preserve">ALIPUR KHURD VILLAGE,BALANCE OHT 150KL 12 M WORK </t>
  </si>
  <si>
    <t>Atali Village OHT at work</t>
  </si>
  <si>
    <t>Atali Villlage OHT Work</t>
  </si>
  <si>
    <t xml:space="preserve"> DHOLARIBAL Village ANCE PIPE LAYING (CC ROAD RESTORATION) AT work</t>
  </si>
  <si>
    <t>AMIRNAGAR VILLAGE  325KL 12M BLOCK - BAGHRA at work </t>
  </si>
  <si>
    <t>AMIRNAGAR VILLAGE  325KL 12M at work</t>
  </si>
  <si>
    <t>AMIRNAGAR VILLAGE 325KL 12M  at work</t>
  </si>
  <si>
    <t>ALIPUR KHURD Village RR at work</t>
  </si>
  <si>
    <t>3, 10 ,13</t>
  </si>
  <si>
    <t>4 , 11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</si>
</sst>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  <numFmt numFmtId="166" formatCode="0.000"/>
    <numFmt numFmtId="167" formatCode="&quot;₹&quot;\ #,##0.00"/>
    <numFmt numFmtId="169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omic Sans MS"/>
      <family val="4"/>
    </font>
    <font>
      <b/>
      <sz val="11"/>
      <color theme="4" tint="-0.249977111117893"/>
      <name val="Comic Sans MS"/>
      <family val="4"/>
    </font>
    <font>
      <b/>
      <sz val="11"/>
      <color theme="1"/>
      <name val="Comic Sans MS"/>
      <family val="4"/>
    </font>
    <font>
      <sz val="11"/>
      <color rgb="FFFF0000"/>
      <name val="Comic Sans MS"/>
      <family val="4"/>
    </font>
    <font>
      <sz val="11"/>
      <name val="Comic Sans MS"/>
      <family val="4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omic Sans MS"/>
      <family val="4"/>
    </font>
    <font>
      <sz val="10"/>
      <color theme="1"/>
      <name val="Comic Sans MS"/>
      <family val="4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137">
    <xf numFmtId="0" fontId="0" fillId="0" borderId="0" xfId="0"/>
    <xf numFmtId="43" fontId="0" fillId="2" borderId="0" xfId="1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2" fillId="2" borderId="0" xfId="1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64" fontId="5" fillId="3" borderId="3" xfId="1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6" fontId="5" fillId="0" borderId="7" xfId="0" applyNumberFormat="1" applyFont="1" applyBorder="1" applyAlignment="1">
      <alignment horizontal="center" vertical="center"/>
    </xf>
    <xf numFmtId="164" fontId="5" fillId="0" borderId="3" xfId="1" applyFont="1" applyFill="1" applyBorder="1" applyAlignment="1">
      <alignment horizontal="center" vertical="center"/>
    </xf>
    <xf numFmtId="164" fontId="5" fillId="0" borderId="3" xfId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5" fillId="0" borderId="7" xfId="1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4" fontId="3" fillId="3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6" borderId="3" xfId="1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3" fillId="2" borderId="20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3" fillId="6" borderId="11" xfId="0" applyFont="1" applyFill="1" applyBorder="1" applyAlignment="1">
      <alignment vertical="center"/>
    </xf>
    <xf numFmtId="0" fontId="3" fillId="6" borderId="13" xfId="0" applyFont="1" applyFill="1" applyBorder="1" applyAlignment="1">
      <alignment vertical="center"/>
    </xf>
    <xf numFmtId="0" fontId="3" fillId="2" borderId="12" xfId="0" applyFont="1" applyFill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43" fontId="8" fillId="2" borderId="0" xfId="1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43" fontId="8" fillId="2" borderId="0" xfId="1" applyNumberFormat="1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10" fillId="2" borderId="20" xfId="0" applyFont="1" applyFill="1" applyBorder="1" applyAlignment="1">
      <alignment horizontal="center" vertical="center" wrapText="1"/>
    </xf>
    <xf numFmtId="43" fontId="10" fillId="2" borderId="20" xfId="1" applyNumberFormat="1" applyFont="1" applyFill="1" applyBorder="1" applyAlignment="1">
      <alignment horizontal="center" vertical="center"/>
    </xf>
    <xf numFmtId="43" fontId="8" fillId="2" borderId="12" xfId="1" applyNumberFormat="1" applyFont="1" applyFill="1" applyBorder="1" applyAlignment="1">
      <alignment vertical="center"/>
    </xf>
    <xf numFmtId="0" fontId="8" fillId="2" borderId="12" xfId="1" applyNumberFormat="1" applyFont="1" applyFill="1" applyBorder="1" applyAlignment="1">
      <alignment horizontal="center" vertical="center"/>
    </xf>
    <xf numFmtId="9" fontId="8" fillId="2" borderId="12" xfId="1" applyNumberFormat="1" applyFont="1" applyFill="1" applyBorder="1" applyAlignment="1">
      <alignment vertical="center"/>
    </xf>
    <xf numFmtId="43" fontId="8" fillId="6" borderId="13" xfId="1" applyNumberFormat="1" applyFont="1" applyFill="1" applyBorder="1" applyAlignment="1">
      <alignment vertical="center"/>
    </xf>
    <xf numFmtId="0" fontId="8" fillId="6" borderId="13" xfId="1" applyNumberFormat="1" applyFont="1" applyFill="1" applyBorder="1" applyAlignment="1">
      <alignment horizontal="center" vertical="center"/>
    </xf>
    <xf numFmtId="9" fontId="8" fillId="6" borderId="13" xfId="1" applyNumberFormat="1" applyFont="1" applyFill="1" applyBorder="1" applyAlignment="1">
      <alignment vertical="center"/>
    </xf>
    <xf numFmtId="0" fontId="3" fillId="7" borderId="13" xfId="0" applyFont="1" applyFill="1" applyBorder="1" applyAlignment="1">
      <alignment horizontal="center" vertical="center"/>
    </xf>
    <xf numFmtId="43" fontId="8" fillId="8" borderId="13" xfId="1" applyNumberFormat="1" applyFont="1" applyFill="1" applyBorder="1" applyAlignment="1">
      <alignment vertical="center"/>
    </xf>
    <xf numFmtId="0" fontId="8" fillId="2" borderId="11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43" fontId="8" fillId="2" borderId="11" xfId="1" applyNumberFormat="1" applyFont="1" applyFill="1" applyBorder="1" applyAlignment="1">
      <alignment vertical="center"/>
    </xf>
    <xf numFmtId="43" fontId="11" fillId="9" borderId="11" xfId="1" applyNumberFormat="1" applyFont="1" applyFill="1" applyBorder="1" applyAlignment="1">
      <alignment vertical="center"/>
    </xf>
    <xf numFmtId="0" fontId="3" fillId="2" borderId="11" xfId="0" applyFont="1" applyFill="1" applyBorder="1" applyAlignment="1">
      <alignment horizontal="center" vertical="center"/>
    </xf>
    <xf numFmtId="0" fontId="0" fillId="2" borderId="11" xfId="0" applyFill="1" applyBorder="1" applyAlignment="1">
      <alignment vertical="center"/>
    </xf>
    <xf numFmtId="0" fontId="0" fillId="2" borderId="11" xfId="0" applyFill="1" applyBorder="1" applyAlignment="1">
      <alignment vertical="center" wrapText="1"/>
    </xf>
    <xf numFmtId="165" fontId="8" fillId="2" borderId="11" xfId="1" applyNumberFormat="1" applyFont="1" applyFill="1" applyBorder="1" applyAlignment="1">
      <alignment vertical="center"/>
    </xf>
    <xf numFmtId="43" fontId="11" fillId="2" borderId="11" xfId="1" applyNumberFormat="1" applyFont="1" applyFill="1" applyBorder="1" applyAlignment="1">
      <alignment vertical="center"/>
    </xf>
    <xf numFmtId="43" fontId="8" fillId="6" borderId="11" xfId="1" applyNumberFormat="1" applyFont="1" applyFill="1" applyBorder="1" applyAlignment="1">
      <alignment vertical="center"/>
    </xf>
    <xf numFmtId="0" fontId="8" fillId="6" borderId="11" xfId="1" applyNumberFormat="1" applyFont="1" applyFill="1" applyBorder="1" applyAlignment="1">
      <alignment horizontal="center" vertical="center"/>
    </xf>
    <xf numFmtId="9" fontId="8" fillId="6" borderId="11" xfId="1" applyNumberFormat="1" applyFont="1" applyFill="1" applyBorder="1" applyAlignment="1">
      <alignment vertical="center"/>
    </xf>
    <xf numFmtId="0" fontId="3" fillId="7" borderId="11" xfId="0" applyFont="1" applyFill="1" applyBorder="1" applyAlignment="1">
      <alignment horizontal="center" vertical="center"/>
    </xf>
    <xf numFmtId="43" fontId="8" fillId="8" borderId="11" xfId="1" applyNumberFormat="1" applyFont="1" applyFill="1" applyBorder="1" applyAlignment="1">
      <alignment vertical="center"/>
    </xf>
    <xf numFmtId="0" fontId="8" fillId="2" borderId="11" xfId="1" applyNumberFormat="1" applyFont="1" applyFill="1" applyBorder="1" applyAlignment="1">
      <alignment horizontal="center" vertical="center"/>
    </xf>
    <xf numFmtId="43" fontId="12" fillId="0" borderId="11" xfId="1" applyNumberFormat="1" applyFont="1" applyFill="1" applyBorder="1" applyAlignment="1">
      <alignment vertical="center"/>
    </xf>
    <xf numFmtId="43" fontId="3" fillId="2" borderId="11" xfId="0" applyNumberFormat="1" applyFont="1" applyFill="1" applyBorder="1" applyAlignment="1">
      <alignment horizontal="center" vertical="center"/>
    </xf>
    <xf numFmtId="43" fontId="11" fillId="0" borderId="11" xfId="1" applyNumberFormat="1" applyFont="1" applyFill="1" applyBorder="1" applyAlignment="1">
      <alignment vertical="center"/>
    </xf>
    <xf numFmtId="43" fontId="8" fillId="2" borderId="11" xfId="1" applyNumberFormat="1" applyFont="1" applyFill="1" applyBorder="1" applyAlignment="1">
      <alignment vertical="center" wrapText="1"/>
    </xf>
    <xf numFmtId="0" fontId="13" fillId="2" borderId="11" xfId="0" applyFont="1" applyFill="1" applyBorder="1" applyAlignment="1">
      <alignment horizontal="center" vertical="center"/>
    </xf>
    <xf numFmtId="43" fontId="10" fillId="2" borderId="21" xfId="1" applyNumberFormat="1" applyFont="1" applyFill="1" applyBorder="1" applyAlignment="1">
      <alignment vertical="center"/>
    </xf>
    <xf numFmtId="43" fontId="8" fillId="2" borderId="21" xfId="1" applyNumberFormat="1" applyFont="1" applyFill="1" applyBorder="1" applyAlignment="1">
      <alignment vertical="center"/>
    </xf>
    <xf numFmtId="0" fontId="8" fillId="2" borderId="21" xfId="1" applyNumberFormat="1" applyFont="1" applyFill="1" applyBorder="1" applyAlignment="1">
      <alignment horizontal="center" vertical="center"/>
    </xf>
    <xf numFmtId="0" fontId="0" fillId="2" borderId="21" xfId="0" applyFill="1" applyBorder="1" applyAlignment="1">
      <alignment vertical="center"/>
    </xf>
    <xf numFmtId="43" fontId="10" fillId="2" borderId="21" xfId="1" applyNumberFormat="1" applyFont="1" applyFill="1" applyBorder="1" applyAlignment="1">
      <alignment horizontal="center" vertical="center"/>
    </xf>
    <xf numFmtId="43" fontId="10" fillId="2" borderId="20" xfId="1" applyNumberFormat="1" applyFont="1" applyFill="1" applyBorder="1" applyAlignment="1">
      <alignment vertical="center"/>
    </xf>
    <xf numFmtId="43" fontId="8" fillId="2" borderId="20" xfId="1" applyNumberFormat="1" applyFont="1" applyFill="1" applyBorder="1" applyAlignment="1">
      <alignment vertical="center"/>
    </xf>
    <xf numFmtId="0" fontId="8" fillId="2" borderId="20" xfId="1" applyNumberFormat="1" applyFont="1" applyFill="1" applyBorder="1" applyAlignment="1">
      <alignment horizontal="center" vertical="center"/>
    </xf>
    <xf numFmtId="43" fontId="10" fillId="2" borderId="11" xfId="1" applyNumberFormat="1" applyFont="1" applyFill="1" applyBorder="1" applyAlignment="1">
      <alignment vertical="center"/>
    </xf>
    <xf numFmtId="43" fontId="10" fillId="2" borderId="11" xfId="1" applyNumberFormat="1" applyFont="1" applyFill="1" applyBorder="1" applyAlignment="1">
      <alignment vertical="center" wrapText="1"/>
    </xf>
    <xf numFmtId="43" fontId="10" fillId="2" borderId="11" xfId="1" applyNumberFormat="1" applyFont="1" applyFill="1" applyBorder="1" applyAlignment="1">
      <alignment horizontal="center" vertical="center"/>
    </xf>
    <xf numFmtId="43" fontId="10" fillId="2" borderId="12" xfId="1" applyNumberFormat="1" applyFont="1" applyFill="1" applyBorder="1" applyAlignment="1">
      <alignment vertical="center"/>
    </xf>
    <xf numFmtId="43" fontId="10" fillId="2" borderId="12" xfId="1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43" fontId="0" fillId="2" borderId="0" xfId="0" applyNumberFormat="1" applyFill="1" applyAlignment="1">
      <alignment vertical="center"/>
    </xf>
    <xf numFmtId="167" fontId="0" fillId="2" borderId="0" xfId="0" applyNumberFormat="1" applyFill="1" applyAlignment="1">
      <alignment vertical="center"/>
    </xf>
    <xf numFmtId="0" fontId="7" fillId="2" borderId="0" xfId="0" applyFont="1" applyFill="1" applyAlignment="1">
      <alignment vertical="center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43" fontId="14" fillId="2" borderId="0" xfId="1" applyNumberFormat="1" applyFont="1" applyFill="1" applyBorder="1" applyAlignment="1">
      <alignment vertical="center"/>
    </xf>
    <xf numFmtId="43" fontId="15" fillId="2" borderId="0" xfId="1" applyNumberFormat="1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 wrapText="1"/>
    </xf>
    <xf numFmtId="43" fontId="16" fillId="2" borderId="11" xfId="1" applyNumberFormat="1" applyFont="1" applyFill="1" applyBorder="1" applyAlignment="1">
      <alignment vertical="center" wrapText="1"/>
    </xf>
    <xf numFmtId="0" fontId="3" fillId="0" borderId="0" xfId="0" applyFont="1"/>
    <xf numFmtId="0" fontId="3" fillId="2" borderId="20" xfId="0" applyFont="1" applyFill="1" applyBorder="1" applyAlignment="1">
      <alignment horizontal="center" vertical="center" wrapText="1"/>
    </xf>
    <xf numFmtId="164" fontId="17" fillId="2" borderId="20" xfId="1" applyFont="1" applyFill="1" applyBorder="1" applyAlignment="1">
      <alignment horizontal="center" vertical="center"/>
    </xf>
    <xf numFmtId="164" fontId="3" fillId="2" borderId="20" xfId="1" applyFont="1" applyFill="1" applyBorder="1" applyAlignment="1">
      <alignment horizontal="center" vertical="center"/>
    </xf>
    <xf numFmtId="167" fontId="3" fillId="2" borderId="18" xfId="0" applyNumberFormat="1" applyFont="1" applyFill="1" applyBorder="1" applyAlignment="1">
      <alignment horizontal="center" vertical="center"/>
    </xf>
    <xf numFmtId="167" fontId="3" fillId="2" borderId="19" xfId="0" applyNumberFormat="1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14" fontId="3" fillId="2" borderId="25" xfId="0" applyNumberFormat="1" applyFont="1" applyFill="1" applyBorder="1" applyAlignment="1">
      <alignment horizontal="center" vertical="center"/>
    </xf>
    <xf numFmtId="14" fontId="3" fillId="2" borderId="26" xfId="0" applyNumberFormat="1" applyFont="1" applyFill="1" applyBorder="1" applyAlignment="1">
      <alignment horizontal="center" vertical="center"/>
    </xf>
    <xf numFmtId="14" fontId="3" fillId="2" borderId="27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169" fontId="14" fillId="2" borderId="0" xfId="0" applyNumberFormat="1" applyFont="1" applyFill="1" applyAlignment="1">
      <alignment vertical="center"/>
    </xf>
    <xf numFmtId="169" fontId="2" fillId="2" borderId="0" xfId="1" applyNumberFormat="1" applyFont="1" applyFill="1" applyBorder="1" applyAlignment="1">
      <alignment vertical="center"/>
    </xf>
    <xf numFmtId="169" fontId="8" fillId="2" borderId="0" xfId="0" applyNumberFormat="1" applyFont="1" applyFill="1" applyAlignment="1">
      <alignment vertical="center"/>
    </xf>
    <xf numFmtId="169" fontId="3" fillId="2" borderId="20" xfId="0" applyNumberFormat="1" applyFont="1" applyFill="1" applyBorder="1" applyAlignment="1">
      <alignment horizontal="center" vertical="center"/>
    </xf>
    <xf numFmtId="169" fontId="8" fillId="2" borderId="12" xfId="1" applyNumberFormat="1" applyFont="1" applyFill="1" applyBorder="1" applyAlignment="1">
      <alignment vertical="center"/>
    </xf>
    <xf numFmtId="169" fontId="8" fillId="6" borderId="13" xfId="1" applyNumberFormat="1" applyFont="1" applyFill="1" applyBorder="1" applyAlignment="1">
      <alignment vertical="center"/>
    </xf>
    <xf numFmtId="169" fontId="8" fillId="2" borderId="11" xfId="0" applyNumberFormat="1" applyFont="1" applyFill="1" applyBorder="1" applyAlignment="1">
      <alignment horizontal="center" vertical="center"/>
    </xf>
    <xf numFmtId="169" fontId="8" fillId="2" borderId="11" xfId="1" applyNumberFormat="1" applyFont="1" applyFill="1" applyBorder="1" applyAlignment="1">
      <alignment vertical="center"/>
    </xf>
    <xf numFmtId="169" fontId="8" fillId="6" borderId="11" xfId="1" applyNumberFormat="1" applyFont="1" applyFill="1" applyBorder="1" applyAlignment="1">
      <alignment vertical="center"/>
    </xf>
    <xf numFmtId="169" fontId="8" fillId="2" borderId="11" xfId="1" applyNumberFormat="1" applyFont="1" applyFill="1" applyBorder="1" applyAlignment="1">
      <alignment horizontal="center" vertical="center"/>
    </xf>
    <xf numFmtId="169" fontId="8" fillId="2" borderId="21" xfId="1" applyNumberFormat="1" applyFont="1" applyFill="1" applyBorder="1" applyAlignment="1">
      <alignment vertical="center"/>
    </xf>
    <xf numFmtId="169" fontId="8" fillId="2" borderId="20" xfId="1" applyNumberFormat="1" applyFont="1" applyFill="1" applyBorder="1" applyAlignment="1">
      <alignment vertical="center"/>
    </xf>
    <xf numFmtId="169" fontId="0" fillId="2" borderId="0" xfId="0" applyNumberFormat="1" applyFill="1" applyAlignment="1">
      <alignment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27"/>
  <sheetViews>
    <sheetView tabSelected="1" zoomScaleNormal="100" workbookViewId="0">
      <pane ySplit="5" topLeftCell="A6" activePane="bottomLeft" state="frozen"/>
      <selection activeCell="C1" sqref="C1"/>
      <selection pane="bottomLeft" activeCell="C1" sqref="C1:C1048576"/>
    </sheetView>
  </sheetViews>
  <sheetFormatPr defaultColWidth="9" defaultRowHeight="15" x14ac:dyDescent="0.25"/>
  <cols>
    <col min="1" max="1" width="12.5703125" style="2" customWidth="1"/>
    <col min="2" max="2" width="55.140625" style="47" customWidth="1"/>
    <col min="3" max="3" width="21.28515625" style="136" bestFit="1" customWidth="1"/>
    <col min="4" max="4" width="11.7109375" style="46" bestFit="1" customWidth="1"/>
    <col min="5" max="5" width="17.28515625" style="47" bestFit="1" customWidth="1"/>
    <col min="6" max="6" width="16.42578125" style="47" customWidth="1"/>
    <col min="7" max="7" width="16.7109375" style="47" customWidth="1"/>
    <col min="8" max="8" width="15.5703125" style="1" customWidth="1"/>
    <col min="9" max="9" width="17.28515625" style="1" bestFit="1" customWidth="1"/>
    <col min="10" max="10" width="14.140625" style="47" bestFit="1" customWidth="1"/>
    <col min="11" max="11" width="17.5703125" style="47" customWidth="1"/>
    <col min="12" max="12" width="16.28515625" style="47" bestFit="1" customWidth="1"/>
    <col min="13" max="13" width="19.28515625" style="47" customWidth="1"/>
    <col min="14" max="15" width="18.140625" style="47" bestFit="1" customWidth="1"/>
    <col min="16" max="16" width="20.42578125" style="47" bestFit="1" customWidth="1"/>
    <col min="17" max="17" width="10.5703125" style="42" customWidth="1"/>
    <col min="18" max="18" width="20.42578125" style="47" bestFit="1" customWidth="1"/>
    <col min="19" max="19" width="88.28515625" style="47" customWidth="1"/>
    <col min="20" max="16384" width="9" style="47"/>
  </cols>
  <sheetData>
    <row r="1" spans="1:19" ht="18.75" x14ac:dyDescent="0.25">
      <c r="A1" s="106" t="s">
        <v>154</v>
      </c>
      <c r="B1" s="99" t="s">
        <v>3</v>
      </c>
      <c r="C1" s="124"/>
      <c r="D1" s="100"/>
      <c r="E1" s="101"/>
    </row>
    <row r="2" spans="1:19" ht="21" x14ac:dyDescent="0.25">
      <c r="A2" s="106" t="s">
        <v>155</v>
      </c>
      <c r="B2" t="s">
        <v>158</v>
      </c>
      <c r="C2" s="125"/>
      <c r="D2" s="3"/>
      <c r="E2" s="101"/>
      <c r="G2" s="48"/>
      <c r="H2" s="102"/>
      <c r="I2" s="103"/>
      <c r="J2" s="49"/>
      <c r="K2" s="49"/>
      <c r="L2" s="49"/>
      <c r="M2" s="49"/>
      <c r="N2" s="49"/>
      <c r="O2" s="49"/>
      <c r="P2" s="49"/>
    </row>
    <row r="3" spans="1:19" ht="18" x14ac:dyDescent="0.25">
      <c r="A3" s="106" t="s">
        <v>156</v>
      </c>
      <c r="B3" t="s">
        <v>159</v>
      </c>
      <c r="C3" s="126"/>
      <c r="D3" s="50"/>
      <c r="E3" s="49"/>
      <c r="F3" s="49"/>
      <c r="G3" s="49"/>
      <c r="H3" s="51"/>
      <c r="I3" s="51"/>
      <c r="J3" s="49"/>
      <c r="K3" s="49"/>
      <c r="L3" s="49"/>
      <c r="M3" s="49"/>
      <c r="N3" s="49"/>
      <c r="Q3" s="43"/>
      <c r="R3" s="52"/>
      <c r="S3" s="52"/>
    </row>
    <row r="4" spans="1:19" ht="18.75" thickBot="1" x14ac:dyDescent="0.3">
      <c r="A4" s="106" t="s">
        <v>157</v>
      </c>
      <c r="B4" t="s">
        <v>159</v>
      </c>
      <c r="C4" s="126"/>
      <c r="D4" s="50"/>
      <c r="E4" s="49"/>
      <c r="F4" s="49"/>
      <c r="G4" s="49"/>
      <c r="H4" s="51"/>
      <c r="I4" s="51"/>
      <c r="J4" s="49"/>
      <c r="K4" s="49"/>
      <c r="L4" s="49"/>
      <c r="M4" s="49"/>
      <c r="N4" s="49"/>
      <c r="Q4" s="43"/>
      <c r="R4" s="52"/>
      <c r="S4" s="52"/>
    </row>
    <row r="5" spans="1:19" ht="54" x14ac:dyDescent="0.25">
      <c r="A5" s="37" t="s">
        <v>160</v>
      </c>
      <c r="B5" s="107" t="s">
        <v>161</v>
      </c>
      <c r="C5" s="127" t="s">
        <v>162</v>
      </c>
      <c r="D5" s="44" t="s">
        <v>163</v>
      </c>
      <c r="E5" s="107" t="s">
        <v>164</v>
      </c>
      <c r="F5" s="107" t="s">
        <v>165</v>
      </c>
      <c r="G5" s="44" t="s">
        <v>166</v>
      </c>
      <c r="H5" s="108" t="s">
        <v>167</v>
      </c>
      <c r="I5" s="109" t="s">
        <v>0</v>
      </c>
      <c r="J5" s="107" t="s">
        <v>168</v>
      </c>
      <c r="K5" s="107" t="s">
        <v>169</v>
      </c>
      <c r="L5" s="107" t="s">
        <v>170</v>
      </c>
      <c r="M5" s="107" t="s">
        <v>171</v>
      </c>
      <c r="N5" s="53" t="s">
        <v>2</v>
      </c>
      <c r="O5" s="107" t="s">
        <v>172</v>
      </c>
      <c r="P5" s="107" t="s">
        <v>173</v>
      </c>
      <c r="Q5" s="44"/>
      <c r="R5" s="107" t="s">
        <v>174</v>
      </c>
      <c r="S5" s="53" t="s">
        <v>1</v>
      </c>
    </row>
    <row r="6" spans="1:19" ht="17.25" thickBot="1" x14ac:dyDescent="0.3">
      <c r="A6" s="41"/>
      <c r="B6" s="55"/>
      <c r="C6" s="128"/>
      <c r="D6" s="56"/>
      <c r="E6" s="55"/>
      <c r="F6" s="55"/>
      <c r="G6" s="55"/>
      <c r="H6" s="57">
        <v>0.18</v>
      </c>
      <c r="I6" s="55"/>
      <c r="J6" s="57">
        <v>0.02</v>
      </c>
      <c r="K6" s="57">
        <v>0.05</v>
      </c>
      <c r="L6" s="57">
        <v>0.1</v>
      </c>
      <c r="M6" s="57">
        <v>0.1</v>
      </c>
      <c r="N6" s="57"/>
      <c r="O6" s="57">
        <v>0.18</v>
      </c>
      <c r="P6" s="55"/>
      <c r="Q6" s="45"/>
      <c r="R6" s="55"/>
      <c r="S6" s="55"/>
    </row>
    <row r="7" spans="1:19" ht="16.5" x14ac:dyDescent="0.25">
      <c r="A7" s="40">
        <v>53204</v>
      </c>
      <c r="B7" s="58"/>
      <c r="C7" s="129"/>
      <c r="D7" s="59"/>
      <c r="E7" s="58"/>
      <c r="F7" s="58"/>
      <c r="G7" s="58"/>
      <c r="H7" s="60"/>
      <c r="I7" s="58"/>
      <c r="J7" s="60"/>
      <c r="K7" s="60"/>
      <c r="L7" s="60"/>
      <c r="M7" s="60"/>
      <c r="N7" s="60"/>
      <c r="O7" s="60"/>
      <c r="P7" s="58"/>
      <c r="Q7" s="61">
        <f>A7</f>
        <v>53204</v>
      </c>
      <c r="R7" s="62"/>
      <c r="S7" s="58"/>
    </row>
    <row r="8" spans="1:19" ht="33" x14ac:dyDescent="0.25">
      <c r="A8" s="40">
        <v>53204</v>
      </c>
      <c r="B8" s="63" t="s">
        <v>4</v>
      </c>
      <c r="C8" s="130">
        <v>44930</v>
      </c>
      <c r="D8" s="64">
        <v>92</v>
      </c>
      <c r="E8" s="65">
        <v>427841</v>
      </c>
      <c r="F8" s="65">
        <v>0</v>
      </c>
      <c r="G8" s="65">
        <f>E8-F8</f>
        <v>427841</v>
      </c>
      <c r="H8" s="65">
        <f>ROUND(G8*H6,0)</f>
        <v>77011</v>
      </c>
      <c r="I8" s="65">
        <f>G8+H8</f>
        <v>504852</v>
      </c>
      <c r="J8" s="65">
        <f>G8*$J$6</f>
        <v>8556.82</v>
      </c>
      <c r="K8" s="65">
        <f>G8*$K$6</f>
        <v>21392.050000000003</v>
      </c>
      <c r="L8" s="65">
        <f>G8*$L$6</f>
        <v>42784.100000000006</v>
      </c>
      <c r="M8" s="65">
        <f>G8*$M$6</f>
        <v>42784.100000000006</v>
      </c>
      <c r="N8" s="65">
        <v>40383</v>
      </c>
      <c r="O8" s="66">
        <f>H8</f>
        <v>77011</v>
      </c>
      <c r="P8" s="65">
        <f>ROUND(I8-SUM(J8:O8),0)</f>
        <v>271941</v>
      </c>
      <c r="Q8" s="67"/>
      <c r="R8" s="65">
        <v>271941</v>
      </c>
      <c r="S8" s="68" t="s">
        <v>5</v>
      </c>
    </row>
    <row r="9" spans="1:19" ht="33" x14ac:dyDescent="0.25">
      <c r="A9" s="40">
        <v>53204</v>
      </c>
      <c r="B9" s="63" t="s">
        <v>4</v>
      </c>
      <c r="C9" s="130">
        <v>44961</v>
      </c>
      <c r="D9" s="64">
        <v>96</v>
      </c>
      <c r="E9" s="65">
        <v>66870</v>
      </c>
      <c r="F9" s="65">
        <v>0</v>
      </c>
      <c r="G9" s="65">
        <f>E9-F9</f>
        <v>66870</v>
      </c>
      <c r="H9" s="65">
        <f>ROUND(G9*18%,0)</f>
        <v>12037</v>
      </c>
      <c r="I9" s="65">
        <f>G9+H9</f>
        <v>78907</v>
      </c>
      <c r="J9" s="65">
        <f>G9*$J$6</f>
        <v>1337.4</v>
      </c>
      <c r="K9" s="65">
        <f>G9*$K$6</f>
        <v>3343.5</v>
      </c>
      <c r="L9" s="65">
        <f>G9*$L$6</f>
        <v>6687</v>
      </c>
      <c r="M9" s="65">
        <f>G9*$M$6</f>
        <v>6687</v>
      </c>
      <c r="N9" s="65">
        <v>0</v>
      </c>
      <c r="O9" s="66">
        <f>H9</f>
        <v>12037</v>
      </c>
      <c r="P9" s="65">
        <f>ROUND(I9-SUM(J9:O9),0)</f>
        <v>48815</v>
      </c>
      <c r="Q9" s="67"/>
      <c r="R9" s="65">
        <v>48815</v>
      </c>
      <c r="S9" s="68" t="s">
        <v>6</v>
      </c>
    </row>
    <row r="10" spans="1:19" ht="16.5" x14ac:dyDescent="0.25">
      <c r="A10" s="40">
        <v>53204</v>
      </c>
      <c r="B10" s="63" t="s">
        <v>7</v>
      </c>
      <c r="C10" s="130">
        <v>45036</v>
      </c>
      <c r="D10" s="64">
        <v>92</v>
      </c>
      <c r="E10" s="65">
        <v>77011</v>
      </c>
      <c r="F10" s="65"/>
      <c r="G10" s="65">
        <f>E10-F10</f>
        <v>77011</v>
      </c>
      <c r="H10" s="65">
        <v>0</v>
      </c>
      <c r="I10" s="65">
        <f>G10+H10</f>
        <v>77011</v>
      </c>
      <c r="J10" s="65">
        <v>0</v>
      </c>
      <c r="K10" s="65">
        <v>0</v>
      </c>
      <c r="L10" s="65">
        <v>0</v>
      </c>
      <c r="M10" s="65">
        <v>0</v>
      </c>
      <c r="N10" s="65">
        <v>0</v>
      </c>
      <c r="O10" s="65">
        <v>0</v>
      </c>
      <c r="P10" s="66">
        <f>ROUND(I10-SUM(J10:O10),0)</f>
        <v>77011</v>
      </c>
      <c r="Q10" s="67"/>
      <c r="R10" s="65">
        <v>89048</v>
      </c>
      <c r="S10" s="69" t="s">
        <v>8</v>
      </c>
    </row>
    <row r="11" spans="1:19" ht="16.5" x14ac:dyDescent="0.25">
      <c r="A11" s="40">
        <v>53204</v>
      </c>
      <c r="B11" s="63" t="s">
        <v>7</v>
      </c>
      <c r="C11" s="130">
        <v>45037</v>
      </c>
      <c r="D11" s="64">
        <v>96</v>
      </c>
      <c r="E11" s="65">
        <v>12037</v>
      </c>
      <c r="F11" s="65"/>
      <c r="G11" s="65">
        <f>E11-F11</f>
        <v>12037</v>
      </c>
      <c r="H11" s="65">
        <v>0</v>
      </c>
      <c r="I11" s="65">
        <f>G11+H11</f>
        <v>12037</v>
      </c>
      <c r="J11" s="65">
        <v>0</v>
      </c>
      <c r="K11" s="65">
        <v>0</v>
      </c>
      <c r="L11" s="65"/>
      <c r="M11" s="65"/>
      <c r="N11" s="65"/>
      <c r="O11" s="65">
        <v>0</v>
      </c>
      <c r="P11" s="66">
        <f>I11-SUM(J11:O11)</f>
        <v>12037</v>
      </c>
      <c r="Q11" s="67"/>
      <c r="R11" s="65">
        <v>66644</v>
      </c>
      <c r="S11" s="69" t="s">
        <v>28</v>
      </c>
    </row>
    <row r="12" spans="1:19" ht="33" x14ac:dyDescent="0.25">
      <c r="A12" s="40">
        <v>53204</v>
      </c>
      <c r="B12" s="63" t="s">
        <v>4</v>
      </c>
      <c r="C12" s="131">
        <v>45066</v>
      </c>
      <c r="D12" s="64">
        <v>2</v>
      </c>
      <c r="E12" s="65">
        <v>91293</v>
      </c>
      <c r="F12" s="65"/>
      <c r="G12" s="65">
        <f>E12-F12</f>
        <v>91293</v>
      </c>
      <c r="H12" s="65">
        <f>ROUND(G12*18%,0)</f>
        <v>16433</v>
      </c>
      <c r="I12" s="65">
        <f>G12+H12</f>
        <v>107726</v>
      </c>
      <c r="J12" s="65">
        <f>G12*$J$6</f>
        <v>1825.8600000000001</v>
      </c>
      <c r="K12" s="65">
        <f>G12*$K$6</f>
        <v>4564.6500000000005</v>
      </c>
      <c r="L12" s="65">
        <f>G12*$L$6</f>
        <v>9129.3000000000011</v>
      </c>
      <c r="M12" s="65">
        <f>G12*$M$6</f>
        <v>9129.3000000000011</v>
      </c>
      <c r="N12" s="65">
        <v>0</v>
      </c>
      <c r="O12" s="66">
        <f>H12</f>
        <v>16433</v>
      </c>
      <c r="P12" s="65">
        <f>+I12-SUM(J12:O12)</f>
        <v>66643.89</v>
      </c>
      <c r="Q12" s="67"/>
      <c r="R12" s="65">
        <v>352346</v>
      </c>
      <c r="S12" s="69" t="s">
        <v>140</v>
      </c>
    </row>
    <row r="13" spans="1:19" ht="33" x14ac:dyDescent="0.25">
      <c r="A13" s="40">
        <v>53204</v>
      </c>
      <c r="B13" s="63" t="s">
        <v>4</v>
      </c>
      <c r="C13" s="131">
        <v>45202</v>
      </c>
      <c r="D13" s="64">
        <v>5</v>
      </c>
      <c r="E13" s="70">
        <v>495623.5</v>
      </c>
      <c r="F13" s="65">
        <f>648*20</f>
        <v>12960</v>
      </c>
      <c r="G13" s="65">
        <f t="shared" ref="G13:G14" si="0">E13-F13</f>
        <v>482663.5</v>
      </c>
      <c r="H13" s="65">
        <f>ROUND(G13*18%,0)</f>
        <v>86879</v>
      </c>
      <c r="I13" s="65">
        <f t="shared" ref="I13:I14" si="1">G13+H13</f>
        <v>569542.5</v>
      </c>
      <c r="J13" s="65">
        <f>G13*$J$6</f>
        <v>9653.27</v>
      </c>
      <c r="K13" s="65">
        <f>G13*$K$6</f>
        <v>24133.175000000003</v>
      </c>
      <c r="L13" s="65">
        <f>G13*$L$6</f>
        <v>48266.350000000006</v>
      </c>
      <c r="M13" s="65">
        <f>G13*$M$6</f>
        <v>48266.350000000006</v>
      </c>
      <c r="N13" s="65">
        <v>0</v>
      </c>
      <c r="O13" s="66">
        <f>H13</f>
        <v>86879</v>
      </c>
      <c r="P13" s="65">
        <f>ROUND(I13-SUM(J13:O13),0)</f>
        <v>352344</v>
      </c>
      <c r="Q13" s="67"/>
      <c r="R13" s="65">
        <v>413922</v>
      </c>
      <c r="S13" s="69" t="s">
        <v>34</v>
      </c>
    </row>
    <row r="14" spans="1:19" ht="33" x14ac:dyDescent="0.25">
      <c r="A14" s="40">
        <v>53204</v>
      </c>
      <c r="B14" s="63" t="s">
        <v>4</v>
      </c>
      <c r="C14" s="131">
        <v>45224</v>
      </c>
      <c r="D14" s="64">
        <v>7</v>
      </c>
      <c r="E14" s="65">
        <v>680280.5</v>
      </c>
      <c r="F14" s="65">
        <v>17982</v>
      </c>
      <c r="G14" s="65">
        <f t="shared" si="0"/>
        <v>662298.5</v>
      </c>
      <c r="H14" s="65">
        <f>ROUND(G14*H6,0)</f>
        <v>119214</v>
      </c>
      <c r="I14" s="65">
        <f t="shared" si="1"/>
        <v>781512.5</v>
      </c>
      <c r="J14" s="65">
        <f>G14*$J$6</f>
        <v>13245.970000000001</v>
      </c>
      <c r="K14" s="65">
        <f>G14*$K$6</f>
        <v>33114.925000000003</v>
      </c>
      <c r="L14" s="65">
        <f>G14*$L$6</f>
        <v>66229.850000000006</v>
      </c>
      <c r="M14" s="65">
        <f>G14*$M$6</f>
        <v>66229.850000000006</v>
      </c>
      <c r="N14" s="65">
        <v>69556</v>
      </c>
      <c r="O14" s="66">
        <f>H14</f>
        <v>119214</v>
      </c>
      <c r="P14" s="65">
        <f>ROUND(I14-SUM(J14:O14),0)</f>
        <v>413922</v>
      </c>
      <c r="Q14" s="67"/>
      <c r="R14" s="65">
        <v>161115</v>
      </c>
      <c r="S14" s="69" t="s">
        <v>90</v>
      </c>
    </row>
    <row r="15" spans="1:19" ht="33" x14ac:dyDescent="0.25">
      <c r="A15" s="40">
        <v>53204</v>
      </c>
      <c r="B15" s="63" t="s">
        <v>4</v>
      </c>
      <c r="C15" s="131">
        <v>45287</v>
      </c>
      <c r="D15" s="64">
        <v>22</v>
      </c>
      <c r="E15" s="65">
        <v>333209.25</v>
      </c>
      <c r="F15" s="71">
        <v>112503.3</v>
      </c>
      <c r="G15" s="65">
        <f t="shared" ref="G15" si="2">E15-F15</f>
        <v>220705.95</v>
      </c>
      <c r="H15" s="65">
        <f>ROUND(G15*H6,0)</f>
        <v>39727</v>
      </c>
      <c r="I15" s="65">
        <f t="shared" ref="I15" si="3">G15+H15</f>
        <v>260432.95</v>
      </c>
      <c r="J15" s="65">
        <f>G15*$J$6</f>
        <v>4414.1190000000006</v>
      </c>
      <c r="K15" s="65">
        <f>G15*$K$6</f>
        <v>11035.297500000001</v>
      </c>
      <c r="L15" s="65">
        <f>G15*$L$6</f>
        <v>22070.595000000001</v>
      </c>
      <c r="M15" s="65">
        <f>G15*$M$6</f>
        <v>22070.595000000001</v>
      </c>
      <c r="N15" s="65"/>
      <c r="O15" s="66">
        <f>H15</f>
        <v>39727</v>
      </c>
      <c r="P15" s="65">
        <f>ROUND(I15-SUM(J15:O15),0)</f>
        <v>161115</v>
      </c>
      <c r="Q15" s="67"/>
      <c r="R15" s="65">
        <v>262254</v>
      </c>
      <c r="S15" s="69" t="s">
        <v>95</v>
      </c>
    </row>
    <row r="16" spans="1:19" ht="30" x14ac:dyDescent="0.25">
      <c r="A16" s="40">
        <v>53204</v>
      </c>
      <c r="B16" s="63" t="s">
        <v>7</v>
      </c>
      <c r="C16" s="131"/>
      <c r="D16" s="64" t="s">
        <v>91</v>
      </c>
      <c r="E16" s="65">
        <f>O15+O14+O13+O12</f>
        <v>262253</v>
      </c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6">
        <f>E16</f>
        <v>262253</v>
      </c>
      <c r="Q16" s="67"/>
      <c r="R16" s="65">
        <v>308199</v>
      </c>
      <c r="S16" s="69" t="s">
        <v>106</v>
      </c>
    </row>
    <row r="17" spans="1:19" ht="33" x14ac:dyDescent="0.25">
      <c r="A17" s="40">
        <v>53204</v>
      </c>
      <c r="B17" s="63" t="s">
        <v>4</v>
      </c>
      <c r="C17" s="131">
        <v>45458</v>
      </c>
      <c r="D17" s="64">
        <v>5</v>
      </c>
      <c r="E17" s="65">
        <v>457692</v>
      </c>
      <c r="F17" s="65">
        <v>34731</v>
      </c>
      <c r="G17" s="65">
        <f t="shared" ref="G17" si="4">E17-F17</f>
        <v>422961</v>
      </c>
      <c r="H17" s="65">
        <f>ROUND(G17*H6,0)</f>
        <v>76133</v>
      </c>
      <c r="I17" s="65">
        <f t="shared" ref="I17" si="5">G17+H17</f>
        <v>499094</v>
      </c>
      <c r="J17" s="65">
        <f>G17*$J$6</f>
        <v>8459.2199999999993</v>
      </c>
      <c r="K17" s="65">
        <f>G17*$K$6</f>
        <v>21148.050000000003</v>
      </c>
      <c r="L17" s="65">
        <f>G17*$L$6</f>
        <v>42296.100000000006</v>
      </c>
      <c r="M17" s="65">
        <f>G17*$M$6</f>
        <v>42296.100000000006</v>
      </c>
      <c r="N17" s="65">
        <v>563</v>
      </c>
      <c r="O17" s="66">
        <f>H17</f>
        <v>76133</v>
      </c>
      <c r="P17" s="65">
        <f>ROUND(I17-SUM(J17:O17),0)</f>
        <v>308199</v>
      </c>
      <c r="Q17" s="67"/>
      <c r="R17" s="65">
        <v>225000</v>
      </c>
      <c r="S17" s="69" t="s">
        <v>111</v>
      </c>
    </row>
    <row r="18" spans="1:19" ht="33" x14ac:dyDescent="0.25">
      <c r="A18" s="40">
        <v>53204</v>
      </c>
      <c r="B18" s="63" t="s">
        <v>4</v>
      </c>
      <c r="C18" s="131">
        <v>45499</v>
      </c>
      <c r="D18" s="64">
        <v>7</v>
      </c>
      <c r="E18" s="65">
        <v>414364.5</v>
      </c>
      <c r="F18" s="65"/>
      <c r="G18" s="65">
        <f t="shared" ref="G18" si="6">E18-F18</f>
        <v>414364.5</v>
      </c>
      <c r="H18" s="65">
        <f>G18*18%</f>
        <v>74585.61</v>
      </c>
      <c r="I18" s="65">
        <f t="shared" ref="I18" si="7">G18+H18</f>
        <v>488950.11</v>
      </c>
      <c r="J18" s="65">
        <f>G18*$J$6</f>
        <v>8287.2900000000009</v>
      </c>
      <c r="K18" s="65">
        <f>G18*$K$6</f>
        <v>20718.225000000002</v>
      </c>
      <c r="L18" s="65">
        <f>G18*$L$6</f>
        <v>41436.450000000004</v>
      </c>
      <c r="M18" s="65">
        <f>G18*$M$6</f>
        <v>41436.450000000004</v>
      </c>
      <c r="N18" s="65">
        <v>70000</v>
      </c>
      <c r="O18" s="66">
        <f>H18</f>
        <v>74585.61</v>
      </c>
      <c r="P18" s="65">
        <f>ROUND(I18-SUM(J18:O18),0)</f>
        <v>232486</v>
      </c>
      <c r="Q18" s="67"/>
      <c r="R18" s="65">
        <v>73500</v>
      </c>
      <c r="S18" s="69" t="s">
        <v>117</v>
      </c>
    </row>
    <row r="19" spans="1:19" ht="30" x14ac:dyDescent="0.25">
      <c r="A19" s="40">
        <v>53204</v>
      </c>
      <c r="B19" s="63" t="s">
        <v>7</v>
      </c>
      <c r="C19" s="131"/>
      <c r="D19" s="64">
        <v>5</v>
      </c>
      <c r="E19" s="65">
        <f>O17</f>
        <v>76133</v>
      </c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6">
        <f>E19</f>
        <v>76133</v>
      </c>
      <c r="Q19" s="67"/>
      <c r="R19" s="65">
        <v>150719</v>
      </c>
      <c r="S19" s="69" t="s">
        <v>133</v>
      </c>
    </row>
    <row r="20" spans="1:19" ht="16.5" x14ac:dyDescent="0.25">
      <c r="A20" s="40">
        <v>53204</v>
      </c>
      <c r="B20" s="63" t="s">
        <v>7</v>
      </c>
      <c r="C20" s="131"/>
      <c r="D20" s="64">
        <v>7</v>
      </c>
      <c r="E20" s="65">
        <f>O18</f>
        <v>74585.61</v>
      </c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6">
        <f>E20</f>
        <v>74585.61</v>
      </c>
      <c r="Q20" s="67"/>
      <c r="R20" s="65"/>
      <c r="S20" s="69"/>
    </row>
    <row r="21" spans="1:19" ht="16.5" x14ac:dyDescent="0.25">
      <c r="A21" s="38"/>
      <c r="B21" s="63"/>
      <c r="C21" s="131"/>
      <c r="D21" s="64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7"/>
      <c r="R21" s="65"/>
      <c r="S21" s="69"/>
    </row>
    <row r="22" spans="1:19" ht="16.5" x14ac:dyDescent="0.25">
      <c r="A22" s="39">
        <v>52438</v>
      </c>
      <c r="B22" s="72"/>
      <c r="C22" s="132"/>
      <c r="D22" s="73"/>
      <c r="E22" s="72"/>
      <c r="F22" s="72"/>
      <c r="G22" s="72"/>
      <c r="H22" s="74"/>
      <c r="I22" s="72"/>
      <c r="J22" s="74"/>
      <c r="K22" s="74"/>
      <c r="L22" s="74"/>
      <c r="M22" s="74"/>
      <c r="N22" s="74"/>
      <c r="O22" s="74"/>
      <c r="P22" s="72"/>
      <c r="Q22" s="75">
        <f>A22</f>
        <v>52438</v>
      </c>
      <c r="R22" s="76"/>
      <c r="S22" s="72"/>
    </row>
    <row r="23" spans="1:19" ht="16.5" x14ac:dyDescent="0.25">
      <c r="A23" s="39">
        <v>52438</v>
      </c>
      <c r="B23" s="65" t="s">
        <v>9</v>
      </c>
      <c r="C23" s="131">
        <v>44834</v>
      </c>
      <c r="D23" s="77">
        <v>89</v>
      </c>
      <c r="E23" s="65">
        <v>533389</v>
      </c>
      <c r="F23" s="65">
        <v>0</v>
      </c>
      <c r="G23" s="65">
        <v>533389</v>
      </c>
      <c r="H23" s="65">
        <v>96010</v>
      </c>
      <c r="I23" s="65">
        <v>629399</v>
      </c>
      <c r="J23" s="65">
        <v>10667.78</v>
      </c>
      <c r="K23" s="65">
        <v>26669.45</v>
      </c>
      <c r="L23" s="65">
        <v>26669.45</v>
      </c>
      <c r="M23" s="65">
        <v>53338.9</v>
      </c>
      <c r="N23" s="65">
        <v>76520</v>
      </c>
      <c r="O23" s="66">
        <v>96010</v>
      </c>
      <c r="P23" s="65">
        <v>339523</v>
      </c>
      <c r="Q23" s="67"/>
      <c r="R23" s="65">
        <v>245000</v>
      </c>
      <c r="S23" s="68" t="s">
        <v>10</v>
      </c>
    </row>
    <row r="24" spans="1:19" ht="16.5" x14ac:dyDescent="0.25">
      <c r="A24" s="39">
        <v>52438</v>
      </c>
      <c r="B24" s="65" t="s">
        <v>7</v>
      </c>
      <c r="C24" s="131">
        <v>44883</v>
      </c>
      <c r="D24" s="77">
        <v>89</v>
      </c>
      <c r="E24" s="65">
        <v>96010</v>
      </c>
      <c r="F24" s="65"/>
      <c r="G24" s="65">
        <v>96010</v>
      </c>
      <c r="H24" s="65">
        <v>0</v>
      </c>
      <c r="I24" s="65">
        <v>96010</v>
      </c>
      <c r="J24" s="65">
        <v>0</v>
      </c>
      <c r="K24" s="65">
        <v>0</v>
      </c>
      <c r="L24" s="65"/>
      <c r="M24" s="65"/>
      <c r="N24" s="65"/>
      <c r="O24" s="65">
        <v>0</v>
      </c>
      <c r="P24" s="66">
        <v>96010</v>
      </c>
      <c r="Q24" s="67"/>
      <c r="R24" s="65">
        <v>94523</v>
      </c>
      <c r="S24" s="68" t="s">
        <v>11</v>
      </c>
    </row>
    <row r="25" spans="1:19" ht="16.5" x14ac:dyDescent="0.25">
      <c r="A25" s="39">
        <v>52438</v>
      </c>
      <c r="B25" s="65" t="s">
        <v>9</v>
      </c>
      <c r="C25" s="131">
        <v>44961</v>
      </c>
      <c r="D25" s="77">
        <v>97</v>
      </c>
      <c r="E25" s="65">
        <v>540589</v>
      </c>
      <c r="F25" s="65"/>
      <c r="G25" s="65">
        <v>540589</v>
      </c>
      <c r="H25" s="65">
        <v>97306</v>
      </c>
      <c r="I25" s="65">
        <v>637895</v>
      </c>
      <c r="J25" s="65">
        <v>10811.78</v>
      </c>
      <c r="K25" s="65">
        <v>27029.45</v>
      </c>
      <c r="L25" s="65">
        <v>54058.9</v>
      </c>
      <c r="M25" s="65">
        <v>54058.9</v>
      </c>
      <c r="N25" s="65"/>
      <c r="O25" s="66">
        <v>97306</v>
      </c>
      <c r="P25" s="65">
        <f>G25-J25-K25-L25-M25-N25</f>
        <v>394629.96999999991</v>
      </c>
      <c r="Q25" s="67"/>
      <c r="R25" s="65">
        <v>96010</v>
      </c>
      <c r="S25" s="68" t="s">
        <v>12</v>
      </c>
    </row>
    <row r="26" spans="1:19" ht="16.5" x14ac:dyDescent="0.25">
      <c r="A26" s="39">
        <v>52438</v>
      </c>
      <c r="B26" s="65" t="s">
        <v>7</v>
      </c>
      <c r="C26" s="131">
        <v>45036</v>
      </c>
      <c r="D26" s="77">
        <v>97</v>
      </c>
      <c r="E26" s="65">
        <v>97306</v>
      </c>
      <c r="F26" s="65"/>
      <c r="G26" s="65">
        <v>97306</v>
      </c>
      <c r="H26" s="65">
        <v>0</v>
      </c>
      <c r="I26" s="65">
        <v>97306</v>
      </c>
      <c r="J26" s="65">
        <v>0</v>
      </c>
      <c r="K26" s="65">
        <v>0</v>
      </c>
      <c r="L26" s="65"/>
      <c r="M26" s="65"/>
      <c r="N26" s="65"/>
      <c r="O26" s="65">
        <v>0</v>
      </c>
      <c r="P26" s="66">
        <v>97306</v>
      </c>
      <c r="Q26" s="67"/>
      <c r="R26" s="65">
        <v>98000</v>
      </c>
      <c r="S26" s="68" t="s">
        <v>13</v>
      </c>
    </row>
    <row r="27" spans="1:19" ht="16.5" x14ac:dyDescent="0.25">
      <c r="A27" s="39">
        <v>52438</v>
      </c>
      <c r="B27" s="65" t="s">
        <v>9</v>
      </c>
      <c r="C27" s="131">
        <v>45066</v>
      </c>
      <c r="D27" s="77">
        <v>3</v>
      </c>
      <c r="E27" s="65">
        <v>19748</v>
      </c>
      <c r="F27" s="65"/>
      <c r="G27" s="65">
        <v>19748</v>
      </c>
      <c r="H27" s="65">
        <v>3555</v>
      </c>
      <c r="I27" s="65">
        <v>23303</v>
      </c>
      <c r="J27" s="65">
        <v>394.96000000000004</v>
      </c>
      <c r="K27" s="65">
        <v>987.40000000000009</v>
      </c>
      <c r="L27" s="65">
        <v>1974.8000000000002</v>
      </c>
      <c r="M27" s="65">
        <v>1974.8000000000002</v>
      </c>
      <c r="N27" s="65">
        <v>12217</v>
      </c>
      <c r="O27" s="66">
        <v>3555</v>
      </c>
      <c r="P27" s="65">
        <v>2199</v>
      </c>
      <c r="Q27" s="67"/>
      <c r="R27" s="65">
        <v>294000</v>
      </c>
      <c r="S27" s="68" t="s">
        <v>14</v>
      </c>
    </row>
    <row r="28" spans="1:19" ht="16.5" x14ac:dyDescent="0.25">
      <c r="A28" s="39">
        <v>52438</v>
      </c>
      <c r="B28" s="65" t="s">
        <v>9</v>
      </c>
      <c r="C28" s="131">
        <v>45267</v>
      </c>
      <c r="D28" s="77">
        <v>10</v>
      </c>
      <c r="E28" s="65">
        <v>691074</v>
      </c>
      <c r="F28" s="65"/>
      <c r="G28" s="65">
        <f>E28-F28</f>
        <v>691074</v>
      </c>
      <c r="H28" s="65">
        <f>G28*18%</f>
        <v>124393.31999999999</v>
      </c>
      <c r="I28" s="65">
        <f>G28+H28</f>
        <v>815467.32</v>
      </c>
      <c r="J28" s="65">
        <f>2%*G28</f>
        <v>13821.48</v>
      </c>
      <c r="K28" s="65">
        <f>G28*5%</f>
        <v>34553.700000000004</v>
      </c>
      <c r="L28" s="65">
        <f>G28*10%</f>
        <v>69107.400000000009</v>
      </c>
      <c r="M28" s="65">
        <f>G28*10%</f>
        <v>69107.400000000009</v>
      </c>
      <c r="N28" s="65">
        <v>0</v>
      </c>
      <c r="O28" s="66">
        <f>H28</f>
        <v>124393.31999999999</v>
      </c>
      <c r="P28" s="65">
        <f>G28-J28-K28-L28-M28</f>
        <v>504484.02</v>
      </c>
      <c r="Q28" s="67"/>
      <c r="R28" s="65">
        <v>2630</v>
      </c>
      <c r="S28" s="68" t="s">
        <v>15</v>
      </c>
    </row>
    <row r="29" spans="1:19" ht="16.5" x14ac:dyDescent="0.25">
      <c r="A29" s="39">
        <v>52438</v>
      </c>
      <c r="B29" s="65" t="s">
        <v>9</v>
      </c>
      <c r="C29" s="131">
        <v>45287</v>
      </c>
      <c r="D29" s="77">
        <v>13</v>
      </c>
      <c r="E29" s="65">
        <v>716042.25</v>
      </c>
      <c r="F29" s="65"/>
      <c r="G29" s="65">
        <f>E29-F29</f>
        <v>716042.25</v>
      </c>
      <c r="H29" s="65">
        <f>G29*18%</f>
        <v>128887.605</v>
      </c>
      <c r="I29" s="65">
        <f>G29+H29</f>
        <v>844929.85499999998</v>
      </c>
      <c r="J29" s="65">
        <f>2%*G29</f>
        <v>14320.845000000001</v>
      </c>
      <c r="K29" s="65">
        <f>G29*5%</f>
        <v>35802.112500000003</v>
      </c>
      <c r="L29" s="65">
        <f>G29*10%</f>
        <v>71604.225000000006</v>
      </c>
      <c r="M29" s="65">
        <f>G29*10%</f>
        <v>71604.225000000006</v>
      </c>
      <c r="N29" s="65">
        <v>0</v>
      </c>
      <c r="O29" s="66">
        <f>H29</f>
        <v>128887.605</v>
      </c>
      <c r="P29" s="65">
        <f>G29-J29-K29-L29-M29</f>
        <v>522710.84250000003</v>
      </c>
      <c r="Q29" s="67"/>
      <c r="R29" s="65">
        <v>97306</v>
      </c>
      <c r="S29" s="68" t="s">
        <v>16</v>
      </c>
    </row>
    <row r="30" spans="1:19" ht="16.5" x14ac:dyDescent="0.25">
      <c r="A30" s="39">
        <v>52438</v>
      </c>
      <c r="B30" s="65" t="s">
        <v>7</v>
      </c>
      <c r="C30" s="131"/>
      <c r="D30" s="77" t="s">
        <v>185</v>
      </c>
      <c r="E30" s="65">
        <f>O29+O28+O27</f>
        <v>256835.92499999999</v>
      </c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6">
        <f>E30</f>
        <v>256835.92499999999</v>
      </c>
      <c r="Q30" s="67"/>
      <c r="R30" s="65">
        <v>2199</v>
      </c>
      <c r="S30" s="68" t="s">
        <v>17</v>
      </c>
    </row>
    <row r="31" spans="1:19" ht="16.5" x14ac:dyDescent="0.25">
      <c r="A31" s="39">
        <v>52438</v>
      </c>
      <c r="B31" s="65" t="s">
        <v>9</v>
      </c>
      <c r="C31" s="131">
        <v>45554</v>
      </c>
      <c r="D31" s="77">
        <v>9</v>
      </c>
      <c r="E31" s="65">
        <v>515890</v>
      </c>
      <c r="F31" s="65">
        <v>330484</v>
      </c>
      <c r="G31" s="65">
        <f>E31-F31</f>
        <v>185406</v>
      </c>
      <c r="H31" s="65">
        <f>G31*18%</f>
        <v>33373.08</v>
      </c>
      <c r="I31" s="65">
        <f>G31+H31</f>
        <v>218779.08000000002</v>
      </c>
      <c r="J31" s="65">
        <f>2%*G31</f>
        <v>3708.12</v>
      </c>
      <c r="K31" s="65">
        <f>G31*5%</f>
        <v>9270.3000000000011</v>
      </c>
      <c r="L31" s="65">
        <f>G31*10%</f>
        <v>18540.600000000002</v>
      </c>
      <c r="M31" s="65">
        <f>G31*10%</f>
        <v>18540.600000000002</v>
      </c>
      <c r="N31" s="65">
        <v>73494</v>
      </c>
      <c r="O31" s="78">
        <f>H31</f>
        <v>33373.08</v>
      </c>
      <c r="P31" s="65">
        <f>G31-J31-K31-L31-M31-N31</f>
        <v>61852.380000000005</v>
      </c>
      <c r="Q31" s="67"/>
      <c r="R31" s="65">
        <v>504485</v>
      </c>
      <c r="S31" s="68" t="s">
        <v>40</v>
      </c>
    </row>
    <row r="32" spans="1:19" ht="16.5" x14ac:dyDescent="0.25">
      <c r="A32" s="39">
        <v>52438</v>
      </c>
      <c r="B32" s="65" t="s">
        <v>7</v>
      </c>
      <c r="C32" s="131"/>
      <c r="D32" s="77">
        <v>9</v>
      </c>
      <c r="E32" s="65">
        <f>O31</f>
        <v>33373.08</v>
      </c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6">
        <f>E32</f>
        <v>33373.08</v>
      </c>
      <c r="Q32" s="67"/>
      <c r="R32" s="65">
        <v>522711</v>
      </c>
      <c r="S32" s="68" t="s">
        <v>139</v>
      </c>
    </row>
    <row r="33" spans="1:19" ht="16.5" x14ac:dyDescent="0.25">
      <c r="A33" s="39">
        <v>52438</v>
      </c>
      <c r="B33" s="65"/>
      <c r="C33" s="131"/>
      <c r="D33" s="77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7"/>
      <c r="R33" s="65">
        <v>256836</v>
      </c>
      <c r="S33" s="68" t="s">
        <v>96</v>
      </c>
    </row>
    <row r="34" spans="1:19" ht="16.5" x14ac:dyDescent="0.25">
      <c r="A34" s="39">
        <v>52438</v>
      </c>
      <c r="B34" s="65"/>
      <c r="C34" s="131"/>
      <c r="D34" s="77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7"/>
      <c r="R34" s="65">
        <v>61852</v>
      </c>
      <c r="S34" s="68" t="s">
        <v>118</v>
      </c>
    </row>
    <row r="35" spans="1:19" ht="16.5" x14ac:dyDescent="0.25">
      <c r="A35" s="39">
        <v>52438</v>
      </c>
      <c r="B35" s="65"/>
      <c r="C35" s="131"/>
      <c r="D35" s="77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7"/>
      <c r="R35" s="65">
        <v>33373</v>
      </c>
      <c r="S35" s="68" t="s">
        <v>126</v>
      </c>
    </row>
    <row r="36" spans="1:19" ht="16.5" x14ac:dyDescent="0.25">
      <c r="A36" s="39">
        <v>51759</v>
      </c>
      <c r="B36" s="72"/>
      <c r="C36" s="132"/>
      <c r="D36" s="73"/>
      <c r="E36" s="72"/>
      <c r="F36" s="72"/>
      <c r="G36" s="72"/>
      <c r="H36" s="74"/>
      <c r="I36" s="72"/>
      <c r="J36" s="74"/>
      <c r="K36" s="74"/>
      <c r="L36" s="74"/>
      <c r="M36" s="74"/>
      <c r="N36" s="74"/>
      <c r="O36" s="74"/>
      <c r="P36" s="72"/>
      <c r="Q36" s="75">
        <f>A36</f>
        <v>51759</v>
      </c>
      <c r="R36" s="76"/>
      <c r="S36" s="72"/>
    </row>
    <row r="37" spans="1:19" ht="16.5" x14ac:dyDescent="0.25">
      <c r="A37" s="39">
        <v>51759</v>
      </c>
      <c r="B37" s="65" t="s">
        <v>18</v>
      </c>
      <c r="C37" s="131">
        <v>44834</v>
      </c>
      <c r="D37" s="77">
        <v>88</v>
      </c>
      <c r="E37" s="65">
        <v>1242338</v>
      </c>
      <c r="F37" s="65">
        <v>0</v>
      </c>
      <c r="G37" s="65">
        <v>1242338</v>
      </c>
      <c r="H37" s="65">
        <f>G37*18%</f>
        <v>223620.84</v>
      </c>
      <c r="I37" s="65">
        <f>G37+H37</f>
        <v>1465958.84</v>
      </c>
      <c r="J37" s="65">
        <f>G37*2%</f>
        <v>24846.760000000002</v>
      </c>
      <c r="K37" s="65">
        <f>G37*5%</f>
        <v>62116.9</v>
      </c>
      <c r="L37" s="65">
        <f>G37*5%</f>
        <v>62116.9</v>
      </c>
      <c r="M37" s="65">
        <f>G37*10%</f>
        <v>124233.8</v>
      </c>
      <c r="N37" s="65">
        <v>109689</v>
      </c>
      <c r="O37" s="66">
        <f>H37</f>
        <v>223620.84</v>
      </c>
      <c r="P37" s="65">
        <f>I37-SUM(J37:O37)</f>
        <v>859334.64000000013</v>
      </c>
      <c r="Q37" s="67"/>
      <c r="R37" s="65">
        <v>294000</v>
      </c>
      <c r="S37" s="68" t="s">
        <v>19</v>
      </c>
    </row>
    <row r="38" spans="1:19" ht="16.5" x14ac:dyDescent="0.25">
      <c r="A38" s="39">
        <v>51759</v>
      </c>
      <c r="B38" s="65" t="s">
        <v>7</v>
      </c>
      <c r="C38" s="131">
        <v>44865</v>
      </c>
      <c r="D38" s="77">
        <v>88</v>
      </c>
      <c r="E38" s="65">
        <v>223621</v>
      </c>
      <c r="F38" s="65">
        <v>0</v>
      </c>
      <c r="G38" s="65">
        <v>223621</v>
      </c>
      <c r="H38" s="65">
        <v>0</v>
      </c>
      <c r="I38" s="65">
        <v>223621</v>
      </c>
      <c r="J38" s="65">
        <v>0</v>
      </c>
      <c r="K38" s="65">
        <v>0</v>
      </c>
      <c r="L38" s="65">
        <v>0</v>
      </c>
      <c r="M38" s="65">
        <v>0</v>
      </c>
      <c r="N38" s="65">
        <v>0</v>
      </c>
      <c r="O38" s="65">
        <v>0</v>
      </c>
      <c r="P38" s="66">
        <v>223621</v>
      </c>
      <c r="Q38" s="67"/>
      <c r="R38" s="65">
        <v>490000</v>
      </c>
      <c r="S38" s="68" t="s">
        <v>20</v>
      </c>
    </row>
    <row r="39" spans="1:19" ht="16.5" x14ac:dyDescent="0.25">
      <c r="A39" s="39">
        <v>51759</v>
      </c>
      <c r="B39" s="65" t="s">
        <v>18</v>
      </c>
      <c r="C39" s="131">
        <v>44913</v>
      </c>
      <c r="D39" s="77">
        <v>91</v>
      </c>
      <c r="E39" s="65">
        <v>525849</v>
      </c>
      <c r="F39" s="65">
        <v>0</v>
      </c>
      <c r="G39" s="65">
        <v>525849</v>
      </c>
      <c r="H39" s="65">
        <v>94653</v>
      </c>
      <c r="I39" s="65">
        <v>620502</v>
      </c>
      <c r="J39" s="65">
        <f>G39*2%</f>
        <v>10516.98</v>
      </c>
      <c r="K39" s="65">
        <v>26292</v>
      </c>
      <c r="L39" s="65">
        <v>52585</v>
      </c>
      <c r="M39" s="65">
        <v>52585</v>
      </c>
      <c r="N39" s="65">
        <v>64237</v>
      </c>
      <c r="O39" s="66">
        <f>H39</f>
        <v>94653</v>
      </c>
      <c r="P39" s="65">
        <v>319633</v>
      </c>
      <c r="Q39" s="79"/>
      <c r="R39" s="65">
        <v>75333</v>
      </c>
      <c r="S39" s="68" t="s">
        <v>21</v>
      </c>
    </row>
    <row r="40" spans="1:19" ht="16.5" x14ac:dyDescent="0.25">
      <c r="A40" s="39">
        <v>51759</v>
      </c>
      <c r="B40" s="65" t="s">
        <v>7</v>
      </c>
      <c r="C40" s="131">
        <v>44950</v>
      </c>
      <c r="D40" s="77">
        <v>91</v>
      </c>
      <c r="E40" s="65">
        <v>94653</v>
      </c>
      <c r="F40" s="65">
        <v>0</v>
      </c>
      <c r="G40" s="65">
        <v>94653</v>
      </c>
      <c r="H40" s="65">
        <v>0</v>
      </c>
      <c r="I40" s="65">
        <v>94653</v>
      </c>
      <c r="J40" s="65">
        <v>0</v>
      </c>
      <c r="K40" s="65">
        <v>0</v>
      </c>
      <c r="L40" s="65">
        <v>0</v>
      </c>
      <c r="M40" s="65">
        <v>0</v>
      </c>
      <c r="N40" s="65">
        <v>0</v>
      </c>
      <c r="O40" s="65">
        <v>0</v>
      </c>
      <c r="P40" s="66">
        <v>94653</v>
      </c>
      <c r="Q40" s="67"/>
      <c r="R40" s="65">
        <v>196000</v>
      </c>
      <c r="S40" s="68" t="s">
        <v>22</v>
      </c>
    </row>
    <row r="41" spans="1:19" ht="16.5" x14ac:dyDescent="0.25">
      <c r="A41" s="39">
        <v>51759</v>
      </c>
      <c r="B41" s="65" t="s">
        <v>18</v>
      </c>
      <c r="C41" s="131">
        <v>44961</v>
      </c>
      <c r="D41" s="77">
        <v>95</v>
      </c>
      <c r="E41" s="65">
        <v>108010</v>
      </c>
      <c r="F41" s="65">
        <v>0</v>
      </c>
      <c r="G41" s="65">
        <v>108010</v>
      </c>
      <c r="H41" s="65">
        <v>19442</v>
      </c>
      <c r="I41" s="65">
        <v>127452</v>
      </c>
      <c r="J41" s="65">
        <f>G41*2%</f>
        <v>2160.1999999999998</v>
      </c>
      <c r="K41" s="65">
        <v>5401</v>
      </c>
      <c r="L41" s="65">
        <v>10801</v>
      </c>
      <c r="M41" s="65">
        <v>10801</v>
      </c>
      <c r="N41" s="65">
        <v>0</v>
      </c>
      <c r="O41" s="66">
        <f>H41</f>
        <v>19442</v>
      </c>
      <c r="P41" s="65">
        <v>78847</v>
      </c>
      <c r="Q41" s="79"/>
      <c r="R41" s="65">
        <v>223621</v>
      </c>
      <c r="S41" s="68" t="s">
        <v>23</v>
      </c>
    </row>
    <row r="42" spans="1:19" ht="16.5" x14ac:dyDescent="0.25">
      <c r="A42" s="39">
        <v>51759</v>
      </c>
      <c r="B42" s="65" t="s">
        <v>7</v>
      </c>
      <c r="C42" s="131">
        <v>45036</v>
      </c>
      <c r="D42" s="77">
        <v>95</v>
      </c>
      <c r="E42" s="65">
        <v>19442</v>
      </c>
      <c r="F42" s="65">
        <v>0</v>
      </c>
      <c r="G42" s="65">
        <v>19442</v>
      </c>
      <c r="H42" s="65">
        <v>0</v>
      </c>
      <c r="I42" s="65">
        <v>19442</v>
      </c>
      <c r="J42" s="65">
        <v>0</v>
      </c>
      <c r="K42" s="65">
        <v>0</v>
      </c>
      <c r="L42" s="65">
        <v>0</v>
      </c>
      <c r="M42" s="65">
        <v>0</v>
      </c>
      <c r="N42" s="65">
        <v>0</v>
      </c>
      <c r="O42" s="65">
        <v>0</v>
      </c>
      <c r="P42" s="66">
        <v>19442</v>
      </c>
      <c r="Q42" s="79"/>
      <c r="R42" s="65">
        <v>196000</v>
      </c>
      <c r="S42" s="68" t="s">
        <v>24</v>
      </c>
    </row>
    <row r="43" spans="1:19" ht="16.5" x14ac:dyDescent="0.25">
      <c r="A43" s="39">
        <v>51759</v>
      </c>
      <c r="B43" s="65" t="s">
        <v>18</v>
      </c>
      <c r="C43" s="131">
        <v>45057</v>
      </c>
      <c r="D43" s="77">
        <v>1</v>
      </c>
      <c r="E43" s="65">
        <v>151502</v>
      </c>
      <c r="F43" s="65">
        <v>0</v>
      </c>
      <c r="G43" s="65">
        <v>151502</v>
      </c>
      <c r="H43" s="65">
        <v>27270</v>
      </c>
      <c r="I43" s="65">
        <v>178772</v>
      </c>
      <c r="J43" s="65">
        <f>G43*2%</f>
        <v>3030.04</v>
      </c>
      <c r="K43" s="65">
        <v>7575</v>
      </c>
      <c r="L43" s="65">
        <v>15150</v>
      </c>
      <c r="M43" s="65">
        <v>15150</v>
      </c>
      <c r="N43" s="65">
        <v>0</v>
      </c>
      <c r="O43" s="66">
        <f>H43</f>
        <v>27270</v>
      </c>
      <c r="P43" s="65">
        <v>110597</v>
      </c>
      <c r="Q43" s="67"/>
      <c r="R43" s="65">
        <v>147000</v>
      </c>
      <c r="S43" s="68" t="s">
        <v>25</v>
      </c>
    </row>
    <row r="44" spans="1:19" ht="16.5" x14ac:dyDescent="0.25">
      <c r="A44" s="39">
        <v>51759</v>
      </c>
      <c r="B44" s="65" t="s">
        <v>18</v>
      </c>
      <c r="C44" s="133" t="s">
        <v>92</v>
      </c>
      <c r="D44" s="77">
        <v>23</v>
      </c>
      <c r="E44" s="65">
        <v>1322071</v>
      </c>
      <c r="F44" s="65">
        <v>10800</v>
      </c>
      <c r="G44" s="65">
        <f>E44-F44</f>
        <v>1311271</v>
      </c>
      <c r="H44" s="65">
        <f>G44*18%</f>
        <v>236028.78</v>
      </c>
      <c r="I44" s="65">
        <f>G44+H44</f>
        <v>1547299.78</v>
      </c>
      <c r="J44" s="65">
        <f>G44*2%</f>
        <v>26225.420000000002</v>
      </c>
      <c r="K44" s="65">
        <f>G44*5%</f>
        <v>65563.55</v>
      </c>
      <c r="L44" s="65">
        <f>G44*10%</f>
        <v>131127.1</v>
      </c>
      <c r="M44" s="65">
        <f>G44*10%</f>
        <v>131127.1</v>
      </c>
      <c r="N44" s="65">
        <v>38170</v>
      </c>
      <c r="O44" s="66">
        <f>H44</f>
        <v>236028.78</v>
      </c>
      <c r="P44" s="65">
        <f>I44-SUM(J44:O44)</f>
        <v>919057.83</v>
      </c>
      <c r="Q44" s="67"/>
      <c r="R44" s="65">
        <v>19442</v>
      </c>
      <c r="S44" s="68" t="s">
        <v>26</v>
      </c>
    </row>
    <row r="45" spans="1:19" ht="16.5" x14ac:dyDescent="0.25">
      <c r="A45" s="39">
        <v>51759</v>
      </c>
      <c r="B45" s="65" t="s">
        <v>7</v>
      </c>
      <c r="C45" s="131"/>
      <c r="D45" s="77">
        <v>1</v>
      </c>
      <c r="E45" s="65">
        <f>O43</f>
        <v>27270</v>
      </c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6">
        <f>E45</f>
        <v>27270</v>
      </c>
      <c r="Q45" s="67"/>
      <c r="R45" s="65">
        <v>64731</v>
      </c>
      <c r="S45" s="68" t="s">
        <v>27</v>
      </c>
    </row>
    <row r="46" spans="1:19" ht="16.5" x14ac:dyDescent="0.25">
      <c r="A46" s="39">
        <v>51759</v>
      </c>
      <c r="B46" s="65" t="s">
        <v>7</v>
      </c>
      <c r="C46" s="131"/>
      <c r="D46" s="77">
        <v>23</v>
      </c>
      <c r="E46" s="65">
        <f>H44</f>
        <v>236028.78</v>
      </c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6">
        <f>E46</f>
        <v>236028.78</v>
      </c>
      <c r="Q46" s="67"/>
      <c r="R46" s="65">
        <v>919058</v>
      </c>
      <c r="S46" s="68" t="s">
        <v>138</v>
      </c>
    </row>
    <row r="47" spans="1:19" ht="16.5" x14ac:dyDescent="0.25">
      <c r="A47" s="39">
        <v>51759</v>
      </c>
      <c r="B47" s="65" t="s">
        <v>18</v>
      </c>
      <c r="C47" s="131">
        <v>45427</v>
      </c>
      <c r="D47" s="77">
        <v>3</v>
      </c>
      <c r="E47" s="65">
        <v>275542</v>
      </c>
      <c r="F47" s="65"/>
      <c r="G47" s="65">
        <f>E47-F47</f>
        <v>275542</v>
      </c>
      <c r="H47" s="65">
        <f>G47*18%</f>
        <v>49597.56</v>
      </c>
      <c r="I47" s="65">
        <f>G47+H47</f>
        <v>325139.56</v>
      </c>
      <c r="J47" s="65">
        <f>G47*2%</f>
        <v>5510.84</v>
      </c>
      <c r="K47" s="65">
        <f>G47*5%</f>
        <v>13777.1</v>
      </c>
      <c r="L47" s="65">
        <f>G47*10%</f>
        <v>27554.2</v>
      </c>
      <c r="M47" s="65">
        <f>G47*10%</f>
        <v>27554.2</v>
      </c>
      <c r="N47" s="65">
        <v>66092</v>
      </c>
      <c r="O47" s="66">
        <f>H47</f>
        <v>49597.56</v>
      </c>
      <c r="P47" s="65">
        <f>I47-SUM(J47:O47)</f>
        <v>135053.66</v>
      </c>
      <c r="Q47" s="67"/>
      <c r="R47" s="65">
        <v>27270</v>
      </c>
      <c r="S47" s="68" t="s">
        <v>97</v>
      </c>
    </row>
    <row r="48" spans="1:19" ht="16.5" x14ac:dyDescent="0.25">
      <c r="A48" s="39">
        <v>51759</v>
      </c>
      <c r="B48" s="65" t="s">
        <v>7</v>
      </c>
      <c r="C48" s="131"/>
      <c r="D48" s="77">
        <v>3</v>
      </c>
      <c r="E48" s="65">
        <f>O47</f>
        <v>49597.56</v>
      </c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6">
        <f>E48</f>
        <v>49597.56</v>
      </c>
      <c r="Q48" s="67"/>
      <c r="R48" s="65">
        <v>200000</v>
      </c>
      <c r="S48" s="68" t="s">
        <v>101</v>
      </c>
    </row>
    <row r="49" spans="1:19" ht="16.5" x14ac:dyDescent="0.25">
      <c r="A49" s="39">
        <v>51759</v>
      </c>
      <c r="B49" s="65"/>
      <c r="C49" s="131"/>
      <c r="D49" s="77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7"/>
      <c r="R49" s="65">
        <v>135054</v>
      </c>
      <c r="S49" s="68" t="s">
        <v>104</v>
      </c>
    </row>
    <row r="50" spans="1:19" ht="16.5" x14ac:dyDescent="0.25">
      <c r="A50" s="39">
        <v>51759</v>
      </c>
      <c r="B50" s="65"/>
      <c r="C50" s="131"/>
      <c r="D50" s="77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7"/>
      <c r="R50" s="65">
        <v>36029</v>
      </c>
      <c r="S50" s="68" t="s">
        <v>105</v>
      </c>
    </row>
    <row r="51" spans="1:19" ht="16.5" x14ac:dyDescent="0.25">
      <c r="A51" s="39">
        <v>51759</v>
      </c>
      <c r="B51" s="65"/>
      <c r="C51" s="131"/>
      <c r="D51" s="77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7"/>
      <c r="R51" s="65">
        <v>98000</v>
      </c>
      <c r="S51" s="68" t="s">
        <v>114</v>
      </c>
    </row>
    <row r="52" spans="1:19" ht="16.5" x14ac:dyDescent="0.25">
      <c r="A52" s="39">
        <v>51759</v>
      </c>
      <c r="B52" s="65"/>
      <c r="C52" s="131"/>
      <c r="D52" s="77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7"/>
      <c r="R52" s="65">
        <v>98000</v>
      </c>
      <c r="S52" s="68" t="s">
        <v>119</v>
      </c>
    </row>
    <row r="53" spans="1:19" ht="16.5" x14ac:dyDescent="0.25">
      <c r="A53" s="39">
        <v>51759</v>
      </c>
      <c r="B53" s="65"/>
      <c r="C53" s="131"/>
      <c r="D53" s="77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7"/>
      <c r="R53" s="65">
        <v>49598</v>
      </c>
      <c r="S53" s="68" t="s">
        <v>131</v>
      </c>
    </row>
    <row r="54" spans="1:19" ht="16.5" x14ac:dyDescent="0.25">
      <c r="A54" s="39">
        <v>58618</v>
      </c>
      <c r="B54" s="72"/>
      <c r="C54" s="132"/>
      <c r="D54" s="73"/>
      <c r="E54" s="72"/>
      <c r="F54" s="72"/>
      <c r="G54" s="72"/>
      <c r="H54" s="74"/>
      <c r="I54" s="72"/>
      <c r="J54" s="74"/>
      <c r="K54" s="74"/>
      <c r="L54" s="74"/>
      <c r="M54" s="74"/>
      <c r="N54" s="74"/>
      <c r="O54" s="74"/>
      <c r="P54" s="72"/>
      <c r="Q54" s="75">
        <f>A54</f>
        <v>58618</v>
      </c>
      <c r="R54" s="76"/>
      <c r="S54" s="72"/>
    </row>
    <row r="55" spans="1:19" ht="33" x14ac:dyDescent="0.25">
      <c r="A55" s="39">
        <v>58618</v>
      </c>
      <c r="B55" s="63" t="s">
        <v>175</v>
      </c>
      <c r="C55" s="130">
        <v>45134</v>
      </c>
      <c r="D55" s="64">
        <v>4</v>
      </c>
      <c r="E55" s="65">
        <v>712500</v>
      </c>
      <c r="F55" s="65">
        <v>313556</v>
      </c>
      <c r="G55" s="65">
        <f>E55-F55</f>
        <v>398944</v>
      </c>
      <c r="H55" s="65">
        <f>G55*18%</f>
        <v>71809.919999999998</v>
      </c>
      <c r="I55" s="65">
        <f>G55+H55</f>
        <v>470753.92</v>
      </c>
      <c r="J55" s="65">
        <f>G55*$J$6</f>
        <v>7978.88</v>
      </c>
      <c r="K55" s="65">
        <f>G55*$K$6</f>
        <v>19947.2</v>
      </c>
      <c r="L55" s="65">
        <f>G55*$L$6</f>
        <v>39894.400000000001</v>
      </c>
      <c r="M55" s="65"/>
      <c r="N55" s="65">
        <v>0</v>
      </c>
      <c r="O55" s="66">
        <f>H55</f>
        <v>71809.919999999998</v>
      </c>
      <c r="P55" s="65">
        <f>I55-O55-N55-M55-L55-K55-J55</f>
        <v>331123.51999999996</v>
      </c>
      <c r="Q55" s="67"/>
      <c r="R55" s="65">
        <v>331124</v>
      </c>
      <c r="S55" s="68" t="s">
        <v>29</v>
      </c>
    </row>
    <row r="56" spans="1:19" ht="33" x14ac:dyDescent="0.25">
      <c r="A56" s="39">
        <v>58618</v>
      </c>
      <c r="B56" s="63" t="s">
        <v>175</v>
      </c>
      <c r="C56" s="131">
        <v>45268</v>
      </c>
      <c r="D56" s="77">
        <v>11</v>
      </c>
      <c r="E56" s="65">
        <v>855000</v>
      </c>
      <c r="F56" s="65"/>
      <c r="G56" s="65">
        <f>E56-F56</f>
        <v>855000</v>
      </c>
      <c r="H56" s="65">
        <f>G56*18%</f>
        <v>153900</v>
      </c>
      <c r="I56" s="65">
        <f>G56+H56</f>
        <v>1008900</v>
      </c>
      <c r="J56" s="65">
        <f>G56*$J$6</f>
        <v>17100</v>
      </c>
      <c r="K56" s="65">
        <f>G56*$K$6</f>
        <v>42750</v>
      </c>
      <c r="L56" s="65">
        <f>G56*$L$6</f>
        <v>85500</v>
      </c>
      <c r="M56" s="65"/>
      <c r="N56" s="65">
        <v>0</v>
      </c>
      <c r="O56" s="66">
        <f>H56</f>
        <v>153900</v>
      </c>
      <c r="P56" s="65">
        <f>I56-O56-N56-M56-L56-K56-J56</f>
        <v>709650</v>
      </c>
      <c r="Q56" s="67"/>
      <c r="R56" s="65">
        <v>196000</v>
      </c>
      <c r="S56" s="68" t="s">
        <v>30</v>
      </c>
    </row>
    <row r="57" spans="1:19" ht="16.5" x14ac:dyDescent="0.25">
      <c r="A57" s="39">
        <v>58618</v>
      </c>
      <c r="B57" s="65" t="s">
        <v>7</v>
      </c>
      <c r="C57" s="131"/>
      <c r="D57" s="77" t="s">
        <v>186</v>
      </c>
      <c r="E57" s="65">
        <f>O55+O56</f>
        <v>225709.91999999998</v>
      </c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6">
        <f>E57</f>
        <v>225709.91999999998</v>
      </c>
      <c r="Q57" s="67"/>
      <c r="R57" s="65">
        <v>513650</v>
      </c>
      <c r="S57" s="68" t="s">
        <v>39</v>
      </c>
    </row>
    <row r="58" spans="1:19" ht="33.75" customHeight="1" x14ac:dyDescent="0.25">
      <c r="A58" s="39">
        <v>58618</v>
      </c>
      <c r="B58" s="63" t="s">
        <v>175</v>
      </c>
      <c r="C58" s="131">
        <v>45359</v>
      </c>
      <c r="D58" s="77">
        <v>27</v>
      </c>
      <c r="E58" s="65">
        <f>A55*15%</f>
        <v>8792.6999999999989</v>
      </c>
      <c r="F58" s="65"/>
      <c r="G58" s="65">
        <f>E58-F58</f>
        <v>8792.6999999999989</v>
      </c>
      <c r="H58" s="65">
        <f>G58*18%</f>
        <v>1582.6859999999997</v>
      </c>
      <c r="I58" s="65">
        <f>G58+H58</f>
        <v>10375.385999999999</v>
      </c>
      <c r="J58" s="65">
        <f>G58*$J$6</f>
        <v>175.85399999999998</v>
      </c>
      <c r="K58" s="65">
        <f>G58*$K$6</f>
        <v>439.63499999999999</v>
      </c>
      <c r="L58" s="65"/>
      <c r="M58" s="65"/>
      <c r="N58" s="65">
        <v>0</v>
      </c>
      <c r="O58" s="66">
        <f>H58</f>
        <v>1582.6859999999997</v>
      </c>
      <c r="P58" s="65">
        <f>I58-O58-N58-M58-L58-K58-J58</f>
        <v>8177.2109999999984</v>
      </c>
      <c r="Q58" s="67"/>
      <c r="R58" s="65">
        <v>225710</v>
      </c>
      <c r="S58" s="68" t="s">
        <v>137</v>
      </c>
    </row>
    <row r="59" spans="1:19" ht="16.5" x14ac:dyDescent="0.25">
      <c r="A59" s="39">
        <v>58618</v>
      </c>
      <c r="B59" s="65" t="s">
        <v>7</v>
      </c>
      <c r="C59" s="131"/>
      <c r="D59" s="77">
        <v>27</v>
      </c>
      <c r="E59" s="65">
        <f>O58</f>
        <v>1582.6859999999997</v>
      </c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>
        <f>E59</f>
        <v>1582.6859999999997</v>
      </c>
      <c r="Q59" s="67"/>
      <c r="R59" s="65">
        <v>397575</v>
      </c>
      <c r="S59" s="68" t="s">
        <v>98</v>
      </c>
    </row>
    <row r="60" spans="1:19" ht="31.5" customHeight="1" x14ac:dyDescent="0.25">
      <c r="A60" s="39">
        <v>58618</v>
      </c>
      <c r="B60" s="63" t="s">
        <v>176</v>
      </c>
      <c r="C60" s="131">
        <v>45417</v>
      </c>
      <c r="D60" s="77">
        <v>4</v>
      </c>
      <c r="E60" s="65">
        <f>A55*5%</f>
        <v>2930.9</v>
      </c>
      <c r="F60" s="65"/>
      <c r="G60" s="65">
        <f>E60-F60</f>
        <v>2930.9</v>
      </c>
      <c r="H60" s="65">
        <f>G60*18%</f>
        <v>527.56200000000001</v>
      </c>
      <c r="I60" s="65">
        <f>G60+H60</f>
        <v>3458.462</v>
      </c>
      <c r="J60" s="65">
        <f>G60*$J$6</f>
        <v>58.618000000000002</v>
      </c>
      <c r="K60" s="65">
        <f>G60*$K$6</f>
        <v>146.54500000000002</v>
      </c>
      <c r="L60" s="65"/>
      <c r="M60" s="65"/>
      <c r="N60" s="65">
        <v>0</v>
      </c>
      <c r="O60" s="66">
        <f>H60</f>
        <v>527.56200000000001</v>
      </c>
      <c r="P60" s="65">
        <f>I60-O60-N60-M60-L60-K60-J60</f>
        <v>2725.7370000000001</v>
      </c>
      <c r="Q60" s="67"/>
      <c r="R60" s="65">
        <v>132525</v>
      </c>
      <c r="S60" s="68" t="s">
        <v>109</v>
      </c>
    </row>
    <row r="61" spans="1:19" ht="16.5" x14ac:dyDescent="0.25">
      <c r="A61" s="39">
        <v>58618</v>
      </c>
      <c r="B61" s="65" t="s">
        <v>7</v>
      </c>
      <c r="C61" s="131"/>
      <c r="D61" s="77">
        <v>4</v>
      </c>
      <c r="E61" s="65">
        <f>O60</f>
        <v>527.56200000000001</v>
      </c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6">
        <f>E61</f>
        <v>527.56200000000001</v>
      </c>
      <c r="Q61" s="67"/>
      <c r="R61" s="65">
        <v>76950</v>
      </c>
      <c r="S61" s="68" t="s">
        <v>110</v>
      </c>
    </row>
    <row r="62" spans="1:19" ht="16.5" x14ac:dyDescent="0.25">
      <c r="A62" s="39">
        <v>58618</v>
      </c>
      <c r="B62" s="65"/>
      <c r="C62" s="131"/>
      <c r="D62" s="77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80"/>
      <c r="Q62" s="67"/>
      <c r="R62" s="65">
        <v>25650</v>
      </c>
      <c r="S62" s="68" t="s">
        <v>130</v>
      </c>
    </row>
    <row r="63" spans="1:19" ht="16.5" x14ac:dyDescent="0.25">
      <c r="A63" s="39">
        <v>60112</v>
      </c>
      <c r="B63" s="72"/>
      <c r="C63" s="132"/>
      <c r="D63" s="73"/>
      <c r="E63" s="72"/>
      <c r="F63" s="72"/>
      <c r="G63" s="72"/>
      <c r="H63" s="74"/>
      <c r="I63" s="72"/>
      <c r="J63" s="74"/>
      <c r="K63" s="74"/>
      <c r="L63" s="74"/>
      <c r="M63" s="74"/>
      <c r="N63" s="74"/>
      <c r="O63" s="74"/>
      <c r="P63" s="72"/>
      <c r="Q63" s="75">
        <f>A63</f>
        <v>60112</v>
      </c>
      <c r="R63" s="76"/>
      <c r="S63" s="72"/>
    </row>
    <row r="64" spans="1:19" ht="16.5" x14ac:dyDescent="0.25">
      <c r="A64" s="39">
        <v>60112</v>
      </c>
      <c r="B64" s="65" t="s">
        <v>31</v>
      </c>
      <c r="C64" s="131">
        <v>45237</v>
      </c>
      <c r="D64" s="77">
        <v>8</v>
      </c>
      <c r="E64" s="65">
        <v>796875</v>
      </c>
      <c r="F64" s="65">
        <v>225613</v>
      </c>
      <c r="G64" s="65">
        <f>E64-F64</f>
        <v>571262</v>
      </c>
      <c r="H64" s="65">
        <f>G64*18%</f>
        <v>102827.15999999999</v>
      </c>
      <c r="I64" s="65">
        <f>G64+H64</f>
        <v>674089.16</v>
      </c>
      <c r="J64" s="65">
        <f>G64*2%</f>
        <v>11425.24</v>
      </c>
      <c r="K64" s="65">
        <f>G64*5%</f>
        <v>28563.100000000002</v>
      </c>
      <c r="L64" s="65">
        <v>0</v>
      </c>
      <c r="M64" s="65"/>
      <c r="N64" s="65"/>
      <c r="O64" s="66">
        <f>H64</f>
        <v>102827.15999999999</v>
      </c>
      <c r="P64" s="65">
        <f>I64-O64-N64-M64-L64-K64-J64</f>
        <v>531273.66</v>
      </c>
      <c r="Q64" s="67"/>
      <c r="R64" s="65">
        <v>245000</v>
      </c>
      <c r="S64" s="68" t="s">
        <v>32</v>
      </c>
    </row>
    <row r="65" spans="1:19" ht="16.5" x14ac:dyDescent="0.25">
      <c r="A65" s="39">
        <v>60112</v>
      </c>
      <c r="B65" s="65" t="s">
        <v>31</v>
      </c>
      <c r="C65" s="131">
        <v>45330</v>
      </c>
      <c r="D65" s="77">
        <v>24</v>
      </c>
      <c r="E65" s="65">
        <v>1062500</v>
      </c>
      <c r="F65" s="65">
        <v>70000</v>
      </c>
      <c r="G65" s="65">
        <f>E65-F65</f>
        <v>992500</v>
      </c>
      <c r="H65" s="65">
        <f>G65*18%</f>
        <v>178650</v>
      </c>
      <c r="I65" s="65">
        <f>G65+H65</f>
        <v>1171150</v>
      </c>
      <c r="J65" s="65">
        <f>G65*2%</f>
        <v>19850</v>
      </c>
      <c r="K65" s="65">
        <f>G65*5%</f>
        <v>49625</v>
      </c>
      <c r="L65" s="65">
        <v>0</v>
      </c>
      <c r="M65" s="65"/>
      <c r="N65" s="65"/>
      <c r="O65" s="66">
        <f>H65</f>
        <v>178650</v>
      </c>
      <c r="P65" s="65">
        <f>I65-O65-N65-M65-L65-K65-J65</f>
        <v>923025</v>
      </c>
      <c r="Q65" s="67"/>
      <c r="R65" s="65">
        <v>286275</v>
      </c>
      <c r="S65" s="68" t="s">
        <v>35</v>
      </c>
    </row>
    <row r="66" spans="1:19" ht="16.5" x14ac:dyDescent="0.25">
      <c r="A66" s="39">
        <v>60112</v>
      </c>
      <c r="B66" s="65" t="s">
        <v>7</v>
      </c>
      <c r="C66" s="131"/>
      <c r="D66" s="77">
        <v>8</v>
      </c>
      <c r="E66" s="65">
        <f>O64</f>
        <v>102827.15999999999</v>
      </c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6">
        <f>E66</f>
        <v>102827.15999999999</v>
      </c>
      <c r="Q66" s="67"/>
      <c r="R66" s="65">
        <v>923025</v>
      </c>
      <c r="S66" s="68" t="s">
        <v>93</v>
      </c>
    </row>
    <row r="67" spans="1:19" ht="16.5" x14ac:dyDescent="0.25">
      <c r="A67" s="39">
        <v>60112</v>
      </c>
      <c r="B67" s="65" t="s">
        <v>7</v>
      </c>
      <c r="C67" s="131"/>
      <c r="D67" s="77">
        <v>24</v>
      </c>
      <c r="E67" s="65">
        <f>O65</f>
        <v>178650</v>
      </c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6">
        <f>E67</f>
        <v>178650</v>
      </c>
      <c r="Q67" s="67"/>
      <c r="R67" s="65">
        <v>102827</v>
      </c>
      <c r="S67" s="68" t="s">
        <v>136</v>
      </c>
    </row>
    <row r="68" spans="1:19" ht="16.5" x14ac:dyDescent="0.25">
      <c r="A68" s="39">
        <v>60112</v>
      </c>
      <c r="B68" s="65" t="s">
        <v>31</v>
      </c>
      <c r="C68" s="131">
        <v>45639</v>
      </c>
      <c r="D68" s="77">
        <v>12</v>
      </c>
      <c r="E68" s="65">
        <v>398438</v>
      </c>
      <c r="F68" s="65">
        <v>0</v>
      </c>
      <c r="G68" s="65">
        <f>E68-F68</f>
        <v>398438</v>
      </c>
      <c r="H68" s="65">
        <f>G68*18%</f>
        <v>71718.84</v>
      </c>
      <c r="I68" s="65">
        <f>G68+H68</f>
        <v>470156.83999999997</v>
      </c>
      <c r="J68" s="65">
        <f>G68*2%</f>
        <v>7968.76</v>
      </c>
      <c r="K68" s="65">
        <f>G68*5%</f>
        <v>19921.900000000001</v>
      </c>
      <c r="L68" s="65">
        <v>0</v>
      </c>
      <c r="M68" s="65"/>
      <c r="N68" s="65"/>
      <c r="O68" s="66">
        <f>H68</f>
        <v>71718.84</v>
      </c>
      <c r="P68" s="65">
        <f>I68-O68-N68-M68-L68-K68-J68</f>
        <v>370547.33999999997</v>
      </c>
      <c r="Q68" s="104"/>
      <c r="R68" s="65">
        <v>178650</v>
      </c>
      <c r="S68" s="68" t="s">
        <v>108</v>
      </c>
    </row>
    <row r="69" spans="1:19" ht="16.5" x14ac:dyDescent="0.25">
      <c r="A69" s="39">
        <v>60112</v>
      </c>
      <c r="B69" s="65" t="s">
        <v>7</v>
      </c>
      <c r="C69" s="131"/>
      <c r="D69" s="77">
        <v>12</v>
      </c>
      <c r="E69" s="65">
        <f>O68</f>
        <v>71718.84</v>
      </c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6">
        <f>E69</f>
        <v>71718.84</v>
      </c>
      <c r="Q69" s="67"/>
      <c r="R69" s="65">
        <v>147000</v>
      </c>
      <c r="S69" s="68" t="s">
        <v>113</v>
      </c>
    </row>
    <row r="70" spans="1:19" ht="16.5" x14ac:dyDescent="0.25">
      <c r="A70" s="39">
        <v>60112</v>
      </c>
      <c r="B70" s="65" t="s">
        <v>31</v>
      </c>
      <c r="C70" s="131">
        <v>45742</v>
      </c>
      <c r="D70" s="77">
        <v>16</v>
      </c>
      <c r="E70" s="65">
        <v>796875</v>
      </c>
      <c r="F70" s="65">
        <v>35208</v>
      </c>
      <c r="G70" s="65">
        <f>E70-F70</f>
        <v>761667</v>
      </c>
      <c r="H70" s="65">
        <f>G70*18%</f>
        <v>137100.06</v>
      </c>
      <c r="I70" s="65">
        <f>G70+H70</f>
        <v>898767.06</v>
      </c>
      <c r="J70" s="65">
        <f>G70*2%</f>
        <v>15233.34</v>
      </c>
      <c r="K70" s="65">
        <f>G70*5%</f>
        <v>38083.35</v>
      </c>
      <c r="L70" s="65">
        <v>0</v>
      </c>
      <c r="M70" s="65"/>
      <c r="N70" s="65"/>
      <c r="O70" s="66">
        <f>H70</f>
        <v>137100.06</v>
      </c>
      <c r="P70" s="65">
        <f>I70-O70-N70-M70-L70-K70-J70</f>
        <v>708350.31</v>
      </c>
      <c r="Q70" s="67"/>
      <c r="R70" s="65">
        <v>196000</v>
      </c>
      <c r="S70" s="68" t="s">
        <v>125</v>
      </c>
    </row>
    <row r="71" spans="1:19" ht="16.5" x14ac:dyDescent="0.25">
      <c r="A71" s="39">
        <v>60112</v>
      </c>
      <c r="B71" s="65" t="s">
        <v>122</v>
      </c>
      <c r="C71" s="131"/>
      <c r="D71" s="77">
        <v>16</v>
      </c>
      <c r="E71" s="65">
        <f>H70</f>
        <v>137100.06</v>
      </c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6">
        <f>O70</f>
        <v>137100.06</v>
      </c>
      <c r="Q71" s="67"/>
      <c r="R71" s="65">
        <v>71719</v>
      </c>
      <c r="S71" s="68" t="s">
        <v>127</v>
      </c>
    </row>
    <row r="72" spans="1:19" ht="16.5" x14ac:dyDescent="0.25">
      <c r="A72" s="39">
        <v>60112</v>
      </c>
      <c r="B72" s="65"/>
      <c r="C72" s="131"/>
      <c r="D72" s="77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6"/>
      <c r="Q72" s="67"/>
      <c r="R72" s="65">
        <v>200000</v>
      </c>
      <c r="S72" s="68" t="s">
        <v>144</v>
      </c>
    </row>
    <row r="73" spans="1:19" ht="16.5" x14ac:dyDescent="0.25">
      <c r="A73" s="39">
        <v>60112</v>
      </c>
      <c r="B73" s="65"/>
      <c r="C73" s="131"/>
      <c r="D73" s="77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6"/>
      <c r="Q73" s="67"/>
      <c r="R73" s="65">
        <v>200000</v>
      </c>
      <c r="S73" s="68" t="s">
        <v>149</v>
      </c>
    </row>
    <row r="74" spans="1:19" ht="16.5" x14ac:dyDescent="0.25">
      <c r="A74" s="39">
        <v>60112</v>
      </c>
      <c r="B74" s="65"/>
      <c r="C74" s="131"/>
      <c r="D74" s="77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6"/>
      <c r="Q74" s="67"/>
      <c r="R74" s="65">
        <v>200000</v>
      </c>
      <c r="S74" s="68" t="s">
        <v>150</v>
      </c>
    </row>
    <row r="75" spans="1:19" ht="16.5" x14ac:dyDescent="0.25">
      <c r="A75" s="39">
        <v>60332</v>
      </c>
      <c r="B75" s="72"/>
      <c r="C75" s="132"/>
      <c r="D75" s="73"/>
      <c r="E75" s="72"/>
      <c r="F75" s="72"/>
      <c r="G75" s="72"/>
      <c r="H75" s="74"/>
      <c r="I75" s="72"/>
      <c r="J75" s="74"/>
      <c r="K75" s="74"/>
      <c r="L75" s="74"/>
      <c r="M75" s="74"/>
      <c r="N75" s="74"/>
      <c r="O75" s="74"/>
      <c r="P75" s="72"/>
      <c r="Q75" s="75">
        <f>A75</f>
        <v>60332</v>
      </c>
      <c r="R75" s="76"/>
      <c r="S75" s="72"/>
    </row>
    <row r="76" spans="1:19" ht="16.5" x14ac:dyDescent="0.25">
      <c r="A76" s="39">
        <v>60332</v>
      </c>
      <c r="B76" s="65" t="s">
        <v>33</v>
      </c>
      <c r="C76" s="131">
        <v>45257</v>
      </c>
      <c r="D76" s="77">
        <v>9</v>
      </c>
      <c r="E76" s="65">
        <v>472500</v>
      </c>
      <c r="F76" s="65">
        <v>104671</v>
      </c>
      <c r="G76" s="65">
        <f>E76-F76</f>
        <v>367829</v>
      </c>
      <c r="H76" s="65">
        <f>G76*18%</f>
        <v>66209.22</v>
      </c>
      <c r="I76" s="65">
        <f>G76+H76</f>
        <v>434038.22</v>
      </c>
      <c r="J76" s="65">
        <f>G76*$J$6</f>
        <v>7356.58</v>
      </c>
      <c r="K76" s="65">
        <f>G76*$K$6</f>
        <v>18391.45</v>
      </c>
      <c r="L76" s="65">
        <v>0</v>
      </c>
      <c r="M76" s="65">
        <f>G76*10%</f>
        <v>36782.9</v>
      </c>
      <c r="N76" s="66">
        <v>225148</v>
      </c>
      <c r="O76" s="66">
        <f>H76</f>
        <v>66209.22</v>
      </c>
      <c r="P76" s="65">
        <f>I76-O76-N76-M76-L76-K76-J76</f>
        <v>80150.070000000007</v>
      </c>
      <c r="Q76" s="67"/>
      <c r="R76" s="65">
        <v>80150</v>
      </c>
      <c r="S76" s="68" t="s">
        <v>37</v>
      </c>
    </row>
    <row r="77" spans="1:19" ht="16.5" x14ac:dyDescent="0.25">
      <c r="A77" s="39">
        <v>60332</v>
      </c>
      <c r="B77" s="65" t="s">
        <v>38</v>
      </c>
      <c r="C77" s="131"/>
      <c r="D77" s="77">
        <v>9</v>
      </c>
      <c r="E77" s="65">
        <f>N76</f>
        <v>225148</v>
      </c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6">
        <f>E77</f>
        <v>225148</v>
      </c>
      <c r="Q77" s="67"/>
      <c r="R77" s="65">
        <v>225148</v>
      </c>
      <c r="S77" s="68" t="s">
        <v>36</v>
      </c>
    </row>
    <row r="78" spans="1:19" ht="16.5" x14ac:dyDescent="0.25">
      <c r="A78" s="39">
        <v>60332</v>
      </c>
      <c r="B78" s="65" t="s">
        <v>122</v>
      </c>
      <c r="C78" s="131"/>
      <c r="D78" s="77">
        <v>9</v>
      </c>
      <c r="E78" s="65">
        <f>O76</f>
        <v>66209.22</v>
      </c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6">
        <f>E78</f>
        <v>66209.22</v>
      </c>
      <c r="Q78" s="67"/>
      <c r="R78" s="65">
        <v>66209</v>
      </c>
      <c r="S78" s="68" t="s">
        <v>94</v>
      </c>
    </row>
    <row r="79" spans="1:19" ht="16.5" x14ac:dyDescent="0.25">
      <c r="A79" s="39">
        <v>60332</v>
      </c>
      <c r="B79" s="65" t="s">
        <v>33</v>
      </c>
      <c r="C79" s="131">
        <v>45359</v>
      </c>
      <c r="D79" s="77">
        <v>28</v>
      </c>
      <c r="E79" s="65">
        <f>A76*15%</f>
        <v>9049.7999999999993</v>
      </c>
      <c r="F79" s="65">
        <v>92933</v>
      </c>
      <c r="G79" s="65">
        <f>E79-F79</f>
        <v>-83883.199999999997</v>
      </c>
      <c r="H79" s="65">
        <f>G79*18%</f>
        <v>-15098.975999999999</v>
      </c>
      <c r="I79" s="65">
        <f>G79+H79</f>
        <v>-98982.175999999992</v>
      </c>
      <c r="J79" s="65">
        <f>G79*$J$6</f>
        <v>-1677.664</v>
      </c>
      <c r="K79" s="65">
        <f>G79*$K$6</f>
        <v>-4194.16</v>
      </c>
      <c r="L79" s="65">
        <v>0</v>
      </c>
      <c r="M79" s="65"/>
      <c r="N79" s="65"/>
      <c r="O79" s="66">
        <f>H79</f>
        <v>-15098.975999999999</v>
      </c>
      <c r="P79" s="65">
        <f>I79-O79-N79-M79-L79-K79-J79</f>
        <v>-78011.375999999989</v>
      </c>
      <c r="Q79" s="67"/>
      <c r="R79" s="65">
        <v>250000</v>
      </c>
      <c r="S79" s="68" t="s">
        <v>99</v>
      </c>
    </row>
    <row r="80" spans="1:19" ht="16.5" x14ac:dyDescent="0.25">
      <c r="A80" s="39">
        <v>60332</v>
      </c>
      <c r="B80" s="65" t="s">
        <v>122</v>
      </c>
      <c r="C80" s="131"/>
      <c r="D80" s="77">
        <v>28</v>
      </c>
      <c r="E80" s="65">
        <f>O79</f>
        <v>-15098.975999999999</v>
      </c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6">
        <f>E80</f>
        <v>-15098.975999999999</v>
      </c>
      <c r="Q80" s="67"/>
      <c r="R80" s="65">
        <v>102997</v>
      </c>
      <c r="S80" s="68" t="s">
        <v>102</v>
      </c>
    </row>
    <row r="81" spans="1:19" ht="16.5" x14ac:dyDescent="0.25">
      <c r="A81" s="39">
        <v>60332</v>
      </c>
      <c r="B81" s="65" t="s">
        <v>33</v>
      </c>
      <c r="C81" s="131">
        <v>45639</v>
      </c>
      <c r="D81" s="77">
        <v>13</v>
      </c>
      <c r="E81" s="65">
        <v>630000</v>
      </c>
      <c r="F81" s="65">
        <v>217000</v>
      </c>
      <c r="G81" s="65">
        <f>E81-F81</f>
        <v>413000</v>
      </c>
      <c r="H81" s="65">
        <f>G81*18%</f>
        <v>74340</v>
      </c>
      <c r="I81" s="65">
        <f>G81+H81</f>
        <v>487340</v>
      </c>
      <c r="J81" s="65">
        <f>G81*$J$6</f>
        <v>8260</v>
      </c>
      <c r="K81" s="65">
        <f>G81*$K$6</f>
        <v>20650</v>
      </c>
      <c r="L81" s="65">
        <v>0</v>
      </c>
      <c r="M81" s="65"/>
      <c r="N81" s="65"/>
      <c r="O81" s="66">
        <f>H81</f>
        <v>74340</v>
      </c>
      <c r="P81" s="65">
        <f>I81-O81-N81-M81-L81-K81-J81</f>
        <v>384090</v>
      </c>
      <c r="Q81" s="104"/>
      <c r="R81" s="65">
        <v>68322</v>
      </c>
      <c r="S81" s="68" t="s">
        <v>107</v>
      </c>
    </row>
    <row r="82" spans="1:19" ht="16.5" x14ac:dyDescent="0.25">
      <c r="A82" s="39">
        <v>60332</v>
      </c>
      <c r="B82" s="65" t="s">
        <v>122</v>
      </c>
      <c r="C82" s="131"/>
      <c r="D82" s="77">
        <v>13</v>
      </c>
      <c r="E82" s="65">
        <f>O81</f>
        <v>74340</v>
      </c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6">
        <f>E82</f>
        <v>74340</v>
      </c>
      <c r="Q82" s="67"/>
      <c r="R82" s="65">
        <v>98000</v>
      </c>
      <c r="S82" s="68" t="s">
        <v>116</v>
      </c>
    </row>
    <row r="83" spans="1:19" ht="16.5" x14ac:dyDescent="0.25">
      <c r="A83" s="39">
        <v>60332</v>
      </c>
      <c r="B83" s="65" t="s">
        <v>33</v>
      </c>
      <c r="C83" s="131">
        <v>45710</v>
      </c>
      <c r="D83" s="77">
        <v>15</v>
      </c>
      <c r="E83" s="65">
        <v>787500</v>
      </c>
      <c r="F83" s="65">
        <v>0</v>
      </c>
      <c r="G83" s="65">
        <f>E83-F83</f>
        <v>787500</v>
      </c>
      <c r="H83" s="65">
        <f>G83*18%</f>
        <v>141750</v>
      </c>
      <c r="I83" s="65">
        <f>G83+H83</f>
        <v>929250</v>
      </c>
      <c r="J83" s="65">
        <f>G83*$J$6</f>
        <v>15750</v>
      </c>
      <c r="K83" s="65">
        <f>G83*$K$6</f>
        <v>39375</v>
      </c>
      <c r="L83" s="65">
        <v>0</v>
      </c>
      <c r="M83" s="65"/>
      <c r="N83" s="65"/>
      <c r="O83" s="66">
        <f>H83</f>
        <v>141750</v>
      </c>
      <c r="P83" s="65">
        <f>I83-O83-N83-M83-L83-K83-J83</f>
        <v>732375</v>
      </c>
      <c r="Q83" s="67"/>
      <c r="R83" s="65">
        <v>196000</v>
      </c>
      <c r="S83" s="68" t="s">
        <v>124</v>
      </c>
    </row>
    <row r="84" spans="1:19" ht="16.5" x14ac:dyDescent="0.25">
      <c r="A84" s="39">
        <v>60332</v>
      </c>
      <c r="B84" s="65" t="s">
        <v>122</v>
      </c>
      <c r="C84" s="131"/>
      <c r="D84" s="77">
        <v>15</v>
      </c>
      <c r="E84" s="65">
        <f>O83</f>
        <v>141750</v>
      </c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6">
        <f>E84</f>
        <v>141750</v>
      </c>
      <c r="Q84" s="67"/>
      <c r="R84" s="65">
        <v>74340</v>
      </c>
      <c r="S84" s="68" t="s">
        <v>135</v>
      </c>
    </row>
    <row r="85" spans="1:19" ht="16.5" x14ac:dyDescent="0.25">
      <c r="A85" s="39">
        <v>60332</v>
      </c>
      <c r="B85" s="65"/>
      <c r="C85" s="131"/>
      <c r="D85" s="77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80"/>
      <c r="Q85" s="67"/>
      <c r="R85" s="65">
        <v>625000</v>
      </c>
      <c r="S85" s="68" t="s">
        <v>142</v>
      </c>
    </row>
    <row r="86" spans="1:19" ht="16.5" x14ac:dyDescent="0.25">
      <c r="A86" s="39">
        <v>60332</v>
      </c>
      <c r="B86" s="65"/>
      <c r="C86" s="131"/>
      <c r="D86" s="77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80"/>
      <c r="Q86" s="67"/>
      <c r="R86" s="65">
        <v>197465</v>
      </c>
      <c r="S86" s="68" t="s">
        <v>146</v>
      </c>
    </row>
    <row r="87" spans="1:19" ht="16.5" x14ac:dyDescent="0.25">
      <c r="A87" s="39">
        <v>60332</v>
      </c>
      <c r="B87" s="65"/>
      <c r="C87" s="131"/>
      <c r="D87" s="77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80"/>
      <c r="Q87" s="67"/>
      <c r="R87" s="65">
        <v>98000</v>
      </c>
      <c r="S87" s="68" t="s">
        <v>147</v>
      </c>
    </row>
    <row r="88" spans="1:19" ht="16.5" x14ac:dyDescent="0.25">
      <c r="A88" s="39">
        <v>63746</v>
      </c>
      <c r="B88" s="72"/>
      <c r="C88" s="132"/>
      <c r="D88" s="73"/>
      <c r="E88" s="72"/>
      <c r="F88" s="72"/>
      <c r="G88" s="72"/>
      <c r="H88" s="74"/>
      <c r="I88" s="72"/>
      <c r="J88" s="74"/>
      <c r="K88" s="74"/>
      <c r="L88" s="74"/>
      <c r="M88" s="74"/>
      <c r="N88" s="74"/>
      <c r="O88" s="74"/>
      <c r="P88" s="72"/>
      <c r="Q88" s="75">
        <f>A88</f>
        <v>63746</v>
      </c>
      <c r="R88" s="76"/>
      <c r="S88" s="72"/>
    </row>
    <row r="89" spans="1:19" ht="33" customHeight="1" x14ac:dyDescent="0.25">
      <c r="A89" s="39">
        <v>63746</v>
      </c>
      <c r="B89" s="105" t="s">
        <v>177</v>
      </c>
      <c r="C89" s="131">
        <v>45425</v>
      </c>
      <c r="D89" s="77">
        <v>2</v>
      </c>
      <c r="E89" s="65">
        <v>742500</v>
      </c>
      <c r="F89" s="65">
        <v>85139</v>
      </c>
      <c r="G89" s="65">
        <f>E89-F89</f>
        <v>657361</v>
      </c>
      <c r="H89" s="65">
        <f>G89*18%</f>
        <v>118324.98</v>
      </c>
      <c r="I89" s="65">
        <f>G89+H89</f>
        <v>775685.98</v>
      </c>
      <c r="J89" s="65">
        <f>G89*$J$6</f>
        <v>13147.220000000001</v>
      </c>
      <c r="K89" s="65">
        <f>G89*$K$6</f>
        <v>32868.050000000003</v>
      </c>
      <c r="L89" s="65">
        <v>0</v>
      </c>
      <c r="M89" s="65">
        <v>0</v>
      </c>
      <c r="N89" s="65">
        <v>0</v>
      </c>
      <c r="O89" s="66">
        <f>H89</f>
        <v>118324.98</v>
      </c>
      <c r="P89" s="65">
        <f>I89-O89-N89-M89-L89-K89-J89</f>
        <v>611345.73</v>
      </c>
      <c r="Q89" s="67"/>
      <c r="R89" s="65">
        <v>450000</v>
      </c>
      <c r="S89" s="68" t="s">
        <v>100</v>
      </c>
    </row>
    <row r="90" spans="1:19" ht="16.5" x14ac:dyDescent="0.25">
      <c r="A90" s="39">
        <v>63746</v>
      </c>
      <c r="B90" s="65" t="s">
        <v>122</v>
      </c>
      <c r="C90" s="131"/>
      <c r="D90" s="77">
        <v>2</v>
      </c>
      <c r="E90" s="65">
        <f>O89</f>
        <v>118324.98</v>
      </c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6">
        <f>E90</f>
        <v>118324.98</v>
      </c>
      <c r="Q90" s="67"/>
      <c r="R90" s="65">
        <v>161346</v>
      </c>
      <c r="S90" s="68" t="s">
        <v>103</v>
      </c>
    </row>
    <row r="91" spans="1:19" ht="16.5" x14ac:dyDescent="0.25">
      <c r="A91" s="39">
        <v>63746</v>
      </c>
      <c r="B91" s="65"/>
      <c r="C91" s="131"/>
      <c r="D91" s="77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7"/>
      <c r="R91" s="65">
        <v>118325</v>
      </c>
      <c r="S91" s="68" t="s">
        <v>132</v>
      </c>
    </row>
    <row r="92" spans="1:19" ht="16.5" x14ac:dyDescent="0.25">
      <c r="A92" s="38"/>
      <c r="B92" s="65"/>
      <c r="C92" s="131"/>
      <c r="D92" s="77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7"/>
      <c r="R92" s="65"/>
      <c r="S92" s="68"/>
    </row>
    <row r="93" spans="1:19" ht="16.5" x14ac:dyDescent="0.25">
      <c r="A93" s="39">
        <v>65055</v>
      </c>
      <c r="B93" s="72"/>
      <c r="C93" s="132"/>
      <c r="D93" s="73"/>
      <c r="E93" s="72"/>
      <c r="F93" s="72"/>
      <c r="G93" s="72"/>
      <c r="H93" s="74"/>
      <c r="I93" s="72"/>
      <c r="J93" s="74"/>
      <c r="K93" s="74"/>
      <c r="L93" s="74"/>
      <c r="M93" s="74"/>
      <c r="N93" s="74"/>
      <c r="O93" s="74"/>
      <c r="P93" s="72"/>
      <c r="Q93" s="75">
        <f>A93</f>
        <v>65055</v>
      </c>
      <c r="R93" s="76"/>
      <c r="S93" s="72"/>
    </row>
    <row r="94" spans="1:19" ht="16.5" x14ac:dyDescent="0.25">
      <c r="A94" s="39">
        <v>65055</v>
      </c>
      <c r="B94" s="65" t="s">
        <v>178</v>
      </c>
      <c r="C94" s="131">
        <v>45497</v>
      </c>
      <c r="D94" s="77">
        <v>6</v>
      </c>
      <c r="E94" s="65">
        <v>540000</v>
      </c>
      <c r="F94" s="65">
        <v>272211.14</v>
      </c>
      <c r="G94" s="65">
        <f>E94-F94</f>
        <v>267788.86</v>
      </c>
      <c r="H94" s="65">
        <f>G94*18%</f>
        <v>48201.994799999993</v>
      </c>
      <c r="I94" s="65">
        <f>G94+H94</f>
        <v>315990.85479999997</v>
      </c>
      <c r="J94" s="65">
        <f>G94*$J$6</f>
        <v>5355.7771999999995</v>
      </c>
      <c r="K94" s="65">
        <f>G94*$K$6</f>
        <v>13389.442999999999</v>
      </c>
      <c r="L94" s="65">
        <v>0</v>
      </c>
      <c r="M94" s="65">
        <v>0</v>
      </c>
      <c r="N94" s="65">
        <v>0</v>
      </c>
      <c r="O94" s="66">
        <f>H94</f>
        <v>48201.994799999993</v>
      </c>
      <c r="P94" s="65">
        <f>I94-O94-N94-M94-L94-K94-J94</f>
        <v>249043.63979999998</v>
      </c>
      <c r="Q94" s="67"/>
      <c r="R94" s="65">
        <v>249044</v>
      </c>
      <c r="S94" s="68" t="s">
        <v>112</v>
      </c>
    </row>
    <row r="95" spans="1:19" ht="16.5" x14ac:dyDescent="0.25">
      <c r="A95" s="39">
        <v>65055</v>
      </c>
      <c r="B95" s="65" t="s">
        <v>122</v>
      </c>
      <c r="C95" s="131"/>
      <c r="D95" s="77">
        <v>6</v>
      </c>
      <c r="E95" s="65">
        <f>H94</f>
        <v>48201.994799999993</v>
      </c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6">
        <f>O94</f>
        <v>48201.994799999993</v>
      </c>
      <c r="Q95" s="67"/>
      <c r="R95" s="65">
        <v>48202</v>
      </c>
      <c r="S95" s="68" t="s">
        <v>128</v>
      </c>
    </row>
    <row r="96" spans="1:19" ht="16.5" x14ac:dyDescent="0.25">
      <c r="A96" s="39">
        <v>65055</v>
      </c>
      <c r="B96" s="65" t="s">
        <v>179</v>
      </c>
      <c r="C96" s="131">
        <v>45710</v>
      </c>
      <c r="D96" s="77">
        <v>14</v>
      </c>
      <c r="E96" s="65">
        <v>180009</v>
      </c>
      <c r="F96" s="65">
        <v>32430</v>
      </c>
      <c r="G96" s="65">
        <f>E96-F96</f>
        <v>147579</v>
      </c>
      <c r="H96" s="65">
        <f>G96*18%</f>
        <v>26564.219999999998</v>
      </c>
      <c r="I96" s="65">
        <f>G96+H96</f>
        <v>174143.22</v>
      </c>
      <c r="J96" s="65">
        <f>G96*$J$6</f>
        <v>2951.58</v>
      </c>
      <c r="K96" s="65">
        <f>G96*$K$6</f>
        <v>7378.9500000000007</v>
      </c>
      <c r="L96" s="65">
        <v>0</v>
      </c>
      <c r="M96" s="65">
        <v>0</v>
      </c>
      <c r="N96" s="65">
        <v>0</v>
      </c>
      <c r="O96" s="66">
        <f>H96</f>
        <v>26564.219999999998</v>
      </c>
      <c r="P96" s="65">
        <f>I96-O96-N96-M96-L96-K96-J96</f>
        <v>137248.47</v>
      </c>
      <c r="Q96" s="67"/>
      <c r="R96" s="65">
        <v>137248</v>
      </c>
      <c r="S96" s="68" t="s">
        <v>143</v>
      </c>
    </row>
    <row r="97" spans="1:19" ht="16.5" x14ac:dyDescent="0.25">
      <c r="A97" s="39">
        <v>65055</v>
      </c>
      <c r="B97" s="65" t="s">
        <v>122</v>
      </c>
      <c r="C97" s="131"/>
      <c r="D97" s="77">
        <v>14</v>
      </c>
      <c r="E97" s="65">
        <f>H96</f>
        <v>26564.219999999998</v>
      </c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6">
        <f>O96</f>
        <v>26564.219999999998</v>
      </c>
      <c r="Q97" s="67"/>
      <c r="R97" s="65"/>
      <c r="S97" s="68"/>
    </row>
    <row r="98" spans="1:19" ht="16.5" x14ac:dyDescent="0.25">
      <c r="A98" s="39">
        <v>65189</v>
      </c>
      <c r="B98" s="72"/>
      <c r="C98" s="132"/>
      <c r="D98" s="73"/>
      <c r="E98" s="72"/>
      <c r="F98" s="72"/>
      <c r="G98" s="72"/>
      <c r="H98" s="74"/>
      <c r="I98" s="72"/>
      <c r="J98" s="74"/>
      <c r="K98" s="74"/>
      <c r="L98" s="74"/>
      <c r="M98" s="74"/>
      <c r="N98" s="74"/>
      <c r="O98" s="74"/>
      <c r="P98" s="72"/>
      <c r="Q98" s="75">
        <f>A98</f>
        <v>65189</v>
      </c>
      <c r="R98" s="76"/>
      <c r="S98" s="72"/>
    </row>
    <row r="99" spans="1:19" ht="33" x14ac:dyDescent="0.25">
      <c r="A99" s="39">
        <v>65189</v>
      </c>
      <c r="B99" s="81" t="s">
        <v>180</v>
      </c>
      <c r="C99" s="131">
        <v>45499</v>
      </c>
      <c r="D99" s="77">
        <v>8</v>
      </c>
      <c r="E99" s="65">
        <v>304705</v>
      </c>
      <c r="F99" s="65">
        <v>78492</v>
      </c>
      <c r="G99" s="65">
        <f>E99-F99</f>
        <v>226213</v>
      </c>
      <c r="H99" s="65">
        <f>G99*18%</f>
        <v>40718.339999999997</v>
      </c>
      <c r="I99" s="65">
        <f>G99+H99</f>
        <v>266931.33999999997</v>
      </c>
      <c r="J99" s="65">
        <f>G99*$J$6</f>
        <v>4524.26</v>
      </c>
      <c r="K99" s="65">
        <f>G99*$K$6</f>
        <v>11310.650000000001</v>
      </c>
      <c r="L99" s="65">
        <f>G99*10%</f>
        <v>22621.300000000003</v>
      </c>
      <c r="M99" s="65">
        <f>G99*10%</f>
        <v>22621.300000000003</v>
      </c>
      <c r="N99" s="65">
        <f>261682+78000</f>
        <v>339682</v>
      </c>
      <c r="O99" s="66">
        <f>H99</f>
        <v>40718.339999999997</v>
      </c>
      <c r="P99" s="65">
        <f>I99-O99-N99-M99-L99-K99-J99</f>
        <v>-174546.51000000004</v>
      </c>
      <c r="Q99" s="67"/>
      <c r="R99" s="65">
        <v>147000</v>
      </c>
      <c r="S99" s="68" t="s">
        <v>115</v>
      </c>
    </row>
    <row r="100" spans="1:19" ht="16.5" x14ac:dyDescent="0.25">
      <c r="A100" s="39">
        <v>65189</v>
      </c>
      <c r="B100" s="81" t="s">
        <v>122</v>
      </c>
      <c r="C100" s="131"/>
      <c r="D100" s="77">
        <v>8</v>
      </c>
      <c r="E100" s="65">
        <f>H99</f>
        <v>40718.339999999997</v>
      </c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6">
        <f>O99</f>
        <v>40718.339999999997</v>
      </c>
      <c r="Q100" s="67"/>
      <c r="R100" s="65">
        <v>40718</v>
      </c>
      <c r="S100" s="68" t="s">
        <v>129</v>
      </c>
    </row>
    <row r="101" spans="1:19" ht="16.5" x14ac:dyDescent="0.25">
      <c r="A101" s="38"/>
      <c r="B101" s="81"/>
      <c r="C101" s="131"/>
      <c r="D101" s="77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7"/>
      <c r="R101" s="65"/>
      <c r="S101" s="68"/>
    </row>
    <row r="102" spans="1:19" ht="16.5" x14ac:dyDescent="0.25">
      <c r="A102" s="39">
        <v>66504</v>
      </c>
      <c r="B102" s="72"/>
      <c r="C102" s="132"/>
      <c r="D102" s="73"/>
      <c r="E102" s="72"/>
      <c r="F102" s="72"/>
      <c r="G102" s="72"/>
      <c r="H102" s="74"/>
      <c r="I102" s="72"/>
      <c r="J102" s="74"/>
      <c r="K102" s="74"/>
      <c r="L102" s="74"/>
      <c r="M102" s="74"/>
      <c r="N102" s="74"/>
      <c r="O102" s="74"/>
      <c r="P102" s="72"/>
      <c r="Q102" s="75">
        <f>A102</f>
        <v>66504</v>
      </c>
      <c r="R102" s="76"/>
      <c r="S102" s="72"/>
    </row>
    <row r="103" spans="1:19" ht="33" x14ac:dyDescent="0.25">
      <c r="A103" s="39">
        <v>66504</v>
      </c>
      <c r="B103" s="81" t="s">
        <v>181</v>
      </c>
      <c r="C103" s="131">
        <v>45594</v>
      </c>
      <c r="D103" s="77">
        <v>10</v>
      </c>
      <c r="E103" s="65">
        <v>497656</v>
      </c>
      <c r="F103" s="65"/>
      <c r="G103" s="65">
        <f>E103-F103</f>
        <v>497656</v>
      </c>
      <c r="H103" s="65">
        <f>G103*18%</f>
        <v>89578.08</v>
      </c>
      <c r="I103" s="65">
        <f>G103+H103</f>
        <v>587234.07999999996</v>
      </c>
      <c r="J103" s="65">
        <f>G103*2%</f>
        <v>9953.1200000000008</v>
      </c>
      <c r="K103" s="65">
        <f>G103*$K$6</f>
        <v>24882.800000000003</v>
      </c>
      <c r="L103" s="65"/>
      <c r="M103" s="65"/>
      <c r="N103" s="65"/>
      <c r="O103" s="66">
        <f>H103</f>
        <v>89578.08</v>
      </c>
      <c r="P103" s="65">
        <f>I103-O103-N103-M103-L103-K103-J103</f>
        <v>462820.07999999996</v>
      </c>
      <c r="Q103" s="82"/>
      <c r="R103" s="65">
        <v>441000</v>
      </c>
      <c r="S103" s="68" t="s">
        <v>121</v>
      </c>
    </row>
    <row r="104" spans="1:19" ht="16.5" x14ac:dyDescent="0.25">
      <c r="A104" s="39">
        <v>66504</v>
      </c>
      <c r="B104" s="65" t="s">
        <v>123</v>
      </c>
      <c r="C104" s="131"/>
      <c r="D104" s="77">
        <v>10</v>
      </c>
      <c r="E104" s="65">
        <f>O103</f>
        <v>89578.08</v>
      </c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6">
        <f>E104</f>
        <v>89578.08</v>
      </c>
      <c r="Q104" s="67"/>
      <c r="R104" s="65">
        <v>89578</v>
      </c>
      <c r="S104" s="68" t="s">
        <v>134</v>
      </c>
    </row>
    <row r="105" spans="1:19" ht="16.5" x14ac:dyDescent="0.25">
      <c r="A105" s="39">
        <v>66504</v>
      </c>
      <c r="B105" s="81" t="s">
        <v>182</v>
      </c>
      <c r="C105" s="131">
        <v>45743</v>
      </c>
      <c r="D105" s="77">
        <v>17</v>
      </c>
      <c r="E105" s="65">
        <v>398125</v>
      </c>
      <c r="F105" s="65">
        <v>17604</v>
      </c>
      <c r="G105" s="65">
        <f>E105-F105</f>
        <v>380521</v>
      </c>
      <c r="H105" s="65">
        <f>G105*18%</f>
        <v>68493.78</v>
      </c>
      <c r="I105" s="65">
        <f>G105+H105</f>
        <v>449014.78</v>
      </c>
      <c r="J105" s="65">
        <f>G105*2%</f>
        <v>7610.42</v>
      </c>
      <c r="K105" s="65">
        <f>G105*$K$6</f>
        <v>19026.05</v>
      </c>
      <c r="L105" s="65"/>
      <c r="M105" s="65"/>
      <c r="N105" s="65"/>
      <c r="O105" s="66">
        <f>H105</f>
        <v>68493.78</v>
      </c>
      <c r="P105" s="65">
        <f>I105-O105-N105-M105-L105-K105-J105</f>
        <v>353884.53</v>
      </c>
      <c r="Q105" s="67"/>
      <c r="R105" s="65">
        <v>200000</v>
      </c>
      <c r="S105" s="68" t="s">
        <v>145</v>
      </c>
    </row>
    <row r="106" spans="1:19" ht="16.5" x14ac:dyDescent="0.25">
      <c r="A106" s="39">
        <v>66504</v>
      </c>
      <c r="B106" s="65" t="s">
        <v>123</v>
      </c>
      <c r="C106" s="131"/>
      <c r="D106" s="77">
        <v>17</v>
      </c>
      <c r="E106" s="65">
        <f>O105</f>
        <v>68493.78</v>
      </c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6">
        <f>E106</f>
        <v>68493.78</v>
      </c>
      <c r="Q106" s="67"/>
      <c r="R106" s="65">
        <v>100000</v>
      </c>
      <c r="S106" s="68" t="s">
        <v>148</v>
      </c>
    </row>
    <row r="107" spans="1:19" ht="16.5" x14ac:dyDescent="0.25">
      <c r="A107" s="39">
        <v>66504</v>
      </c>
      <c r="B107" s="81" t="s">
        <v>183</v>
      </c>
      <c r="C107" s="131">
        <v>45772</v>
      </c>
      <c r="D107" s="77">
        <v>1</v>
      </c>
      <c r="E107" s="65">
        <v>497656</v>
      </c>
      <c r="F107" s="65">
        <v>0</v>
      </c>
      <c r="G107" s="65">
        <f>E107-F107</f>
        <v>497656</v>
      </c>
      <c r="H107" s="65">
        <f>G107*18%</f>
        <v>89578.08</v>
      </c>
      <c r="I107" s="65">
        <f>G107+H107</f>
        <v>587234.07999999996</v>
      </c>
      <c r="J107" s="65">
        <f>G107*2%</f>
        <v>9953.1200000000008</v>
      </c>
      <c r="K107" s="65">
        <f>G107*$K$6</f>
        <v>24882.800000000003</v>
      </c>
      <c r="L107" s="65"/>
      <c r="M107" s="65"/>
      <c r="N107" s="65"/>
      <c r="O107" s="66">
        <f>H107</f>
        <v>89578.08</v>
      </c>
      <c r="P107" s="65">
        <f>I107-O107-N107-M107-L107-K107-J107</f>
        <v>462820.07999999996</v>
      </c>
      <c r="Q107" s="67"/>
      <c r="R107" s="65">
        <v>200000</v>
      </c>
      <c r="S107" s="68" t="s">
        <v>151</v>
      </c>
    </row>
    <row r="108" spans="1:19" ht="16.5" x14ac:dyDescent="0.25">
      <c r="A108" s="39">
        <v>66504</v>
      </c>
      <c r="B108" s="81"/>
      <c r="C108" s="131"/>
      <c r="D108" s="77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6"/>
      <c r="P108" s="65"/>
      <c r="Q108" s="67"/>
      <c r="R108" s="65">
        <v>250000</v>
      </c>
      <c r="S108" s="68" t="s">
        <v>152</v>
      </c>
    </row>
    <row r="109" spans="1:19" ht="16.5" x14ac:dyDescent="0.25">
      <c r="A109" s="39">
        <v>66504</v>
      </c>
      <c r="B109" s="65"/>
      <c r="C109" s="131"/>
      <c r="D109" s="77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6"/>
      <c r="Q109" s="67"/>
      <c r="R109" s="65">
        <v>147000</v>
      </c>
      <c r="S109" s="68" t="s">
        <v>153</v>
      </c>
    </row>
    <row r="110" spans="1:19" ht="16.5" x14ac:dyDescent="0.25">
      <c r="A110" s="39">
        <v>66505</v>
      </c>
      <c r="B110" s="72"/>
      <c r="C110" s="132"/>
      <c r="D110" s="73"/>
      <c r="E110" s="72"/>
      <c r="F110" s="72"/>
      <c r="G110" s="72"/>
      <c r="H110" s="74"/>
      <c r="I110" s="72"/>
      <c r="J110" s="74"/>
      <c r="K110" s="74"/>
      <c r="L110" s="74"/>
      <c r="M110" s="74"/>
      <c r="N110" s="74"/>
      <c r="O110" s="74"/>
      <c r="P110" s="72"/>
      <c r="Q110" s="75">
        <f>A110</f>
        <v>66505</v>
      </c>
      <c r="R110" s="76"/>
      <c r="S110" s="72"/>
    </row>
    <row r="111" spans="1:19" ht="16.5" x14ac:dyDescent="0.25">
      <c r="A111" s="39">
        <v>66505</v>
      </c>
      <c r="B111" s="81" t="s">
        <v>184</v>
      </c>
      <c r="C111" s="131">
        <v>45594</v>
      </c>
      <c r="D111" s="77">
        <v>11</v>
      </c>
      <c r="E111" s="65">
        <v>405553</v>
      </c>
      <c r="F111" s="65">
        <v>277945</v>
      </c>
      <c r="G111" s="65">
        <f>E111-F111</f>
        <v>127608</v>
      </c>
      <c r="H111" s="65">
        <f>G111*18%</f>
        <v>22969.439999999999</v>
      </c>
      <c r="I111" s="65">
        <f>G111+H111</f>
        <v>150577.44</v>
      </c>
      <c r="J111" s="65">
        <f>G111*2%</f>
        <v>2552.16</v>
      </c>
      <c r="K111" s="65">
        <f>G111*$K$6</f>
        <v>6380.4000000000005</v>
      </c>
      <c r="L111" s="65">
        <f>G111*10%</f>
        <v>12760.800000000001</v>
      </c>
      <c r="M111" s="65">
        <f>G111*10%</f>
        <v>12760.800000000001</v>
      </c>
      <c r="N111" s="65"/>
      <c r="O111" s="66">
        <f>H111</f>
        <v>22969.439999999999</v>
      </c>
      <c r="P111" s="65">
        <f>I111-O111-N111-M111-L111-K111-J111</f>
        <v>93153.84</v>
      </c>
      <c r="Q111" s="82"/>
      <c r="R111" s="65">
        <v>88200</v>
      </c>
      <c r="S111" s="68" t="s">
        <v>120</v>
      </c>
    </row>
    <row r="112" spans="1:19" ht="16.5" x14ac:dyDescent="0.25">
      <c r="A112" s="39">
        <v>66505</v>
      </c>
      <c r="B112" s="65" t="s">
        <v>123</v>
      </c>
      <c r="C112" s="131"/>
      <c r="D112" s="77">
        <v>11</v>
      </c>
      <c r="E112" s="65">
        <f>O111</f>
        <v>22969.439999999999</v>
      </c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6">
        <f>E112</f>
        <v>22969.439999999999</v>
      </c>
      <c r="Q112" s="67"/>
      <c r="R112" s="65">
        <v>22970</v>
      </c>
      <c r="S112" s="68" t="s">
        <v>141</v>
      </c>
    </row>
    <row r="113" spans="1:19" ht="18.75" thickBot="1" x14ac:dyDescent="0.3">
      <c r="A113" s="83"/>
      <c r="B113" s="84"/>
      <c r="C113" s="134"/>
      <c r="D113" s="85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6"/>
      <c r="P113" s="84"/>
      <c r="Q113" s="87"/>
      <c r="R113" s="84"/>
      <c r="S113" s="84"/>
    </row>
    <row r="114" spans="1:19" ht="18" x14ac:dyDescent="0.25">
      <c r="A114" s="88"/>
      <c r="B114" s="89"/>
      <c r="C114" s="135"/>
      <c r="D114" s="90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54"/>
      <c r="R114" s="88"/>
      <c r="S114" s="88"/>
    </row>
    <row r="115" spans="1:19" ht="18" x14ac:dyDescent="0.25">
      <c r="A115" s="91"/>
      <c r="B115" s="65"/>
      <c r="C115" s="131"/>
      <c r="D115" s="77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92"/>
      <c r="P115" s="91"/>
      <c r="Q115" s="93"/>
      <c r="R115" s="65"/>
      <c r="S115" s="91"/>
    </row>
    <row r="116" spans="1:19" ht="18" x14ac:dyDescent="0.25">
      <c r="A116" s="91"/>
      <c r="B116" s="65"/>
      <c r="C116" s="131"/>
      <c r="D116" s="77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93"/>
      <c r="R116" s="91"/>
      <c r="S116" s="91"/>
    </row>
    <row r="117" spans="1:19" ht="18.75" thickBot="1" x14ac:dyDescent="0.3">
      <c r="A117" s="94"/>
      <c r="B117" s="55"/>
      <c r="C117" s="128"/>
      <c r="D117" s="56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95"/>
      <c r="R117" s="55"/>
      <c r="S117" s="55"/>
    </row>
    <row r="119" spans="1:19" ht="15.75" thickBot="1" x14ac:dyDescent="0.3"/>
    <row r="120" spans="1:19" ht="15.75" thickBot="1" x14ac:dyDescent="0.3">
      <c r="A120" s="36"/>
      <c r="B120" s="96"/>
      <c r="K120" s="112"/>
      <c r="L120" s="113"/>
      <c r="M120" s="113"/>
      <c r="N120" s="114"/>
    </row>
    <row r="121" spans="1:19" ht="15.75" thickBot="1" x14ac:dyDescent="0.3">
      <c r="A121" s="36"/>
      <c r="B121" s="96"/>
      <c r="K121" s="115"/>
      <c r="L121" s="116"/>
      <c r="M121" s="116"/>
      <c r="N121" s="117"/>
    </row>
    <row r="122" spans="1:19" ht="15.75" thickBot="1" x14ac:dyDescent="0.3">
      <c r="A122" s="36"/>
      <c r="B122" s="96"/>
      <c r="K122" s="118"/>
      <c r="L122" s="119"/>
      <c r="M122" s="110"/>
      <c r="N122" s="111"/>
    </row>
    <row r="123" spans="1:19" ht="15.75" thickBot="1" x14ac:dyDescent="0.3">
      <c r="A123" s="36"/>
      <c r="B123" s="96"/>
      <c r="K123" s="120"/>
      <c r="L123" s="121"/>
      <c r="M123" s="110"/>
      <c r="N123" s="111"/>
    </row>
    <row r="124" spans="1:19" ht="15.75" thickBot="1" x14ac:dyDescent="0.3">
      <c r="A124" s="36"/>
      <c r="B124" s="96"/>
      <c r="K124" s="120"/>
      <c r="L124" s="121"/>
      <c r="M124" s="110"/>
      <c r="N124" s="111"/>
    </row>
    <row r="125" spans="1:19" ht="15.75" thickBot="1" x14ac:dyDescent="0.3">
      <c r="A125" s="36"/>
      <c r="B125" s="96"/>
      <c r="K125" s="122"/>
      <c r="L125" s="123"/>
      <c r="M125" s="110"/>
      <c r="N125" s="111"/>
    </row>
    <row r="126" spans="1:19" x14ac:dyDescent="0.25">
      <c r="A126" s="36"/>
      <c r="B126" s="96"/>
      <c r="M126" s="97"/>
    </row>
    <row r="127" spans="1:19" x14ac:dyDescent="0.25">
      <c r="P127" s="98"/>
    </row>
  </sheetData>
  <mergeCells count="10">
    <mergeCell ref="M125:N125"/>
    <mergeCell ref="M122:N122"/>
    <mergeCell ref="M124:N124"/>
    <mergeCell ref="M123:N123"/>
    <mergeCell ref="K120:N120"/>
    <mergeCell ref="K121:N121"/>
    <mergeCell ref="K122:L122"/>
    <mergeCell ref="K123:L123"/>
    <mergeCell ref="K124:L124"/>
    <mergeCell ref="K125:L125"/>
  </mergeCells>
  <pageMargins left="0.70866141732283472" right="0.70866141732283472" top="0.74803149606299213" bottom="0.74803149606299213" header="0.31496062992125984" footer="0.31496062992125984"/>
  <pageSetup paperSize="9" scale="21" orientation="portrait" r:id="rId1"/>
  <headerFooter differentOddEven="1" differentFirs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4"/>
  <sheetViews>
    <sheetView topLeftCell="L1" workbookViewId="0">
      <selection activeCell="R2" sqref="R2:R14"/>
    </sheetView>
  </sheetViews>
  <sheetFormatPr defaultRowHeight="15" x14ac:dyDescent="0.25"/>
  <cols>
    <col min="1" max="1" width="11.5703125" bestFit="1" customWidth="1"/>
    <col min="2" max="2" width="28.85546875" customWidth="1"/>
    <col min="3" max="3" width="33.85546875" customWidth="1"/>
    <col min="4" max="4" width="13" customWidth="1"/>
    <col min="5" max="8" width="11.85546875" bestFit="1" customWidth="1"/>
    <col min="9" max="9" width="16.28515625" customWidth="1"/>
    <col min="10" max="10" width="10.28515625" customWidth="1"/>
    <col min="11" max="11" width="31.28515625" customWidth="1"/>
    <col min="12" max="12" width="12.7109375" customWidth="1"/>
    <col min="13" max="13" width="10.28515625" customWidth="1"/>
    <col min="14" max="14" width="9.85546875" customWidth="1"/>
    <col min="15" max="15" width="11.5703125" customWidth="1"/>
    <col min="16" max="16" width="15.7109375" customWidth="1"/>
    <col min="17" max="17" width="12.7109375" customWidth="1"/>
    <col min="18" max="18" width="16.28515625" customWidth="1"/>
    <col min="19" max="19" width="31.28515625" customWidth="1"/>
    <col min="20" max="20" width="18" customWidth="1"/>
    <col min="21" max="21" width="44" customWidth="1"/>
  </cols>
  <sheetData>
    <row r="1" spans="1:21" ht="31.5" x14ac:dyDescent="0.25">
      <c r="A1" s="4" t="s">
        <v>41</v>
      </c>
      <c r="B1" s="4" t="s">
        <v>42</v>
      </c>
      <c r="C1" s="4" t="s">
        <v>43</v>
      </c>
      <c r="D1" s="4" t="s">
        <v>44</v>
      </c>
      <c r="E1" s="4" t="s">
        <v>45</v>
      </c>
      <c r="F1" s="4" t="s">
        <v>46</v>
      </c>
      <c r="G1" s="4" t="s">
        <v>47</v>
      </c>
      <c r="H1" s="4" t="s">
        <v>48</v>
      </c>
      <c r="I1" s="5" t="s">
        <v>49</v>
      </c>
      <c r="J1" s="5" t="s">
        <v>50</v>
      </c>
      <c r="K1" s="4" t="s">
        <v>51</v>
      </c>
      <c r="L1" s="4" t="s">
        <v>52</v>
      </c>
      <c r="M1" s="5" t="s">
        <v>53</v>
      </c>
      <c r="N1" s="5"/>
      <c r="O1" s="5" t="s">
        <v>54</v>
      </c>
      <c r="P1" s="5"/>
      <c r="Q1" s="6" t="s">
        <v>55</v>
      </c>
      <c r="R1" s="6" t="s">
        <v>56</v>
      </c>
      <c r="S1" s="7" t="s">
        <v>57</v>
      </c>
      <c r="T1" s="7" t="s">
        <v>58</v>
      </c>
      <c r="U1" s="7" t="s">
        <v>59</v>
      </c>
    </row>
    <row r="2" spans="1:21" ht="15.75" x14ac:dyDescent="0.25">
      <c r="A2" s="8">
        <v>370</v>
      </c>
      <c r="B2" s="9"/>
      <c r="C2" s="10"/>
      <c r="D2" s="9"/>
      <c r="E2" s="11"/>
      <c r="F2" s="11"/>
      <c r="G2" s="11"/>
      <c r="H2" s="11"/>
      <c r="I2" s="8" t="s">
        <v>60</v>
      </c>
      <c r="J2" s="8">
        <v>3581</v>
      </c>
      <c r="K2" s="12" t="s">
        <v>3</v>
      </c>
      <c r="L2" s="8" t="s">
        <v>44</v>
      </c>
      <c r="M2" s="13">
        <v>8.0424960000000004E-2</v>
      </c>
      <c r="N2" s="13"/>
      <c r="O2" s="8">
        <v>63950</v>
      </c>
      <c r="P2" s="8">
        <f t="shared" ref="P2:P13" si="0">M2*O2</f>
        <v>5143.1761919999999</v>
      </c>
      <c r="Q2" s="14">
        <f t="shared" ref="Q2:Q14" si="1">(M2*O2)*18%</f>
        <v>925.77171455999996</v>
      </c>
      <c r="R2" s="15">
        <f t="shared" ref="R2:R14" si="2">(M2*O2)+Q2</f>
        <v>6068.9479065599999</v>
      </c>
      <c r="S2" s="16" t="s">
        <v>61</v>
      </c>
      <c r="T2" s="17" t="s">
        <v>62</v>
      </c>
      <c r="U2" s="17"/>
    </row>
    <row r="3" spans="1:21" ht="15.75" x14ac:dyDescent="0.25">
      <c r="A3" s="8">
        <v>371</v>
      </c>
      <c r="B3" s="9"/>
      <c r="C3" s="10"/>
      <c r="D3" s="9"/>
      <c r="E3" s="11"/>
      <c r="F3" s="11"/>
      <c r="G3" s="11"/>
      <c r="H3" s="11"/>
      <c r="I3" s="8" t="s">
        <v>60</v>
      </c>
      <c r="J3" s="8">
        <v>3581</v>
      </c>
      <c r="K3" s="12" t="s">
        <v>3</v>
      </c>
      <c r="L3" s="8" t="s">
        <v>45</v>
      </c>
      <c r="M3" s="13">
        <v>0.103488</v>
      </c>
      <c r="N3" s="13"/>
      <c r="O3" s="8">
        <v>62450</v>
      </c>
      <c r="P3" s="8">
        <f t="shared" si="0"/>
        <v>6462.8256000000001</v>
      </c>
      <c r="Q3" s="14">
        <f t="shared" si="1"/>
        <v>1163.308608</v>
      </c>
      <c r="R3" s="15">
        <f t="shared" si="2"/>
        <v>7626.1342080000004</v>
      </c>
      <c r="S3" s="16" t="s">
        <v>61</v>
      </c>
      <c r="T3" s="17" t="s">
        <v>62</v>
      </c>
      <c r="U3" s="17"/>
    </row>
    <row r="4" spans="1:21" ht="15.75" x14ac:dyDescent="0.25">
      <c r="A4" s="8">
        <v>372</v>
      </c>
      <c r="B4" s="9"/>
      <c r="C4" s="10"/>
      <c r="D4" s="9"/>
      <c r="E4" s="11"/>
      <c r="F4" s="11"/>
      <c r="G4" s="11"/>
      <c r="H4" s="11"/>
      <c r="I4" s="8" t="s">
        <v>60</v>
      </c>
      <c r="J4" s="8">
        <v>3581</v>
      </c>
      <c r="K4" s="12" t="s">
        <v>3</v>
      </c>
      <c r="L4" s="8" t="s">
        <v>46</v>
      </c>
      <c r="M4" s="13">
        <v>0.12773376</v>
      </c>
      <c r="N4" s="13"/>
      <c r="O4" s="8">
        <v>62450</v>
      </c>
      <c r="P4" s="8">
        <f t="shared" si="0"/>
        <v>7976.9733120000001</v>
      </c>
      <c r="Q4" s="14">
        <f t="shared" si="1"/>
        <v>1435.8551961599999</v>
      </c>
      <c r="R4" s="15">
        <f t="shared" si="2"/>
        <v>9412.8285081600006</v>
      </c>
      <c r="S4" s="16" t="s">
        <v>61</v>
      </c>
      <c r="T4" s="17" t="s">
        <v>62</v>
      </c>
      <c r="U4" s="17"/>
    </row>
    <row r="5" spans="1:21" ht="15.75" x14ac:dyDescent="0.25">
      <c r="A5" s="8">
        <v>373</v>
      </c>
      <c r="B5" s="9"/>
      <c r="C5" s="10"/>
      <c r="D5" s="9"/>
      <c r="E5" s="11"/>
      <c r="F5" s="11"/>
      <c r="G5" s="11"/>
      <c r="H5" s="11"/>
      <c r="I5" s="8" t="s">
        <v>60</v>
      </c>
      <c r="J5" s="8">
        <v>3581</v>
      </c>
      <c r="K5" s="12" t="s">
        <v>3</v>
      </c>
      <c r="L5" s="8" t="s">
        <v>47</v>
      </c>
      <c r="M5" s="13">
        <v>1.00294656</v>
      </c>
      <c r="N5" s="13"/>
      <c r="O5" s="8">
        <v>61450</v>
      </c>
      <c r="P5" s="8">
        <f t="shared" si="0"/>
        <v>61631.066112</v>
      </c>
      <c r="Q5" s="14">
        <f t="shared" si="1"/>
        <v>11093.59190016</v>
      </c>
      <c r="R5" s="15">
        <f t="shared" si="2"/>
        <v>72724.658012159998</v>
      </c>
      <c r="S5" s="16" t="s">
        <v>61</v>
      </c>
      <c r="T5" s="17" t="s">
        <v>62</v>
      </c>
      <c r="U5" s="17"/>
    </row>
    <row r="6" spans="1:21" ht="15.75" x14ac:dyDescent="0.25">
      <c r="A6" s="8">
        <v>379</v>
      </c>
      <c r="B6" s="9"/>
      <c r="C6" s="10"/>
      <c r="D6" s="9"/>
      <c r="E6" s="11"/>
      <c r="F6" s="11"/>
      <c r="G6" s="11"/>
      <c r="H6" s="11"/>
      <c r="I6" s="8" t="s">
        <v>60</v>
      </c>
      <c r="J6" s="8">
        <v>3866</v>
      </c>
      <c r="K6" s="12" t="s">
        <v>3</v>
      </c>
      <c r="L6" s="8" t="s">
        <v>44</v>
      </c>
      <c r="M6" s="13">
        <v>9.4617599999999996E-2</v>
      </c>
      <c r="N6" s="13"/>
      <c r="O6" s="8">
        <v>63950</v>
      </c>
      <c r="P6" s="8">
        <f t="shared" si="0"/>
        <v>6050.7955199999997</v>
      </c>
      <c r="Q6" s="14">
        <f t="shared" si="1"/>
        <v>1089.1431935999999</v>
      </c>
      <c r="R6" s="15">
        <f t="shared" si="2"/>
        <v>7139.9387135999996</v>
      </c>
      <c r="S6" s="16" t="s">
        <v>61</v>
      </c>
      <c r="T6" s="17" t="s">
        <v>62</v>
      </c>
      <c r="U6" s="17"/>
    </row>
    <row r="7" spans="1:21" ht="15.75" x14ac:dyDescent="0.25">
      <c r="A7" s="8">
        <v>380</v>
      </c>
      <c r="B7" s="9"/>
      <c r="C7" s="10"/>
      <c r="D7" s="9"/>
      <c r="E7" s="11"/>
      <c r="F7" s="11"/>
      <c r="G7" s="11"/>
      <c r="H7" s="11"/>
      <c r="I7" s="8" t="s">
        <v>60</v>
      </c>
      <c r="J7" s="8">
        <v>3866</v>
      </c>
      <c r="K7" s="12" t="s">
        <v>3</v>
      </c>
      <c r="L7" s="8" t="s">
        <v>45</v>
      </c>
      <c r="M7" s="13">
        <v>0.70223999999999986</v>
      </c>
      <c r="N7" s="13"/>
      <c r="O7" s="8">
        <v>62450</v>
      </c>
      <c r="P7" s="8">
        <f t="shared" si="0"/>
        <v>43854.887999999992</v>
      </c>
      <c r="Q7" s="14">
        <f t="shared" si="1"/>
        <v>7893.8798399999978</v>
      </c>
      <c r="R7" s="15">
        <f t="shared" si="2"/>
        <v>51748.767839999986</v>
      </c>
      <c r="S7" s="16" t="s">
        <v>61</v>
      </c>
      <c r="T7" s="17" t="s">
        <v>62</v>
      </c>
      <c r="U7" s="17"/>
    </row>
    <row r="8" spans="1:21" ht="15.75" x14ac:dyDescent="0.25">
      <c r="A8" s="8">
        <v>381</v>
      </c>
      <c r="B8" s="9"/>
      <c r="C8" s="10"/>
      <c r="D8" s="9"/>
      <c r="E8" s="11"/>
      <c r="F8" s="11"/>
      <c r="G8" s="11"/>
      <c r="H8" s="11"/>
      <c r="I8" s="8" t="s">
        <v>60</v>
      </c>
      <c r="J8" s="8">
        <v>3866</v>
      </c>
      <c r="K8" s="12" t="s">
        <v>3</v>
      </c>
      <c r="L8" s="8" t="s">
        <v>46</v>
      </c>
      <c r="M8" s="13">
        <v>0.74511360000000004</v>
      </c>
      <c r="N8" s="13"/>
      <c r="O8" s="8">
        <v>62450</v>
      </c>
      <c r="P8" s="8">
        <f t="shared" si="0"/>
        <v>46532.344320000004</v>
      </c>
      <c r="Q8" s="14">
        <f t="shared" si="1"/>
        <v>8375.8219776000005</v>
      </c>
      <c r="R8" s="15">
        <f t="shared" si="2"/>
        <v>54908.166297600008</v>
      </c>
      <c r="S8" s="16" t="s">
        <v>61</v>
      </c>
      <c r="T8" s="17" t="s">
        <v>62</v>
      </c>
      <c r="U8" s="17"/>
    </row>
    <row r="9" spans="1:21" ht="15.75" x14ac:dyDescent="0.25">
      <c r="A9" s="8">
        <v>382</v>
      </c>
      <c r="B9" s="9"/>
      <c r="C9" s="10"/>
      <c r="D9" s="9"/>
      <c r="E9" s="11"/>
      <c r="F9" s="11"/>
      <c r="G9" s="11"/>
      <c r="H9" s="11"/>
      <c r="I9" s="8" t="s">
        <v>60</v>
      </c>
      <c r="J9" s="8">
        <v>3866</v>
      </c>
      <c r="K9" s="12" t="s">
        <v>3</v>
      </c>
      <c r="L9" s="8" t="s">
        <v>47</v>
      </c>
      <c r="M9" s="13">
        <v>0.37847039999999998</v>
      </c>
      <c r="N9" s="13"/>
      <c r="O9" s="8">
        <v>61450</v>
      </c>
      <c r="P9" s="8">
        <f t="shared" si="0"/>
        <v>23257.006079999999</v>
      </c>
      <c r="Q9" s="14">
        <f t="shared" si="1"/>
        <v>4186.2610943999998</v>
      </c>
      <c r="R9" s="15">
        <f t="shared" si="2"/>
        <v>27443.2671744</v>
      </c>
      <c r="S9" s="16" t="s">
        <v>61</v>
      </c>
      <c r="T9" s="17" t="s">
        <v>62</v>
      </c>
      <c r="U9" s="17"/>
    </row>
    <row r="10" spans="1:21" ht="15.75" x14ac:dyDescent="0.25">
      <c r="A10" s="8">
        <v>415</v>
      </c>
      <c r="B10" s="9"/>
      <c r="C10" s="10"/>
      <c r="D10" s="9"/>
      <c r="E10" s="11"/>
      <c r="F10" s="11"/>
      <c r="G10" s="11"/>
      <c r="H10" s="11"/>
      <c r="I10" s="8" t="s">
        <v>63</v>
      </c>
      <c r="J10" s="8">
        <v>3448</v>
      </c>
      <c r="K10" s="12" t="s">
        <v>3</v>
      </c>
      <c r="L10" s="8" t="s">
        <v>44</v>
      </c>
      <c r="M10" s="13">
        <v>0.64800000000000002</v>
      </c>
      <c r="N10" s="13"/>
      <c r="O10" s="8">
        <v>63950</v>
      </c>
      <c r="P10" s="8">
        <f t="shared" si="0"/>
        <v>41439.599999999999</v>
      </c>
      <c r="Q10" s="14">
        <f t="shared" si="1"/>
        <v>7459.1279999999997</v>
      </c>
      <c r="R10" s="15">
        <f t="shared" si="2"/>
        <v>48898.727999999996</v>
      </c>
      <c r="S10" s="16" t="s">
        <v>64</v>
      </c>
      <c r="T10" s="17" t="s">
        <v>65</v>
      </c>
      <c r="U10" s="17" t="s">
        <v>66</v>
      </c>
    </row>
    <row r="11" spans="1:21" ht="15.75" x14ac:dyDescent="0.25">
      <c r="A11" s="8">
        <v>433</v>
      </c>
      <c r="B11" s="9"/>
      <c r="C11" s="10"/>
      <c r="D11" s="11"/>
      <c r="E11" s="11"/>
      <c r="F11" s="11"/>
      <c r="G11" s="11"/>
      <c r="H11" s="11"/>
      <c r="I11" s="8" t="s">
        <v>67</v>
      </c>
      <c r="J11" s="8">
        <v>4298</v>
      </c>
      <c r="K11" s="12" t="s">
        <v>3</v>
      </c>
      <c r="L11" s="8" t="s">
        <v>45</v>
      </c>
      <c r="M11" s="13">
        <v>0.75398399999999988</v>
      </c>
      <c r="N11" s="13"/>
      <c r="O11" s="8">
        <v>62450</v>
      </c>
      <c r="P11" s="8">
        <f t="shared" si="0"/>
        <v>47086.30079999999</v>
      </c>
      <c r="Q11" s="14">
        <f t="shared" si="1"/>
        <v>8475.5341439999975</v>
      </c>
      <c r="R11" s="15">
        <f t="shared" si="2"/>
        <v>55561.834943999987</v>
      </c>
      <c r="S11" s="17" t="s">
        <v>64</v>
      </c>
      <c r="T11" s="17" t="s">
        <v>65</v>
      </c>
      <c r="U11" s="17" t="s">
        <v>66</v>
      </c>
    </row>
    <row r="12" spans="1:21" ht="15.75" x14ac:dyDescent="0.25">
      <c r="A12" s="8">
        <v>434</v>
      </c>
      <c r="B12" s="9"/>
      <c r="C12" s="10"/>
      <c r="D12" s="11"/>
      <c r="E12" s="11"/>
      <c r="F12" s="11"/>
      <c r="G12" s="11"/>
      <c r="H12" s="11"/>
      <c r="I12" s="8" t="s">
        <v>67</v>
      </c>
      <c r="J12" s="8">
        <v>4298</v>
      </c>
      <c r="K12" s="12" t="s">
        <v>3</v>
      </c>
      <c r="L12" s="8" t="s">
        <v>46</v>
      </c>
      <c r="M12" s="13">
        <v>0.53222399999999992</v>
      </c>
      <c r="N12" s="13"/>
      <c r="O12" s="8">
        <v>62450</v>
      </c>
      <c r="P12" s="8">
        <f t="shared" si="0"/>
        <v>33237.388799999993</v>
      </c>
      <c r="Q12" s="14">
        <f t="shared" si="1"/>
        <v>5982.7299839999987</v>
      </c>
      <c r="R12" s="15">
        <f t="shared" si="2"/>
        <v>39220.118783999991</v>
      </c>
      <c r="S12" s="17" t="s">
        <v>64</v>
      </c>
      <c r="T12" s="17" t="s">
        <v>68</v>
      </c>
      <c r="U12" s="17" t="s">
        <v>69</v>
      </c>
    </row>
    <row r="13" spans="1:21" ht="15.75" x14ac:dyDescent="0.25">
      <c r="A13" s="8">
        <v>435</v>
      </c>
      <c r="B13" s="9"/>
      <c r="C13" s="10"/>
      <c r="D13" s="11"/>
      <c r="E13" s="11"/>
      <c r="F13" s="11"/>
      <c r="G13" s="11"/>
      <c r="H13" s="11"/>
      <c r="I13" s="8" t="s">
        <v>67</v>
      </c>
      <c r="J13" s="8">
        <v>4298</v>
      </c>
      <c r="K13" s="12" t="s">
        <v>3</v>
      </c>
      <c r="L13" s="8" t="s">
        <v>47</v>
      </c>
      <c r="M13" s="13">
        <v>1.3814169599999999</v>
      </c>
      <c r="N13" s="13"/>
      <c r="O13" s="8">
        <v>61450</v>
      </c>
      <c r="P13" s="8">
        <f t="shared" si="0"/>
        <v>84888.072191999992</v>
      </c>
      <c r="Q13" s="14">
        <f t="shared" si="1"/>
        <v>15279.852994559998</v>
      </c>
      <c r="R13" s="15">
        <f t="shared" si="2"/>
        <v>100167.92518655999</v>
      </c>
      <c r="S13" s="17" t="s">
        <v>64</v>
      </c>
      <c r="T13" s="17" t="s">
        <v>68</v>
      </c>
      <c r="U13" s="17" t="s">
        <v>69</v>
      </c>
    </row>
    <row r="14" spans="1:21" ht="15.75" x14ac:dyDescent="0.25">
      <c r="A14" s="8">
        <v>436</v>
      </c>
      <c r="B14" s="9"/>
      <c r="C14" s="10"/>
      <c r="D14" s="11"/>
      <c r="E14" s="11"/>
      <c r="F14" s="11"/>
      <c r="G14" s="11"/>
      <c r="H14" s="11"/>
      <c r="I14" s="8" t="s">
        <v>67</v>
      </c>
      <c r="J14" s="8">
        <v>4298</v>
      </c>
      <c r="K14" s="12" t="s">
        <v>3</v>
      </c>
      <c r="L14" s="8" t="s">
        <v>48</v>
      </c>
      <c r="M14" s="13">
        <v>1.1827199999999998</v>
      </c>
      <c r="N14" s="13"/>
      <c r="O14" s="8">
        <v>61450</v>
      </c>
      <c r="P14" s="8">
        <f>M14*O14</f>
        <v>72678.143999999986</v>
      </c>
      <c r="Q14" s="14">
        <f t="shared" si="1"/>
        <v>13082.065919999997</v>
      </c>
      <c r="R14" s="18">
        <f t="shared" si="2"/>
        <v>85760.209919999979</v>
      </c>
      <c r="S14" s="17" t="s">
        <v>64</v>
      </c>
      <c r="T14" s="17" t="s">
        <v>68</v>
      </c>
      <c r="U14" s="17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"/>
  <sheetViews>
    <sheetView workbookViewId="0">
      <selection activeCell="J2" sqref="J2"/>
    </sheetView>
  </sheetViews>
  <sheetFormatPr defaultColWidth="9.140625" defaultRowHeight="15" x14ac:dyDescent="0.25"/>
  <cols>
    <col min="1" max="1" width="5.85546875" customWidth="1"/>
    <col min="2" max="2" width="11.5703125" customWidth="1"/>
    <col min="3" max="3" width="10.28515625" customWidth="1"/>
    <col min="4" max="4" width="35.140625" customWidth="1"/>
    <col min="5" max="5" width="12" customWidth="1"/>
    <col min="6" max="6" width="10.140625" customWidth="1"/>
    <col min="7" max="8" width="11.42578125" customWidth="1"/>
    <col min="9" max="9" width="12.140625" customWidth="1"/>
    <col min="10" max="10" width="12.5703125" customWidth="1"/>
    <col min="11" max="11" width="22" customWidth="1"/>
    <col min="12" max="12" width="16.140625" customWidth="1"/>
    <col min="13" max="13" width="26.85546875" customWidth="1"/>
    <col min="14" max="14" width="34.7109375" customWidth="1"/>
    <col min="15" max="15" width="33.28515625" customWidth="1"/>
  </cols>
  <sheetData>
    <row r="1" spans="1:16" s="24" customFormat="1" ht="32.25" thickBot="1" x14ac:dyDescent="0.3">
      <c r="A1" s="19" t="s">
        <v>54</v>
      </c>
      <c r="B1" s="20" t="s">
        <v>49</v>
      </c>
      <c r="C1" s="20" t="s">
        <v>50</v>
      </c>
      <c r="D1" s="21" t="s">
        <v>51</v>
      </c>
      <c r="E1" s="20" t="s">
        <v>70</v>
      </c>
      <c r="F1" s="20" t="s">
        <v>71</v>
      </c>
      <c r="G1" s="20" t="s">
        <v>72</v>
      </c>
      <c r="H1" s="20"/>
      <c r="I1" s="20" t="s">
        <v>73</v>
      </c>
      <c r="J1" s="20" t="s">
        <v>56</v>
      </c>
      <c r="K1" s="22" t="s">
        <v>74</v>
      </c>
      <c r="L1" s="22" t="s">
        <v>58</v>
      </c>
      <c r="M1" s="23" t="s">
        <v>59</v>
      </c>
    </row>
    <row r="2" spans="1:16" s="24" customFormat="1" ht="15.75" x14ac:dyDescent="0.25">
      <c r="A2" s="8">
        <v>288</v>
      </c>
      <c r="B2" s="25" t="s">
        <v>75</v>
      </c>
      <c r="C2" s="8">
        <v>4029</v>
      </c>
      <c r="D2" s="8" t="s">
        <v>76</v>
      </c>
      <c r="E2" s="26">
        <v>200</v>
      </c>
      <c r="F2" s="8">
        <f t="shared" ref="F2" si="0">E2*50/1000</f>
        <v>10</v>
      </c>
      <c r="G2" s="8">
        <v>5859.38</v>
      </c>
      <c r="H2" s="27">
        <f t="shared" ref="H2" si="1">F2*G2</f>
        <v>58593.8</v>
      </c>
      <c r="I2" s="27">
        <f t="shared" ref="I2" si="2">(F2*G2)*28%</f>
        <v>16406.264000000003</v>
      </c>
      <c r="J2" s="28">
        <f t="shared" ref="J2" si="3">(F2*G2)+I2</f>
        <v>75000.064000000013</v>
      </c>
      <c r="K2" s="17" t="s">
        <v>61</v>
      </c>
      <c r="L2" s="17" t="s">
        <v>62</v>
      </c>
      <c r="M2" s="17"/>
      <c r="P2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"/>
  <sheetViews>
    <sheetView workbookViewId="0">
      <selection activeCell="H2" sqref="H2"/>
    </sheetView>
  </sheetViews>
  <sheetFormatPr defaultColWidth="9.140625" defaultRowHeight="15" x14ac:dyDescent="0.25"/>
  <cols>
    <col min="1" max="1" width="11.5703125" customWidth="1"/>
    <col min="2" max="2" width="13.85546875" customWidth="1"/>
    <col min="3" max="3" width="12.140625" bestFit="1" customWidth="1"/>
    <col min="4" max="4" width="34.5703125" customWidth="1"/>
    <col min="5" max="5" width="16.5703125" customWidth="1"/>
    <col min="6" max="6" width="21.140625" customWidth="1"/>
    <col min="7" max="7" width="18.140625" customWidth="1"/>
    <col min="8" max="8" width="18.28515625" customWidth="1"/>
    <col min="9" max="9" width="19.42578125" customWidth="1"/>
    <col min="10" max="10" width="44.42578125" customWidth="1"/>
    <col min="11" max="11" width="42.140625" customWidth="1"/>
    <col min="12" max="12" width="19.140625" customWidth="1"/>
    <col min="13" max="13" width="37.140625" customWidth="1"/>
    <col min="14" max="14" width="45.28515625" customWidth="1"/>
  </cols>
  <sheetData>
    <row r="1" spans="1:13" s="24" customFormat="1" ht="23.45" customHeight="1" thickBot="1" x14ac:dyDescent="0.3">
      <c r="A1" s="30" t="s">
        <v>77</v>
      </c>
      <c r="B1" s="31" t="s">
        <v>49</v>
      </c>
      <c r="C1" s="32" t="s">
        <v>50</v>
      </c>
      <c r="D1" s="32" t="s">
        <v>51</v>
      </c>
      <c r="E1" s="32" t="s">
        <v>78</v>
      </c>
      <c r="F1" s="32" t="s">
        <v>79</v>
      </c>
      <c r="G1" s="32" t="s">
        <v>80</v>
      </c>
      <c r="H1" s="32" t="s">
        <v>56</v>
      </c>
      <c r="I1" s="32" t="s">
        <v>81</v>
      </c>
      <c r="J1" s="32" t="s">
        <v>82</v>
      </c>
      <c r="K1" s="32" t="s">
        <v>74</v>
      </c>
      <c r="L1" s="32" t="s">
        <v>58</v>
      </c>
      <c r="M1" s="33" t="s">
        <v>83</v>
      </c>
    </row>
    <row r="2" spans="1:13" s="24" customFormat="1" ht="15.75" x14ac:dyDescent="0.25">
      <c r="A2" s="34">
        <v>1427</v>
      </c>
      <c r="B2" s="25" t="s">
        <v>84</v>
      </c>
      <c r="C2" s="17">
        <v>3641</v>
      </c>
      <c r="D2" s="17" t="s">
        <v>85</v>
      </c>
      <c r="E2" s="17">
        <v>200</v>
      </c>
      <c r="F2" s="35">
        <v>1734</v>
      </c>
      <c r="G2" s="17">
        <v>89.91</v>
      </c>
      <c r="H2" s="17">
        <f t="shared" ref="H2" si="0">G2*E2</f>
        <v>17982</v>
      </c>
      <c r="I2" s="17"/>
      <c r="J2" s="17" t="s">
        <v>86</v>
      </c>
      <c r="K2" s="17" t="s">
        <v>87</v>
      </c>
      <c r="L2" s="17" t="s">
        <v>88</v>
      </c>
      <c r="M2" s="17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TMT</vt:lpstr>
      <vt:lpstr>cement</vt:lpstr>
      <vt:lpstr>Diesel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2025-01-17T10:44:22Z</cp:lastPrinted>
  <dcterms:created xsi:type="dcterms:W3CDTF">2022-06-10T14:11:52Z</dcterms:created>
  <dcterms:modified xsi:type="dcterms:W3CDTF">2025-05-31T09:04:21Z</dcterms:modified>
</cp:coreProperties>
</file>