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EFBE4BB3-0456-4661-91DB-001354719F34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definedNames>
    <definedName name="_xlnm.Print_Area" localSheetId="0">Sheet1!$A$1:$BM$110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Q39" i="1" s="1"/>
  <c r="H48" i="1"/>
  <c r="H50" i="1"/>
  <c r="H52" i="1"/>
  <c r="H69" i="1"/>
  <c r="H67" i="1"/>
  <c r="N34" i="1" l="1"/>
  <c r="N33" i="1"/>
  <c r="G56" i="1" l="1"/>
  <c r="N39" i="1"/>
  <c r="N38" i="1"/>
  <c r="L56" i="1" l="1"/>
  <c r="H56" i="1"/>
  <c r="N56" i="1"/>
  <c r="E57" i="1" s="1"/>
  <c r="Q57" i="1" s="1"/>
  <c r="K56" i="1"/>
  <c r="M56" i="1"/>
  <c r="J56" i="1"/>
  <c r="R32" i="1"/>
  <c r="R17" i="1"/>
  <c r="R10" i="1"/>
  <c r="Q56" i="1" l="1"/>
  <c r="I56" i="1"/>
  <c r="G24" i="1"/>
  <c r="J24" i="1" s="1"/>
  <c r="F11" i="1"/>
  <c r="U11" i="1"/>
  <c r="X11" i="1" s="1"/>
  <c r="I12" i="1"/>
  <c r="Q12" i="1"/>
  <c r="X12" i="1"/>
  <c r="G13" i="1"/>
  <c r="I13" i="1" s="1"/>
  <c r="X13" i="1"/>
  <c r="G14" i="1"/>
  <c r="I14" i="1" s="1"/>
  <c r="X49" i="1"/>
  <c r="X50" i="1"/>
  <c r="X51" i="1"/>
  <c r="X52" i="1"/>
  <c r="X53" i="1"/>
  <c r="X54" i="1"/>
  <c r="X55" i="1"/>
  <c r="X56" i="1"/>
  <c r="X57" i="1"/>
  <c r="X48" i="1"/>
  <c r="G54" i="1"/>
  <c r="R47" i="1"/>
  <c r="G73" i="1"/>
  <c r="I73" i="1" s="1"/>
  <c r="Q73" i="1" s="1"/>
  <c r="G11" i="1" l="1"/>
  <c r="L11" i="1" s="1"/>
  <c r="K54" i="1"/>
  <c r="H54" i="1"/>
  <c r="N54" i="1" s="1"/>
  <c r="E55" i="1" s="1"/>
  <c r="J14" i="1"/>
  <c r="Q14" i="1" s="1"/>
  <c r="L24" i="1"/>
  <c r="M24" i="1"/>
  <c r="K24" i="1"/>
  <c r="H24" i="1"/>
  <c r="N24" i="1" s="1"/>
  <c r="E25" i="1" s="1"/>
  <c r="Q25" i="1" s="1"/>
  <c r="J13" i="1"/>
  <c r="Q13" i="1" s="1"/>
  <c r="J11" i="1"/>
  <c r="K11" i="1"/>
  <c r="M11" i="1"/>
  <c r="H11" i="1"/>
  <c r="N11" i="1" s="1"/>
  <c r="L54" i="1"/>
  <c r="M54" i="1"/>
  <c r="J54" i="1"/>
  <c r="N93" i="1"/>
  <c r="G93" i="1"/>
  <c r="I93" i="1" s="1"/>
  <c r="G55" i="1" l="1"/>
  <c r="Q55" i="1"/>
  <c r="I24" i="1"/>
  <c r="Q24" i="1"/>
  <c r="I11" i="1"/>
  <c r="Q11" i="1" s="1"/>
  <c r="Q54" i="1"/>
  <c r="Q93" i="1"/>
  <c r="I54" i="1"/>
  <c r="U75" i="1"/>
  <c r="U74" i="1"/>
  <c r="U68" i="1"/>
  <c r="U69" i="1"/>
  <c r="X69" i="1" s="1"/>
  <c r="U67" i="1"/>
  <c r="X76" i="1"/>
  <c r="U41" i="1" l="1"/>
  <c r="X41" i="1" s="1"/>
  <c r="U39" i="1"/>
  <c r="X39" i="1" s="1"/>
  <c r="X42" i="1"/>
  <c r="G40" i="1" l="1"/>
  <c r="H40" i="1" s="1"/>
  <c r="N40" i="1" s="1"/>
  <c r="E41" i="1" l="1"/>
  <c r="Q41" i="1" s="1"/>
  <c r="J40" i="1"/>
  <c r="K40" i="1"/>
  <c r="P40" i="1"/>
  <c r="G92" i="1"/>
  <c r="M92" i="1" s="1"/>
  <c r="Q91" i="1"/>
  <c r="Q90" i="1"/>
  <c r="Q88" i="1"/>
  <c r="Q87" i="1"/>
  <c r="Q86" i="1"/>
  <c r="N89" i="1"/>
  <c r="Q89" i="1" s="1"/>
  <c r="I40" i="1" l="1"/>
  <c r="Q40" i="1" s="1"/>
  <c r="K92" i="1"/>
  <c r="H92" i="1"/>
  <c r="N92" i="1" s="1"/>
  <c r="J92" i="1"/>
  <c r="L92" i="1"/>
  <c r="X75" i="1"/>
  <c r="X74" i="1"/>
  <c r="X71" i="1"/>
  <c r="X70" i="1"/>
  <c r="X68" i="1"/>
  <c r="X67" i="1"/>
  <c r="I92" i="1" l="1"/>
  <c r="Q92" i="1" s="1"/>
  <c r="G72" i="1"/>
  <c r="G71" i="1"/>
  <c r="K71" i="1" l="1"/>
  <c r="H71" i="1"/>
  <c r="J72" i="1"/>
  <c r="H72" i="1"/>
  <c r="N72" i="1" s="1"/>
  <c r="K72" i="1"/>
  <c r="L72" i="1"/>
  <c r="M72" i="1"/>
  <c r="N71" i="1"/>
  <c r="J71" i="1"/>
  <c r="I72" i="1" l="1"/>
  <c r="Q72" i="1" s="1"/>
  <c r="I71" i="1"/>
  <c r="Q71" i="1" s="1"/>
</calcChain>
</file>

<file path=xl/sharedStrings.xml><?xml version="1.0" encoding="utf-8"?>
<sst xmlns="http://schemas.openxmlformats.org/spreadsheetml/2006/main" count="193" uniqueCount="150">
  <si>
    <t>Invoice Reconcilation</t>
  </si>
  <si>
    <t>Amount</t>
  </si>
  <si>
    <t>PAYMENT NOTE No.</t>
  </si>
  <si>
    <t>UTR</t>
  </si>
  <si>
    <t>SD (5%)</t>
  </si>
  <si>
    <t>Advance paid</t>
  </si>
  <si>
    <t>Muzaffarnagar UP</t>
  </si>
  <si>
    <t>Pipe Laying work</t>
  </si>
  <si>
    <t>Hold the Amount because the Qty. is more then the DPR</t>
  </si>
  <si>
    <t>Rana Builders</t>
  </si>
  <si>
    <t>Bhamela Village Pipe laying work.</t>
  </si>
  <si>
    <t>07-09-2022 NEFT/AXISP00318323974/RIUP22/703/RANA BUILDERS 99000.00</t>
  </si>
  <si>
    <t>RIUP22/703</t>
  </si>
  <si>
    <t>22-11-2022 NEFT/AXISP00339530104/RIUP22/1317/RANA BUILDERS 353630.00</t>
  </si>
  <si>
    <t>21-12-2022 NEFT/AXISP00347873506/RIUP22/1586/RANA BUILDERS 200000.00</t>
  </si>
  <si>
    <t>RIUP22/1317</t>
  </si>
  <si>
    <t>RIUP22/1586</t>
  </si>
  <si>
    <t>18-01-2023 NEFT/AXISP00355710808/RIUP22/1895/RANA BUILDERS ₹ 1,48,500.00</t>
  </si>
  <si>
    <t>21-04-2023 NEFT/AXISP00383377300/SPUP23/0174/RANA BUILDERS 215999.00</t>
  </si>
  <si>
    <t>23-06-2023 NEFT/AXISP003542585245/RIUP23/846/RANA BUILDERS 99000.00</t>
  </si>
  <si>
    <t>GST release note</t>
  </si>
  <si>
    <t>Nagla Pithora Village Pipe laying work.</t>
  </si>
  <si>
    <t>RIUP22/702</t>
  </si>
  <si>
    <t>07-09-2022 NEFT/AXISP00318323973/RIUP22/702/RANA BUILDERS 99000.00</t>
  </si>
  <si>
    <t>RIUP22/959</t>
  </si>
  <si>
    <t>12-10-2022 NEFT/AXISP00327681882/RIUP22/959/RANA BUILDERS 495000.00</t>
  </si>
  <si>
    <t>RIUP22/2506</t>
  </si>
  <si>
    <t>08-03-2023 NEFT/AXISP00369766193/RIUP22/2506/RANA BUILDERS 297000.00</t>
  </si>
  <si>
    <t>03-05-2023 NEFT/AXISP00386899986/SPUP23/0354/RANA BUILDERS 243479.00</t>
  </si>
  <si>
    <t>25-05-2023 NEFT/AXISP00392595813/RIUP23/385/RANA BUILDERS 21113.00</t>
  </si>
  <si>
    <t>02-06-2023 NEFT/AXISP00395047095/RIUP23/336/RANA BUILDERS 171781.00</t>
  </si>
  <si>
    <t>27-02-2023 NEFT/AXISP00365995614/RIUP22/2310/RANA BUILDERS 130672.00</t>
  </si>
  <si>
    <t xml:space="preserve">Nurnagar Village Pipe laying work </t>
  </si>
  <si>
    <t>RIUP22/511</t>
  </si>
  <si>
    <t>12-08-2022 NEFT/AXISP00311803671/RIUP22/511/RANA BUILDERS 99000.00</t>
  </si>
  <si>
    <t>RIUP22/643</t>
  </si>
  <si>
    <t>01-09-2022 NEFT/AXISP00316618080/RIUP22/643/RANA BUILDERS 99000.00</t>
  </si>
  <si>
    <t>GST Release Note</t>
  </si>
  <si>
    <t>RIUP22/883</t>
  </si>
  <si>
    <t>01-10-2022 NEFT/AXISP00324688885/RIUP22/883/RANA BUILDERS 41326.00</t>
  </si>
  <si>
    <t>RIUP22/976</t>
  </si>
  <si>
    <t>12-10-2022 NEFT/AXISP00327753849/RIUP22/976/RANA BUILDERS 396000.00</t>
  </si>
  <si>
    <t>RIUP22/1307</t>
  </si>
  <si>
    <t>19-11-2022 NEFT/AXISP00339152182/RIUP22/1307/RANA BUILDERS 105092.00</t>
  </si>
  <si>
    <t>RIUP22/1497</t>
  </si>
  <si>
    <t>13-12-2022 NEFT/AXISP00346012321/RIUP22/1497/RANA BUILDERS ₹ 1,05,031.00</t>
  </si>
  <si>
    <t>RIUP22/1894</t>
  </si>
  <si>
    <t>18-01-2023 NEFT/AXISP00355710807/RIUP22/1894/RANA BUILDERS ₹ 1,48,500.00</t>
  </si>
  <si>
    <t>20-04-2023 20-04-2023 NEFT/AXISP00383281371/SPUP23/0173/RANA BUILDERS 86113.00</t>
  </si>
  <si>
    <t>Only FHTC Amount Hold</t>
  </si>
  <si>
    <t xml:space="preserve">Kasoli Village Pipe laying work </t>
  </si>
  <si>
    <t>RIUP22/311</t>
  </si>
  <si>
    <t>08-07-2022 NEFT O/W-N189221332839341-ICIC0000975-RANA BUILDERS-RIUP22/311--49,500.00</t>
  </si>
  <si>
    <t>RIUP22/359</t>
  </si>
  <si>
    <t>18-07-2022 NEFT/AXISP00304718866/RIUP22/359/RANA BUILDERS 99000.00</t>
  </si>
  <si>
    <t>RIUP22/512</t>
  </si>
  <si>
    <t>12-08-2022 NEFT/AXISP00311803672/RIUP22/512/RANA BUILDERS 99000.00</t>
  </si>
  <si>
    <t>RIUP22/882</t>
  </si>
  <si>
    <t>01-10-2022 NEFT/AXISP00324688886/RIUP22/882/RANA BUILDERS 51908.00</t>
  </si>
  <si>
    <t>RIUP22/1298</t>
  </si>
  <si>
    <t>22-11-2022 NEFT/AXISP00339521127/RIUP22/1298/RANA BUILDERS 642708.00</t>
  </si>
  <si>
    <t>SPUP23/0172</t>
  </si>
  <si>
    <t>20-04-2023 20-04-2023 NEFT/AXISP00383281376/SPUP23/0172/RANA BUILDERS 177118.00</t>
  </si>
  <si>
    <t xml:space="preserve">Gujarheri Village Pipe laying work </t>
  </si>
  <si>
    <t>RIUP22/312</t>
  </si>
  <si>
    <t>08-07-2022 NEFT O/W-N189221332839352-ICIC0000975-RANA BUILDERS-RIUP22/312--148,500.00</t>
  </si>
  <si>
    <t>RIUP22/513</t>
  </si>
  <si>
    <t>12-08-2022 NEFT/AXISP00311803673/RIUP22/513/RANA BUILDERS 99000.00</t>
  </si>
  <si>
    <t>RIUP22/600</t>
  </si>
  <si>
    <t>24-08-2022 NEFT/AXISP00314011493/RIUP22/600/RANA BUILDERS 99000.00</t>
  </si>
  <si>
    <t>RIUP22/820</t>
  </si>
  <si>
    <t>30-09-2022 NEFT/AXISP00323985687/RIUP22/820/RANA BUILDERS 81462.00</t>
  </si>
  <si>
    <t>RIUP22/819</t>
  </si>
  <si>
    <t>19-11-2022 NEFT/AXISP00339152069/RIUP22/819/RANA BUILDERS 11030.00</t>
  </si>
  <si>
    <t xml:space="preserve">Balwakhedi Village Pipe laying work </t>
  </si>
  <si>
    <t>RIUP22/327</t>
  </si>
  <si>
    <t>11-07-2022 NEFT/AXISP00302944568/RIUP22/327/RANA BUILDERS 198000.00</t>
  </si>
  <si>
    <t>RIUP22/514</t>
  </si>
  <si>
    <t>12-08-2022 NEFT/AXISP00311803674/RIUP22/514/RANA BUILDERS 99000.00</t>
  </si>
  <si>
    <t>RIUP22/572</t>
  </si>
  <si>
    <t>22-08-2022 NEFT/AXISP00313393104/RIUP/572/RANA BUILDERS 198000.00</t>
  </si>
  <si>
    <t>RIUP22/825</t>
  </si>
  <si>
    <t>26-09-2022 NEFT/AXISP00322503015/RIUP22/825/RANA BUILDERS ₹ 2,97,000.00</t>
  </si>
  <si>
    <t>RIUP22/1288</t>
  </si>
  <si>
    <t>18-11-2022 NEFT/AXISP00338955137/RIUP22/1288/RANA BUILDERS 80011.00</t>
  </si>
  <si>
    <t>RIUP22/1289</t>
  </si>
  <si>
    <t>18-11-2022 NEFT/AXISP00338955128/RIUP22/1289/RANA BUILDERS 198686.00</t>
  </si>
  <si>
    <t>RIUP22/2469</t>
  </si>
  <si>
    <t>06-03-2023 NEFT/AXISP00369001730/RIUP22/2469/RANA BUILDERS 247500.00</t>
  </si>
  <si>
    <t>SPUP23/0173</t>
  </si>
  <si>
    <t>19-07-2023 NEFT/AXISP00407912723/RIUP23/1142/RANA BUILDERS ₹ 99,000.00</t>
  </si>
  <si>
    <t>06-05-2023 NEFT/AXISP00388090047/SPUP23/0306/RANA BUILDERS 838274.00</t>
  </si>
  <si>
    <t>25-05-2023 NEFT/AXISP00392595812/RIUP23/384/RANA BUILDERS 249036.00</t>
  </si>
  <si>
    <t>SPUP23/0306</t>
  </si>
  <si>
    <t>RIUP23/384</t>
  </si>
  <si>
    <t>02-05-2023 NEFT/AXISP00386545786/SPUP23/0347/RANA BUILDERS 174585.00</t>
  </si>
  <si>
    <t>25-05-2023 NEFT/AXISP00392595811/RIUP23/383/RANA BUILDERS 45042.00</t>
  </si>
  <si>
    <t>13-06-2023 NEFT/AXISP00398119353/RIUP23/648/RANA BUILDERS 99000.00</t>
  </si>
  <si>
    <t>RIUP23/214</t>
  </si>
  <si>
    <t>29-05-2023 NEFT/AXISP00393029881/RIUP23/214/RANA BUILDERS 163886.00</t>
  </si>
  <si>
    <t>SPUP23/0347</t>
  </si>
  <si>
    <t>RIUP23/383</t>
  </si>
  <si>
    <t>RIUP23/648/</t>
  </si>
  <si>
    <t>RIUP23/845</t>
  </si>
  <si>
    <t>23-06-2023 NEFT/AXISP003542589653/RIUP23/845/RANA BUILDERS 198000.00</t>
  </si>
  <si>
    <t>RIUP23/1643</t>
  </si>
  <si>
    <t>22-08-2023 NEFT/AXISP00417367259/RIUP23/1643/RANA BUILDERS 278209.00</t>
  </si>
  <si>
    <t>RIUP23/1214</t>
  </si>
  <si>
    <t>28-07-2023 NEFT/AXISP00410053398/RIUP23/1214/RANA BUILDERS 53275.00</t>
  </si>
  <si>
    <t>26.9.23</t>
  </si>
  <si>
    <t>8 &amp; 9</t>
  </si>
  <si>
    <t>27-09-2023 NEFT/AXISP00427962775/RIUP23/2322/RANA BUILDERS/ICIC0000975 87848.00</t>
  </si>
  <si>
    <t>27-09-2023 NEFT/AXISP00427962774/RIUP23/2321/RANA BUILDERS/ICIC0000975 3824.00</t>
  </si>
  <si>
    <t>18-11-2023 NEFT/AXISP00445035265/RIUP23/3338/RANA BUILDERS/ICIC0000975 ₹ 99,000.00</t>
  </si>
  <si>
    <t>13-09-2023 NEFT/AXISP00392557856/RIUP23/2012/RANA BUILDERS 99000.00</t>
  </si>
  <si>
    <t>RIUP23/2012</t>
  </si>
  <si>
    <t>RIUP23/3338</t>
  </si>
  <si>
    <t>22-12-2023 NEFT/AXISP00455032167/RIUP23/3904/RANA BUILDERS/ICIC0000975 84930.00</t>
  </si>
  <si>
    <t>26-12-2023 NEFT/AXISP00455532161/RIUP23/3678/RANA BUILDERS/ICIC0000975 206347.00</t>
  </si>
  <si>
    <t>19-12-2023 NEFT/AXISP00454102602/RIUP23/3670/RANA BUILDERS/ICIC0000975 233500.00</t>
  </si>
  <si>
    <t>22-12-2023 NEFT/AXISP00455032179/RIUP23/3905/RANA BUILDERS/ICIC0000975 104959.00</t>
  </si>
  <si>
    <t>03-02-2024 NEFT/AXISP00468006637/RIUP23/4339/RANA BUILDERS/ICIC0000975 517485.00</t>
  </si>
  <si>
    <t>03-02-2024 NEFT/AXISP00468006636/RIUP23/4484/RANA BUILDERS/ICIC0000975 125875.00</t>
  </si>
  <si>
    <t>30-09-2023 NEFT/AXISP00429227611/RIUP23/2358/RANA BUILDERS/ICIC0000975 101004.00</t>
  </si>
  <si>
    <t>13-09-2024 NEFT/AXISP00540414565/RIUP24/1784/RANA BUILDERS/ICIC0000975 297000.00</t>
  </si>
  <si>
    <t>13-12-2024 NEFT/AXISP00584365288/RIUP24/2710/RANA BUILDERS/ICIC0000975 297000.00</t>
  </si>
  <si>
    <t>5, 10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</si>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</sst>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15" fontId="3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43" fontId="6" fillId="2" borderId="14" xfId="0" applyNumberFormat="1" applyFont="1" applyFill="1" applyBorder="1" applyAlignment="1">
      <alignment vertical="center"/>
    </xf>
    <xf numFmtId="43" fontId="6" fillId="2" borderId="11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43" fontId="3" fillId="2" borderId="15" xfId="1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/>
    </xf>
    <xf numFmtId="0" fontId="3" fillId="3" borderId="8" xfId="1" applyNumberFormat="1" applyFont="1" applyFill="1" applyBorder="1" applyAlignment="1">
      <alignment horizontal="center" vertical="center"/>
    </xf>
    <xf numFmtId="9" fontId="3" fillId="3" borderId="8" xfId="1" applyNumberFormat="1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quotePrefix="1" applyFont="1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4" fontId="3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horizontal="center" vertical="center"/>
    </xf>
    <xf numFmtId="43" fontId="3" fillId="0" borderId="8" xfId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horizontal="right" vertical="center"/>
    </xf>
    <xf numFmtId="43" fontId="5" fillId="2" borderId="8" xfId="1" applyNumberFormat="1" applyFont="1" applyFill="1" applyBorder="1" applyAlignment="1">
      <alignment vertical="center"/>
    </xf>
    <xf numFmtId="0" fontId="3" fillId="2" borderId="9" xfId="1" applyNumberFormat="1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vertical="center"/>
    </xf>
    <xf numFmtId="0" fontId="3" fillId="2" borderId="15" xfId="1" applyNumberFormat="1" applyFont="1" applyFill="1" applyBorder="1" applyAlignment="1">
      <alignment horizontal="center" vertical="center"/>
    </xf>
    <xf numFmtId="43" fontId="5" fillId="2" borderId="15" xfId="1" applyNumberFormat="1" applyFont="1" applyFill="1" applyBorder="1" applyAlignment="1">
      <alignment vertical="center"/>
    </xf>
    <xf numFmtId="43" fontId="8" fillId="5" borderId="8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15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3" fontId="9" fillId="2" borderId="15" xfId="2" applyFont="1" applyFill="1" applyBorder="1" applyAlignment="1">
      <alignment horizontal="center" vertical="center"/>
    </xf>
    <xf numFmtId="43" fontId="6" fillId="2" borderId="15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8608BEF7-DCBA-49C8-B391-EB68FE54F6F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10"/>
  <sheetViews>
    <sheetView tabSelected="1" topLeftCell="A4" zoomScale="115" zoomScaleNormal="115" zoomScaleSheetLayoutView="85" workbookViewId="0">
      <pane ySplit="5" topLeftCell="A9" activePane="bottomLeft" state="frozen"/>
      <selection activeCell="A4" sqref="A4"/>
      <selection pane="bottomLeft" activeCell="B8" sqref="A4:Y43"/>
    </sheetView>
  </sheetViews>
  <sheetFormatPr defaultColWidth="9" defaultRowHeight="15" x14ac:dyDescent="0.25"/>
  <cols>
    <col min="1" max="1" width="16.28515625" style="3" customWidth="1"/>
    <col min="2" max="2" width="33.28515625" style="3" bestFit="1" customWidth="1"/>
    <col min="3" max="3" width="11.7109375" style="3" bestFit="1" customWidth="1"/>
    <col min="4" max="4" width="18.42578125" style="23" bestFit="1" customWidth="1"/>
    <col min="5" max="5" width="13.140625" style="3" bestFit="1" customWidth="1"/>
    <col min="6" max="6" width="15" style="3" bestFit="1" customWidth="1"/>
    <col min="7" max="7" width="15.42578125" style="3" bestFit="1" customWidth="1"/>
    <col min="8" max="8" width="12.42578125" style="16" bestFit="1" customWidth="1"/>
    <col min="9" max="9" width="15.28515625" style="16" bestFit="1" customWidth="1"/>
    <col min="10" max="11" width="13.85546875" style="3" bestFit="1" customWidth="1"/>
    <col min="12" max="12" width="17" style="3" customWidth="1"/>
    <col min="13" max="14" width="15" style="3" bestFit="1" customWidth="1"/>
    <col min="15" max="15" width="14.42578125" style="3" bestFit="1" customWidth="1"/>
    <col min="16" max="16" width="16.140625" style="3" bestFit="1" customWidth="1"/>
    <col min="17" max="17" width="15" style="3" bestFit="1" customWidth="1"/>
    <col min="18" max="18" width="9.140625" style="3" bestFit="1" customWidth="1"/>
    <col min="19" max="19" width="19.42578125" style="3" bestFit="1" customWidth="1"/>
    <col min="20" max="20" width="12.7109375" style="3" customWidth="1"/>
    <col min="21" max="21" width="13.7109375" style="3" bestFit="1" customWidth="1"/>
    <col min="22" max="22" width="28.140625" style="3" hidden="1" customWidth="1"/>
    <col min="23" max="23" width="11.85546875" style="3" hidden="1" customWidth="1"/>
    <col min="24" max="24" width="16.85546875" style="3" bestFit="1" customWidth="1"/>
    <col min="25" max="25" width="84.42578125" style="3" customWidth="1"/>
    <col min="26" max="16384" width="9" style="3"/>
  </cols>
  <sheetData>
    <row r="1" spans="1:65" ht="15.75" thickBot="1" x14ac:dyDescent="0.3">
      <c r="B1" s="2" t="s">
        <v>6</v>
      </c>
      <c r="E1" s="4"/>
      <c r="F1" s="4"/>
      <c r="G1" s="4"/>
      <c r="H1" s="5"/>
      <c r="I1" s="5"/>
    </row>
    <row r="2" spans="1:65" ht="21.75" thickBot="1" x14ac:dyDescent="0.3">
      <c r="B2" s="6" t="s">
        <v>0</v>
      </c>
      <c r="C2" s="7"/>
      <c r="D2" s="24" t="s">
        <v>9</v>
      </c>
      <c r="G2" s="8"/>
      <c r="I2" s="8" t="s"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65" ht="15.75" thickBot="1" x14ac:dyDescent="0.3">
      <c r="B3" s="10"/>
      <c r="C3" s="10"/>
      <c r="D3" s="25"/>
      <c r="E3" s="10"/>
      <c r="F3" s="9"/>
      <c r="G3" s="9"/>
      <c r="H3" s="11"/>
      <c r="I3" s="11"/>
      <c r="J3" s="9"/>
      <c r="K3" s="9"/>
      <c r="L3" s="9"/>
      <c r="M3" s="9"/>
      <c r="S3" s="9"/>
      <c r="T3" s="12"/>
      <c r="U3" s="12"/>
      <c r="V3" s="12"/>
      <c r="W3" s="12"/>
      <c r="X3" s="12"/>
      <c r="Y3" s="12"/>
    </row>
    <row r="4" spans="1:65" ht="15.75" thickBot="1" x14ac:dyDescent="0.3">
      <c r="A4" s="53" t="s">
        <v>127</v>
      </c>
      <c r="B4" s="54" t="s">
        <v>9</v>
      </c>
      <c r="C4" s="10"/>
      <c r="D4" s="25"/>
      <c r="E4" s="10"/>
      <c r="F4" s="9"/>
      <c r="G4" s="9"/>
      <c r="H4" s="11"/>
      <c r="I4" s="11"/>
      <c r="J4" s="9"/>
      <c r="K4" s="9"/>
      <c r="L4" s="9"/>
      <c r="M4" s="9"/>
      <c r="S4" s="9"/>
      <c r="T4" s="12"/>
      <c r="U4" s="12"/>
      <c r="V4" s="12"/>
      <c r="W4" s="12"/>
      <c r="X4" s="12"/>
      <c r="Y4" s="12"/>
    </row>
    <row r="5" spans="1:65" ht="15.75" thickBot="1" x14ac:dyDescent="0.3">
      <c r="A5" s="53" t="s">
        <v>128</v>
      </c>
      <c r="B5" s="53" t="s">
        <v>131</v>
      </c>
      <c r="C5" s="10"/>
      <c r="D5" s="25"/>
      <c r="E5" s="10"/>
      <c r="F5" s="9"/>
      <c r="G5" s="9"/>
      <c r="H5" s="11"/>
      <c r="I5" s="11"/>
      <c r="J5" s="9"/>
      <c r="K5" s="9"/>
      <c r="L5" s="9"/>
      <c r="M5" s="9"/>
      <c r="S5" s="9"/>
      <c r="T5" s="12"/>
      <c r="U5" s="12"/>
      <c r="V5" s="12"/>
      <c r="W5" s="12"/>
      <c r="X5" s="12"/>
      <c r="Y5" s="12"/>
    </row>
    <row r="6" spans="1:65" ht="15.75" thickBot="1" x14ac:dyDescent="0.3">
      <c r="A6" s="53" t="s">
        <v>129</v>
      </c>
      <c r="B6" s="53" t="s">
        <v>132</v>
      </c>
      <c r="C6" s="10"/>
      <c r="D6" s="25"/>
      <c r="E6" s="10"/>
      <c r="F6" s="9"/>
      <c r="G6" s="9"/>
      <c r="H6" s="11"/>
      <c r="I6" s="11"/>
      <c r="J6" s="9"/>
      <c r="K6" s="9"/>
      <c r="L6" s="9"/>
      <c r="M6" s="9"/>
      <c r="S6" s="9"/>
      <c r="T6" s="12"/>
      <c r="U6" s="12"/>
      <c r="V6" s="12"/>
      <c r="W6" s="12"/>
      <c r="X6" s="12"/>
      <c r="Y6" s="12"/>
    </row>
    <row r="7" spans="1:65" ht="15.75" thickBot="1" x14ac:dyDescent="0.3">
      <c r="A7" s="53" t="s">
        <v>130</v>
      </c>
      <c r="B7" s="53" t="s">
        <v>132</v>
      </c>
      <c r="C7" s="10"/>
      <c r="D7" s="25"/>
      <c r="E7" s="10"/>
      <c r="F7" s="9"/>
      <c r="G7" s="9"/>
      <c r="H7" s="11"/>
      <c r="I7" s="11"/>
      <c r="J7" s="9"/>
      <c r="K7" s="9"/>
      <c r="L7" s="9"/>
      <c r="M7" s="9"/>
      <c r="S7" s="9"/>
      <c r="T7" s="12"/>
      <c r="U7" s="12"/>
      <c r="V7" s="12"/>
      <c r="W7" s="12"/>
      <c r="X7" s="12"/>
      <c r="Y7" s="12"/>
    </row>
    <row r="8" spans="1:65" ht="54" x14ac:dyDescent="0.25">
      <c r="A8" s="55" t="s">
        <v>133</v>
      </c>
      <c r="B8" s="56" t="s">
        <v>134</v>
      </c>
      <c r="C8" s="57" t="s">
        <v>135</v>
      </c>
      <c r="D8" s="58" t="s">
        <v>136</v>
      </c>
      <c r="E8" s="56" t="s">
        <v>137</v>
      </c>
      <c r="F8" s="56" t="s">
        <v>138</v>
      </c>
      <c r="G8" s="58" t="s">
        <v>139</v>
      </c>
      <c r="H8" s="59" t="s">
        <v>140</v>
      </c>
      <c r="I8" s="60" t="s">
        <v>1</v>
      </c>
      <c r="J8" s="56" t="s">
        <v>141</v>
      </c>
      <c r="K8" s="56" t="s">
        <v>142</v>
      </c>
      <c r="L8" s="56" t="s">
        <v>143</v>
      </c>
      <c r="M8" s="56" t="s">
        <v>144</v>
      </c>
      <c r="N8" s="56" t="s">
        <v>145</v>
      </c>
      <c r="O8" s="29" t="s">
        <v>49</v>
      </c>
      <c r="P8" s="29" t="s">
        <v>8</v>
      </c>
      <c r="Q8" s="56" t="s">
        <v>146</v>
      </c>
      <c r="R8" s="29"/>
      <c r="S8" s="29" t="s">
        <v>2</v>
      </c>
      <c r="T8" s="56" t="s">
        <v>147</v>
      </c>
      <c r="U8" s="56" t="s">
        <v>148</v>
      </c>
      <c r="V8" s="29" t="s">
        <v>4</v>
      </c>
      <c r="W8" s="29" t="s">
        <v>5</v>
      </c>
      <c r="X8" s="56" t="s">
        <v>149</v>
      </c>
      <c r="Y8" s="29" t="s">
        <v>3</v>
      </c>
    </row>
    <row r="9" spans="1:65" x14ac:dyDescent="0.25">
      <c r="A9" s="30"/>
      <c r="B9" s="13"/>
      <c r="C9" s="13"/>
      <c r="D9" s="26"/>
      <c r="E9" s="13"/>
      <c r="F9" s="13"/>
      <c r="G9" s="13"/>
      <c r="H9" s="31">
        <v>0.18</v>
      </c>
      <c r="I9" s="13"/>
      <c r="J9" s="31">
        <v>0.01</v>
      </c>
      <c r="K9" s="31">
        <v>0.05</v>
      </c>
      <c r="L9" s="31">
        <v>0.05</v>
      </c>
      <c r="M9" s="31">
        <v>0.1</v>
      </c>
      <c r="N9" s="31">
        <v>0.18</v>
      </c>
      <c r="O9" s="31"/>
      <c r="P9" s="31"/>
      <c r="Q9" s="13"/>
      <c r="R9" s="32"/>
      <c r="S9" s="13"/>
      <c r="T9" s="13"/>
      <c r="U9" s="31">
        <v>0.01</v>
      </c>
      <c r="V9" s="31">
        <v>0.05</v>
      </c>
      <c r="W9" s="13"/>
      <c r="X9" s="13"/>
      <c r="Y9" s="13"/>
    </row>
    <row r="10" spans="1:65" s="17" customFormat="1" x14ac:dyDescent="0.25">
      <c r="A10" s="33"/>
      <c r="B10" s="18"/>
      <c r="C10" s="18"/>
      <c r="D10" s="34"/>
      <c r="E10" s="18"/>
      <c r="F10" s="18"/>
      <c r="G10" s="18"/>
      <c r="H10" s="35"/>
      <c r="I10" s="18"/>
      <c r="J10" s="35"/>
      <c r="K10" s="35"/>
      <c r="L10" s="35"/>
      <c r="M10" s="35"/>
      <c r="N10" s="35"/>
      <c r="O10" s="35"/>
      <c r="P10" s="35"/>
      <c r="Q10" s="18"/>
      <c r="R10" s="36">
        <f>A11</f>
        <v>52329</v>
      </c>
      <c r="S10" s="18"/>
      <c r="T10" s="18"/>
      <c r="U10" s="35"/>
      <c r="V10" s="35"/>
      <c r="W10" s="18"/>
      <c r="X10" s="18"/>
      <c r="Y10" s="18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5">
      <c r="A11" s="30">
        <v>52329</v>
      </c>
      <c r="B11" s="37" t="s">
        <v>10</v>
      </c>
      <c r="C11" s="1">
        <v>44881</v>
      </c>
      <c r="D11" s="38">
        <v>13</v>
      </c>
      <c r="E11" s="13">
        <v>1217974.1499999999</v>
      </c>
      <c r="F11" s="13">
        <f>200*89.91</f>
        <v>17982</v>
      </c>
      <c r="G11" s="13">
        <f>ROUND(E11-F11,)</f>
        <v>1199992</v>
      </c>
      <c r="H11" s="13">
        <f>ROUND(G11*H9,0)</f>
        <v>215999</v>
      </c>
      <c r="I11" s="13">
        <f>G11+H11</f>
        <v>1415991</v>
      </c>
      <c r="J11" s="13">
        <f>ROUND(G11*$J$9,)</f>
        <v>12000</v>
      </c>
      <c r="K11" s="13">
        <f>ROUND(G11*$K$9,)</f>
        <v>60000</v>
      </c>
      <c r="L11" s="13">
        <f>ROUND(G11*$L$9,)</f>
        <v>60000</v>
      </c>
      <c r="M11" s="13">
        <f>ROUND(G11*$M$9,)</f>
        <v>119999</v>
      </c>
      <c r="N11" s="52">
        <f>H11</f>
        <v>215999</v>
      </c>
      <c r="O11" s="13"/>
      <c r="P11" s="13">
        <v>495364</v>
      </c>
      <c r="Q11" s="13">
        <f>ROUND(I11-SUM(J11:P11),0)</f>
        <v>452629</v>
      </c>
      <c r="R11" s="32"/>
      <c r="S11" s="13" t="s">
        <v>12</v>
      </c>
      <c r="T11" s="13">
        <v>100000</v>
      </c>
      <c r="U11" s="13">
        <f>T11*$U$9</f>
        <v>1000</v>
      </c>
      <c r="V11" s="13"/>
      <c r="W11" s="13"/>
      <c r="X11" s="13">
        <f>ROUND(T11-U11-V11-W11,)</f>
        <v>99000</v>
      </c>
      <c r="Y11" s="39" t="s">
        <v>11</v>
      </c>
    </row>
    <row r="12" spans="1:65" x14ac:dyDescent="0.25">
      <c r="A12" s="30">
        <v>52329</v>
      </c>
      <c r="B12" s="37" t="s">
        <v>20</v>
      </c>
      <c r="C12" s="1"/>
      <c r="D12" s="40">
        <v>13</v>
      </c>
      <c r="E12" s="13">
        <v>215999</v>
      </c>
      <c r="F12" s="13"/>
      <c r="G12" s="13">
        <v>0</v>
      </c>
      <c r="H12" s="13">
        <v>0</v>
      </c>
      <c r="I12" s="13">
        <f>G12+H12</f>
        <v>0</v>
      </c>
      <c r="J12" s="13">
        <v>0</v>
      </c>
      <c r="K12" s="13">
        <v>0</v>
      </c>
      <c r="L12" s="13"/>
      <c r="M12" s="13"/>
      <c r="N12" s="13">
        <v>0</v>
      </c>
      <c r="O12" s="13"/>
      <c r="P12" s="13"/>
      <c r="Q12" s="52">
        <f>E12</f>
        <v>215999</v>
      </c>
      <c r="R12" s="32"/>
      <c r="S12" s="13" t="s">
        <v>15</v>
      </c>
      <c r="T12" s="13">
        <v>353630</v>
      </c>
      <c r="U12" s="13">
        <v>0</v>
      </c>
      <c r="V12" s="13">
        <v>0</v>
      </c>
      <c r="W12" s="13">
        <v>0</v>
      </c>
      <c r="X12" s="13">
        <f>ROUND(T12-U12-V12-W12,)</f>
        <v>353630</v>
      </c>
      <c r="Y12" s="41" t="s">
        <v>13</v>
      </c>
    </row>
    <row r="13" spans="1:65" x14ac:dyDescent="0.25">
      <c r="A13" s="30">
        <v>52329</v>
      </c>
      <c r="B13" s="37"/>
      <c r="C13" s="1"/>
      <c r="D13" s="40"/>
      <c r="E13" s="13"/>
      <c r="F13" s="13"/>
      <c r="G13" s="13">
        <f>E13-F13</f>
        <v>0</v>
      </c>
      <c r="H13" s="13">
        <v>0</v>
      </c>
      <c r="I13" s="13">
        <f>G13+H13</f>
        <v>0</v>
      </c>
      <c r="J13" s="13">
        <f>J9*I13</f>
        <v>0</v>
      </c>
      <c r="K13" s="13"/>
      <c r="L13" s="13"/>
      <c r="M13" s="13"/>
      <c r="N13" s="13"/>
      <c r="O13" s="13"/>
      <c r="P13" s="13"/>
      <c r="Q13" s="13">
        <f>I13-SUM(J13:N13)</f>
        <v>0</v>
      </c>
      <c r="R13" s="32"/>
      <c r="S13" s="13" t="s">
        <v>16</v>
      </c>
      <c r="T13" s="13">
        <v>200000</v>
      </c>
      <c r="U13" s="13">
        <v>0</v>
      </c>
      <c r="V13" s="13">
        <v>0</v>
      </c>
      <c r="W13" s="13">
        <v>0</v>
      </c>
      <c r="X13" s="13">
        <f>ROUND(T13-U13-V13-W13,)</f>
        <v>200000</v>
      </c>
      <c r="Y13" s="41" t="s">
        <v>14</v>
      </c>
    </row>
    <row r="14" spans="1:65" x14ac:dyDescent="0.25">
      <c r="A14" s="30">
        <v>52329</v>
      </c>
      <c r="B14" s="37"/>
      <c r="C14" s="42"/>
      <c r="D14" s="40"/>
      <c r="E14" s="13"/>
      <c r="F14" s="13"/>
      <c r="G14" s="13">
        <f>E14-F14</f>
        <v>0</v>
      </c>
      <c r="H14" s="13">
        <v>0</v>
      </c>
      <c r="I14" s="13">
        <f>G14+H14</f>
        <v>0</v>
      </c>
      <c r="J14" s="13">
        <f>J$9*I14</f>
        <v>0</v>
      </c>
      <c r="K14" s="13">
        <v>0</v>
      </c>
      <c r="L14" s="13"/>
      <c r="M14" s="13"/>
      <c r="N14" s="13">
        <v>0</v>
      </c>
      <c r="O14" s="13"/>
      <c r="P14" s="13"/>
      <c r="Q14" s="13">
        <f>I14-SUM(J14:N14)</f>
        <v>0</v>
      </c>
      <c r="R14" s="32"/>
      <c r="S14" s="13"/>
      <c r="T14" s="13"/>
      <c r="U14" s="13"/>
      <c r="V14" s="13"/>
      <c r="W14" s="13"/>
      <c r="X14" s="13">
        <v>148500</v>
      </c>
      <c r="Y14" s="41" t="s">
        <v>17</v>
      </c>
    </row>
    <row r="15" spans="1:65" x14ac:dyDescent="0.25">
      <c r="A15" s="30">
        <v>52329</v>
      </c>
      <c r="B15" s="13"/>
      <c r="C15" s="13"/>
      <c r="D15" s="2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32"/>
      <c r="S15" s="13"/>
      <c r="T15" s="13"/>
      <c r="U15" s="13"/>
      <c r="V15" s="13"/>
      <c r="W15" s="13"/>
      <c r="X15" s="13">
        <v>215999</v>
      </c>
      <c r="Y15" s="41" t="s">
        <v>18</v>
      </c>
    </row>
    <row r="16" spans="1:65" x14ac:dyDescent="0.25">
      <c r="A16" s="30">
        <v>52329</v>
      </c>
      <c r="B16" s="13"/>
      <c r="C16" s="13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32"/>
      <c r="S16" s="13"/>
      <c r="T16" s="13"/>
      <c r="U16" s="13"/>
      <c r="V16" s="13"/>
      <c r="W16" s="13"/>
      <c r="X16" s="13">
        <v>99000</v>
      </c>
      <c r="Y16" s="41" t="s">
        <v>19</v>
      </c>
    </row>
    <row r="17" spans="1:65" s="17" customFormat="1" x14ac:dyDescent="0.25">
      <c r="A17" s="33"/>
      <c r="B17" s="18"/>
      <c r="C17" s="18"/>
      <c r="D17" s="34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36">
        <f>A18</f>
        <v>52328</v>
      </c>
      <c r="S17" s="18"/>
      <c r="T17" s="18"/>
      <c r="U17" s="18"/>
      <c r="V17" s="18"/>
      <c r="W17" s="18"/>
      <c r="X17" s="18"/>
      <c r="Y17" s="3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x14ac:dyDescent="0.25">
      <c r="A18" s="30">
        <v>52328</v>
      </c>
      <c r="B18" s="13" t="s">
        <v>21</v>
      </c>
      <c r="C18" s="1">
        <v>44842</v>
      </c>
      <c r="D18" s="26">
        <v>9</v>
      </c>
      <c r="E18" s="13">
        <v>725956.61</v>
      </c>
      <c r="F18" s="13">
        <v>0</v>
      </c>
      <c r="G18" s="13">
        <v>725957</v>
      </c>
      <c r="H18" s="13">
        <v>130672</v>
      </c>
      <c r="I18" s="13">
        <v>856629</v>
      </c>
      <c r="J18" s="13">
        <v>7260</v>
      </c>
      <c r="K18" s="13">
        <v>36298</v>
      </c>
      <c r="L18" s="13">
        <v>36298</v>
      </c>
      <c r="M18" s="13">
        <v>72596</v>
      </c>
      <c r="N18" s="52">
        <v>130672</v>
      </c>
      <c r="O18" s="13"/>
      <c r="P18" s="13">
        <v>78253.25</v>
      </c>
      <c r="Q18" s="13">
        <v>495252</v>
      </c>
      <c r="R18" s="32"/>
      <c r="S18" s="13" t="s">
        <v>22</v>
      </c>
      <c r="T18" s="13">
        <v>100000</v>
      </c>
      <c r="U18" s="13">
        <v>1000</v>
      </c>
      <c r="V18" s="13"/>
      <c r="W18" s="13"/>
      <c r="X18" s="13">
        <v>99000</v>
      </c>
      <c r="Y18" s="41" t="s">
        <v>23</v>
      </c>
    </row>
    <row r="19" spans="1:65" x14ac:dyDescent="0.25">
      <c r="A19" s="30">
        <v>52328</v>
      </c>
      <c r="B19" s="13" t="s">
        <v>21</v>
      </c>
      <c r="C19" s="1">
        <v>44958</v>
      </c>
      <c r="D19" s="26">
        <v>17</v>
      </c>
      <c r="E19" s="13">
        <v>1127865</v>
      </c>
      <c r="F19" s="13">
        <v>173526</v>
      </c>
      <c r="G19" s="13">
        <v>954339</v>
      </c>
      <c r="H19" s="13">
        <v>171781</v>
      </c>
      <c r="I19" s="13">
        <v>1126120</v>
      </c>
      <c r="J19" s="13">
        <v>9543</v>
      </c>
      <c r="K19" s="13">
        <v>47717</v>
      </c>
      <c r="L19" s="13">
        <v>95434</v>
      </c>
      <c r="M19" s="13">
        <v>95434</v>
      </c>
      <c r="N19" s="52">
        <v>171781</v>
      </c>
      <c r="O19" s="13"/>
      <c r="P19" s="13">
        <v>153783</v>
      </c>
      <c r="Q19" s="13">
        <v>552428</v>
      </c>
      <c r="R19" s="32"/>
      <c r="S19" s="13" t="s">
        <v>24</v>
      </c>
      <c r="T19" s="13">
        <v>500000</v>
      </c>
      <c r="U19" s="13">
        <v>5000</v>
      </c>
      <c r="V19" s="13">
        <v>0</v>
      </c>
      <c r="W19" s="13">
        <v>0</v>
      </c>
      <c r="X19" s="13">
        <v>495000</v>
      </c>
      <c r="Y19" s="41" t="s">
        <v>25</v>
      </c>
    </row>
    <row r="20" spans="1:65" x14ac:dyDescent="0.25">
      <c r="A20" s="30">
        <v>52328</v>
      </c>
      <c r="B20" s="13" t="s">
        <v>21</v>
      </c>
      <c r="C20" s="1">
        <v>45034</v>
      </c>
      <c r="D20" s="26">
        <v>1</v>
      </c>
      <c r="E20" s="13">
        <v>117296</v>
      </c>
      <c r="F20" s="13">
        <v>0</v>
      </c>
      <c r="G20" s="13">
        <v>117296</v>
      </c>
      <c r="H20" s="13">
        <v>21113</v>
      </c>
      <c r="I20" s="13">
        <v>138409</v>
      </c>
      <c r="J20" s="13">
        <v>1173</v>
      </c>
      <c r="K20" s="13">
        <v>5865</v>
      </c>
      <c r="L20" s="13">
        <v>11730</v>
      </c>
      <c r="M20" s="13">
        <v>11730</v>
      </c>
      <c r="N20" s="52">
        <v>21113</v>
      </c>
      <c r="O20" s="13"/>
      <c r="P20" s="13">
        <v>0</v>
      </c>
      <c r="Q20" s="13">
        <v>86798</v>
      </c>
      <c r="R20" s="32"/>
      <c r="S20" s="13" t="s">
        <v>26</v>
      </c>
      <c r="T20" s="13">
        <v>300000</v>
      </c>
      <c r="U20" s="13">
        <v>3000</v>
      </c>
      <c r="V20" s="13">
        <v>0</v>
      </c>
      <c r="W20" s="13"/>
      <c r="X20" s="13">
        <v>297000</v>
      </c>
      <c r="Y20" s="41" t="s">
        <v>27</v>
      </c>
    </row>
    <row r="21" spans="1:65" x14ac:dyDescent="0.25">
      <c r="A21" s="30">
        <v>52328</v>
      </c>
      <c r="B21" s="13" t="s">
        <v>20</v>
      </c>
      <c r="C21" s="13"/>
      <c r="D21" s="26">
        <v>9</v>
      </c>
      <c r="E21" s="13">
        <v>130672</v>
      </c>
      <c r="F21" s="13"/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/>
      <c r="M21" s="13"/>
      <c r="N21" s="13">
        <v>0</v>
      </c>
      <c r="O21" s="13"/>
      <c r="P21" s="13"/>
      <c r="Q21" s="52">
        <v>130672</v>
      </c>
      <c r="R21" s="32"/>
      <c r="S21" s="13"/>
      <c r="T21" s="13"/>
      <c r="U21" s="13"/>
      <c r="V21" s="13"/>
      <c r="W21" s="13"/>
      <c r="X21" s="13">
        <v>243479</v>
      </c>
      <c r="Y21" s="41" t="s">
        <v>28</v>
      </c>
    </row>
    <row r="22" spans="1:65" x14ac:dyDescent="0.25">
      <c r="A22" s="30">
        <v>52328</v>
      </c>
      <c r="B22" s="13" t="s">
        <v>20</v>
      </c>
      <c r="C22" s="13"/>
      <c r="D22" s="26">
        <v>17</v>
      </c>
      <c r="E22" s="13">
        <v>171781</v>
      </c>
      <c r="F22" s="13"/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/>
      <c r="M22" s="13"/>
      <c r="N22" s="13">
        <v>0</v>
      </c>
      <c r="O22" s="13"/>
      <c r="P22" s="13"/>
      <c r="Q22" s="52">
        <v>171781</v>
      </c>
      <c r="R22" s="32"/>
      <c r="S22" s="13"/>
      <c r="T22" s="13"/>
      <c r="U22" s="13"/>
      <c r="V22" s="13"/>
      <c r="W22" s="13"/>
      <c r="X22" s="13">
        <v>21113</v>
      </c>
      <c r="Y22" s="41" t="s">
        <v>29</v>
      </c>
    </row>
    <row r="23" spans="1:65" x14ac:dyDescent="0.25">
      <c r="A23" s="30">
        <v>52328</v>
      </c>
      <c r="B23" s="13" t="s">
        <v>20</v>
      </c>
      <c r="C23" s="1"/>
      <c r="D23" s="26">
        <v>1</v>
      </c>
      <c r="E23" s="13">
        <v>21113</v>
      </c>
      <c r="F23" s="13"/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/>
      <c r="M23" s="13"/>
      <c r="N23" s="13">
        <v>0</v>
      </c>
      <c r="O23" s="13"/>
      <c r="P23" s="13"/>
      <c r="Q23" s="52">
        <v>21113</v>
      </c>
      <c r="R23" s="32"/>
      <c r="S23" s="13"/>
      <c r="T23" s="13"/>
      <c r="U23" s="13"/>
      <c r="V23" s="13"/>
      <c r="W23" s="13"/>
      <c r="X23" s="13">
        <v>171781</v>
      </c>
      <c r="Y23" s="41" t="s">
        <v>30</v>
      </c>
    </row>
    <row r="24" spans="1:65" x14ac:dyDescent="0.25">
      <c r="A24" s="30">
        <v>52328</v>
      </c>
      <c r="B24" s="13" t="s">
        <v>21</v>
      </c>
      <c r="C24" s="1">
        <v>45260</v>
      </c>
      <c r="D24" s="26">
        <v>12</v>
      </c>
      <c r="E24" s="13">
        <v>934580</v>
      </c>
      <c r="F24" s="13">
        <v>462744</v>
      </c>
      <c r="G24" s="13">
        <f>ROUND(E24-F24,)</f>
        <v>471836</v>
      </c>
      <c r="H24" s="13">
        <f>G24*18%</f>
        <v>84930.48</v>
      </c>
      <c r="I24" s="13">
        <f>G24+H24</f>
        <v>556766.48</v>
      </c>
      <c r="J24" s="13">
        <f>ROUND(G24*$J$9,)</f>
        <v>4718</v>
      </c>
      <c r="K24" s="13">
        <f>ROUND(G24*$K$9,)</f>
        <v>23592</v>
      </c>
      <c r="L24" s="13">
        <f>G24*10%</f>
        <v>47183.600000000006</v>
      </c>
      <c r="M24" s="13">
        <f>ROUND(G24*$M$9,)</f>
        <v>47184</v>
      </c>
      <c r="N24" s="52">
        <f>H24</f>
        <v>84930.48</v>
      </c>
      <c r="O24" s="13"/>
      <c r="P24" s="13">
        <v>142811</v>
      </c>
      <c r="Q24" s="13">
        <f>G24-J24-K24-L24-M24-P24</f>
        <v>206347.40000000002</v>
      </c>
      <c r="R24" s="32"/>
      <c r="S24" s="13"/>
      <c r="T24" s="13"/>
      <c r="U24" s="13"/>
      <c r="V24" s="13"/>
      <c r="W24" s="13"/>
      <c r="X24" s="13">
        <v>130672</v>
      </c>
      <c r="Y24" s="41" t="s">
        <v>31</v>
      </c>
    </row>
    <row r="25" spans="1:65" x14ac:dyDescent="0.25">
      <c r="A25" s="30">
        <v>52328</v>
      </c>
      <c r="B25" s="13" t="s">
        <v>20</v>
      </c>
      <c r="C25" s="1">
        <v>45260</v>
      </c>
      <c r="D25" s="26">
        <v>12</v>
      </c>
      <c r="E25" s="13">
        <f>N24</f>
        <v>84930.48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52">
        <f>E25</f>
        <v>84930.48</v>
      </c>
      <c r="R25" s="32"/>
      <c r="S25" s="13"/>
      <c r="T25" s="13"/>
      <c r="U25" s="13"/>
      <c r="V25" s="13"/>
      <c r="W25" s="13"/>
      <c r="X25" s="13">
        <v>297000</v>
      </c>
      <c r="Y25" s="41" t="s">
        <v>27</v>
      </c>
    </row>
    <row r="26" spans="1:65" x14ac:dyDescent="0.25">
      <c r="A26" s="30">
        <v>52328</v>
      </c>
      <c r="B26" s="13"/>
      <c r="C26" s="1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32"/>
      <c r="S26" s="13"/>
      <c r="T26" s="13"/>
      <c r="U26" s="13"/>
      <c r="V26" s="13"/>
      <c r="W26" s="13"/>
      <c r="X26" s="13">
        <v>243479</v>
      </c>
      <c r="Y26" s="41" t="s">
        <v>28</v>
      </c>
    </row>
    <row r="27" spans="1:65" x14ac:dyDescent="0.25">
      <c r="A27" s="30">
        <v>52328</v>
      </c>
      <c r="B27" s="13"/>
      <c r="C27" s="13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32"/>
      <c r="S27" s="13"/>
      <c r="T27" s="13"/>
      <c r="U27" s="13"/>
      <c r="V27" s="13"/>
      <c r="W27" s="13"/>
      <c r="X27" s="13">
        <v>21113</v>
      </c>
      <c r="Y27" s="41" t="s">
        <v>29</v>
      </c>
    </row>
    <row r="28" spans="1:65" x14ac:dyDescent="0.25">
      <c r="A28" s="30">
        <v>52328</v>
      </c>
      <c r="B28" s="13"/>
      <c r="C28" s="13"/>
      <c r="D28" s="2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32"/>
      <c r="S28" s="13"/>
      <c r="T28" s="13"/>
      <c r="U28" s="13"/>
      <c r="V28" s="13"/>
      <c r="W28" s="13"/>
      <c r="X28" s="13">
        <v>171781</v>
      </c>
      <c r="Y28" s="41" t="s">
        <v>30</v>
      </c>
    </row>
    <row r="29" spans="1:65" x14ac:dyDescent="0.25">
      <c r="A29" s="30">
        <v>52328</v>
      </c>
      <c r="B29" s="13"/>
      <c r="C29" s="1"/>
      <c r="D29" s="2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32"/>
      <c r="S29" s="13"/>
      <c r="T29" s="13"/>
      <c r="U29" s="13"/>
      <c r="V29" s="13"/>
      <c r="W29" s="13"/>
      <c r="X29" s="13">
        <v>84930</v>
      </c>
      <c r="Y29" s="41" t="s">
        <v>117</v>
      </c>
    </row>
    <row r="30" spans="1:65" x14ac:dyDescent="0.25">
      <c r="A30" s="30">
        <v>52328</v>
      </c>
      <c r="B30" s="13"/>
      <c r="C30" s="1"/>
      <c r="D30" s="2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32"/>
      <c r="S30" s="13"/>
      <c r="T30" s="13"/>
      <c r="U30" s="13"/>
      <c r="V30" s="13"/>
      <c r="W30" s="13"/>
      <c r="X30" s="13">
        <v>206347</v>
      </c>
      <c r="Y30" s="41" t="s">
        <v>118</v>
      </c>
    </row>
    <row r="31" spans="1:65" x14ac:dyDescent="0.25">
      <c r="A31" s="30">
        <v>52328</v>
      </c>
      <c r="B31" s="13"/>
      <c r="C31" s="1"/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32"/>
      <c r="S31" s="13"/>
      <c r="T31" s="13"/>
      <c r="U31" s="13"/>
      <c r="V31" s="13"/>
      <c r="W31" s="13"/>
      <c r="X31" s="13">
        <v>297000</v>
      </c>
      <c r="Y31" s="41" t="s">
        <v>125</v>
      </c>
    </row>
    <row r="32" spans="1:65" s="17" customFormat="1" x14ac:dyDescent="0.25">
      <c r="A32" s="33"/>
      <c r="B32" s="18"/>
      <c r="C32" s="18"/>
      <c r="D32" s="3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36">
        <f>A33</f>
        <v>51771</v>
      </c>
      <c r="S32" s="18"/>
      <c r="T32" s="18"/>
      <c r="U32" s="18"/>
      <c r="V32" s="18"/>
      <c r="W32" s="18"/>
      <c r="X32" s="18"/>
      <c r="Y32" s="3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x14ac:dyDescent="0.25">
      <c r="A33" s="30">
        <v>51771</v>
      </c>
      <c r="B33" s="13" t="s">
        <v>32</v>
      </c>
      <c r="C33" s="1">
        <v>44782</v>
      </c>
      <c r="D33" s="26">
        <v>6</v>
      </c>
      <c r="E33" s="13">
        <v>229586.7</v>
      </c>
      <c r="F33" s="13">
        <v>0</v>
      </c>
      <c r="G33" s="13">
        <v>229587</v>
      </c>
      <c r="H33" s="13">
        <v>41326</v>
      </c>
      <c r="I33" s="13">
        <v>270913</v>
      </c>
      <c r="J33" s="13">
        <v>2296</v>
      </c>
      <c r="K33" s="13">
        <v>11479</v>
      </c>
      <c r="L33" s="13">
        <v>11479</v>
      </c>
      <c r="M33" s="13">
        <v>22959</v>
      </c>
      <c r="N33" s="52">
        <f>H33</f>
        <v>41326</v>
      </c>
      <c r="O33" s="13">
        <v>5685</v>
      </c>
      <c r="P33" s="13">
        <v>41326</v>
      </c>
      <c r="Q33" s="13">
        <v>175689</v>
      </c>
      <c r="R33" s="32"/>
      <c r="S33" s="13" t="s">
        <v>33</v>
      </c>
      <c r="T33" s="13">
        <v>100000</v>
      </c>
      <c r="U33" s="13">
        <v>1000</v>
      </c>
      <c r="V33" s="13">
        <v>0</v>
      </c>
      <c r="W33" s="13">
        <v>0</v>
      </c>
      <c r="X33" s="13">
        <v>99000</v>
      </c>
      <c r="Y33" s="41" t="s">
        <v>34</v>
      </c>
    </row>
    <row r="34" spans="1:65" x14ac:dyDescent="0.25">
      <c r="A34" s="30">
        <v>51771</v>
      </c>
      <c r="B34" s="13" t="s">
        <v>32</v>
      </c>
      <c r="C34" s="1">
        <v>44834</v>
      </c>
      <c r="D34" s="26">
        <v>8</v>
      </c>
      <c r="E34" s="13">
        <v>640489.65</v>
      </c>
      <c r="F34" s="13">
        <v>56643</v>
      </c>
      <c r="G34" s="13">
        <v>583846.65</v>
      </c>
      <c r="H34" s="13">
        <v>105092</v>
      </c>
      <c r="I34" s="13">
        <v>688938.65</v>
      </c>
      <c r="J34" s="13">
        <v>5838</v>
      </c>
      <c r="K34" s="13">
        <v>29192</v>
      </c>
      <c r="L34" s="13">
        <v>29192</v>
      </c>
      <c r="M34" s="13">
        <v>58385</v>
      </c>
      <c r="N34" s="52">
        <f>H34</f>
        <v>105092</v>
      </c>
      <c r="O34" s="13">
        <v>66511</v>
      </c>
      <c r="P34" s="13">
        <v>105092</v>
      </c>
      <c r="Q34" s="13">
        <v>394729</v>
      </c>
      <c r="R34" s="32"/>
      <c r="S34" s="13" t="s">
        <v>35</v>
      </c>
      <c r="T34" s="13">
        <v>100000</v>
      </c>
      <c r="U34" s="13">
        <v>1000</v>
      </c>
      <c r="V34" s="13">
        <v>0</v>
      </c>
      <c r="W34" s="13">
        <v>0</v>
      </c>
      <c r="X34" s="13">
        <v>99000</v>
      </c>
      <c r="Y34" s="41" t="s">
        <v>36</v>
      </c>
    </row>
    <row r="35" spans="1:65" x14ac:dyDescent="0.25">
      <c r="A35" s="30">
        <v>51771</v>
      </c>
      <c r="B35" s="13" t="s">
        <v>37</v>
      </c>
      <c r="C35" s="1">
        <v>44823</v>
      </c>
      <c r="D35" s="26">
        <v>6</v>
      </c>
      <c r="E35" s="13">
        <v>41326</v>
      </c>
      <c r="F35" s="13"/>
      <c r="G35" s="13">
        <v>41326</v>
      </c>
      <c r="H35" s="13">
        <v>0</v>
      </c>
      <c r="I35" s="13">
        <v>41326</v>
      </c>
      <c r="J35" s="13">
        <v>0</v>
      </c>
      <c r="K35" s="13"/>
      <c r="L35" s="13"/>
      <c r="M35" s="13"/>
      <c r="N35" s="13"/>
      <c r="O35" s="13"/>
      <c r="P35" s="13"/>
      <c r="Q35" s="52">
        <v>41326</v>
      </c>
      <c r="R35" s="32"/>
      <c r="S35" s="13" t="s">
        <v>38</v>
      </c>
      <c r="T35" s="13">
        <v>41326</v>
      </c>
      <c r="U35" s="13">
        <v>0</v>
      </c>
      <c r="V35" s="13">
        <v>0</v>
      </c>
      <c r="W35" s="13">
        <v>0</v>
      </c>
      <c r="X35" s="13">
        <v>41326</v>
      </c>
      <c r="Y35" s="41" t="s">
        <v>39</v>
      </c>
    </row>
    <row r="36" spans="1:65" x14ac:dyDescent="0.25">
      <c r="A36" s="30">
        <v>51771</v>
      </c>
      <c r="B36" s="13" t="s">
        <v>37</v>
      </c>
      <c r="C36" s="1">
        <v>44883</v>
      </c>
      <c r="D36" s="26">
        <v>8</v>
      </c>
      <c r="E36" s="13">
        <v>105092</v>
      </c>
      <c r="F36" s="13"/>
      <c r="G36" s="13">
        <v>105092</v>
      </c>
      <c r="H36" s="13">
        <v>0</v>
      </c>
      <c r="I36" s="13">
        <v>105092</v>
      </c>
      <c r="J36" s="13">
        <v>0</v>
      </c>
      <c r="K36" s="13">
        <v>0</v>
      </c>
      <c r="L36" s="13"/>
      <c r="M36" s="13"/>
      <c r="N36" s="13"/>
      <c r="O36" s="13"/>
      <c r="P36" s="13">
        <v>0</v>
      </c>
      <c r="Q36" s="52">
        <v>105092</v>
      </c>
      <c r="R36" s="32"/>
      <c r="S36" s="13" t="s">
        <v>40</v>
      </c>
      <c r="T36" s="13">
        <v>400000</v>
      </c>
      <c r="U36" s="13">
        <v>4000</v>
      </c>
      <c r="V36" s="13">
        <v>0</v>
      </c>
      <c r="W36" s="13">
        <v>0</v>
      </c>
      <c r="X36" s="13">
        <v>396000</v>
      </c>
      <c r="Y36" s="41" t="s">
        <v>41</v>
      </c>
    </row>
    <row r="37" spans="1:65" x14ac:dyDescent="0.25">
      <c r="A37" s="30">
        <v>51771</v>
      </c>
      <c r="B37" s="13" t="s">
        <v>32</v>
      </c>
      <c r="C37" s="1">
        <v>44900</v>
      </c>
      <c r="D37" s="26">
        <v>14</v>
      </c>
      <c r="E37" s="13">
        <v>587195</v>
      </c>
      <c r="F37" s="13">
        <v>108791.09999999999</v>
      </c>
      <c r="G37" s="13">
        <v>478403.9</v>
      </c>
      <c r="H37" s="13">
        <v>86113</v>
      </c>
      <c r="I37" s="13">
        <v>564516.9</v>
      </c>
      <c r="J37" s="13">
        <v>4784</v>
      </c>
      <c r="K37" s="13">
        <v>23920</v>
      </c>
      <c r="L37" s="13">
        <v>23920</v>
      </c>
      <c r="M37" s="13">
        <v>47840</v>
      </c>
      <c r="N37" s="52">
        <v>81675</v>
      </c>
      <c r="O37" s="13">
        <v>167652</v>
      </c>
      <c r="P37" s="13">
        <v>86113</v>
      </c>
      <c r="Q37" s="13">
        <v>128613</v>
      </c>
      <c r="R37" s="32"/>
      <c r="S37" s="13" t="s">
        <v>42</v>
      </c>
      <c r="T37" s="13">
        <v>105092</v>
      </c>
      <c r="U37" s="13">
        <v>0</v>
      </c>
      <c r="V37" s="13">
        <v>0</v>
      </c>
      <c r="W37" s="13">
        <v>0</v>
      </c>
      <c r="X37" s="13">
        <v>105092</v>
      </c>
      <c r="Y37" s="41" t="s">
        <v>43</v>
      </c>
    </row>
    <row r="38" spans="1:65" x14ac:dyDescent="0.25">
      <c r="A38" s="30">
        <v>51771</v>
      </c>
      <c r="B38" s="13" t="s">
        <v>32</v>
      </c>
      <c r="C38" s="1">
        <v>45034</v>
      </c>
      <c r="D38" s="26">
        <v>5</v>
      </c>
      <c r="E38" s="13">
        <v>11704</v>
      </c>
      <c r="F38" s="13">
        <v>0</v>
      </c>
      <c r="G38" s="13">
        <v>11704</v>
      </c>
      <c r="H38" s="13">
        <v>2107</v>
      </c>
      <c r="I38" s="13">
        <v>13811</v>
      </c>
      <c r="J38" s="13">
        <v>117</v>
      </c>
      <c r="K38" s="13">
        <v>585</v>
      </c>
      <c r="L38" s="13">
        <v>585</v>
      </c>
      <c r="M38" s="13">
        <v>1170</v>
      </c>
      <c r="N38" s="52">
        <f>H38</f>
        <v>2107</v>
      </c>
      <c r="O38" s="13"/>
      <c r="P38" s="13">
        <v>2107</v>
      </c>
      <c r="Q38" s="13">
        <v>9247</v>
      </c>
      <c r="R38" s="32"/>
      <c r="S38" s="13" t="s">
        <v>44</v>
      </c>
      <c r="T38" s="13">
        <v>105031</v>
      </c>
      <c r="U38" s="13">
        <v>0</v>
      </c>
      <c r="V38" s="13">
        <v>0</v>
      </c>
      <c r="W38" s="13">
        <v>0</v>
      </c>
      <c r="X38" s="13">
        <v>105031</v>
      </c>
      <c r="Y38" s="41" t="s">
        <v>45</v>
      </c>
    </row>
    <row r="39" spans="1:65" x14ac:dyDescent="0.25">
      <c r="A39" s="30">
        <v>51771</v>
      </c>
      <c r="B39" s="13" t="s">
        <v>20</v>
      </c>
      <c r="C39" s="1"/>
      <c r="D39" s="26">
        <v>14</v>
      </c>
      <c r="E39" s="13">
        <f>N37</f>
        <v>81675</v>
      </c>
      <c r="F39" s="13"/>
      <c r="G39" s="13"/>
      <c r="H39" s="13"/>
      <c r="I39" s="13"/>
      <c r="J39" s="13"/>
      <c r="K39" s="13"/>
      <c r="L39" s="13"/>
      <c r="M39" s="13"/>
      <c r="N39" s="13">
        <f t="shared" ref="N39:N40" si="0">H39</f>
        <v>0</v>
      </c>
      <c r="O39" s="13"/>
      <c r="P39" s="13"/>
      <c r="Q39" s="52">
        <f>E39</f>
        <v>81675</v>
      </c>
      <c r="R39" s="32"/>
      <c r="S39" s="13" t="s">
        <v>46</v>
      </c>
      <c r="T39" s="13">
        <v>150000</v>
      </c>
      <c r="U39" s="13">
        <f>T39*U32</f>
        <v>0</v>
      </c>
      <c r="V39" s="13">
        <v>0</v>
      </c>
      <c r="W39" s="13">
        <v>0</v>
      </c>
      <c r="X39" s="13">
        <f>T39-U39-V39-W39</f>
        <v>150000</v>
      </c>
      <c r="Y39" s="41" t="s">
        <v>47</v>
      </c>
    </row>
    <row r="40" spans="1:65" x14ac:dyDescent="0.25">
      <c r="A40" s="30">
        <v>51771</v>
      </c>
      <c r="B40" s="13" t="s">
        <v>32</v>
      </c>
      <c r="C40" s="1">
        <v>45150</v>
      </c>
      <c r="D40" s="26">
        <v>10</v>
      </c>
      <c r="E40" s="13">
        <v>912936.75</v>
      </c>
      <c r="F40" s="13">
        <v>363510</v>
      </c>
      <c r="G40" s="13">
        <f>ROUND(E40-F40,0)</f>
        <v>549427</v>
      </c>
      <c r="H40" s="13">
        <f>ROUND(G40*18%,0)</f>
        <v>98897</v>
      </c>
      <c r="I40" s="43">
        <f t="shared" ref="I40" si="1">G40+H40</f>
        <v>648324</v>
      </c>
      <c r="J40" s="43">
        <f>ROUND(G40*$J$9,)</f>
        <v>5494</v>
      </c>
      <c r="K40" s="43">
        <f>ROUND(G40*$K$9,)</f>
        <v>27471</v>
      </c>
      <c r="L40" s="43">
        <v>0</v>
      </c>
      <c r="M40" s="43">
        <v>0</v>
      </c>
      <c r="N40" s="52">
        <f t="shared" si="0"/>
        <v>98897</v>
      </c>
      <c r="O40" s="44">
        <v>0</v>
      </c>
      <c r="P40" s="43">
        <f>H40</f>
        <v>98897</v>
      </c>
      <c r="Q40" s="43">
        <f>ROUND(I40-SUM(J40:P40),0)</f>
        <v>417565</v>
      </c>
      <c r="R40" s="32"/>
      <c r="S40" s="13" t="s">
        <v>89</v>
      </c>
      <c r="T40" s="13">
        <v>86113</v>
      </c>
      <c r="U40" s="13">
        <v>0</v>
      </c>
      <c r="V40" s="13"/>
      <c r="W40" s="13"/>
      <c r="X40" s="13">
        <v>86113</v>
      </c>
      <c r="Y40" s="41" t="s">
        <v>48</v>
      </c>
    </row>
    <row r="41" spans="1:65" x14ac:dyDescent="0.25">
      <c r="A41" s="30">
        <v>51771</v>
      </c>
      <c r="B41" s="13" t="s">
        <v>20</v>
      </c>
      <c r="C41" s="13"/>
      <c r="D41" s="26" t="s">
        <v>126</v>
      </c>
      <c r="E41" s="13">
        <f>N38+N40</f>
        <v>101004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52">
        <f>E41</f>
        <v>101004</v>
      </c>
      <c r="R41" s="32"/>
      <c r="S41" s="13"/>
      <c r="T41" s="13">
        <v>100000</v>
      </c>
      <c r="U41" s="13">
        <f>T41*U32</f>
        <v>0</v>
      </c>
      <c r="V41" s="13"/>
      <c r="W41" s="13"/>
      <c r="X41" s="13">
        <f>T41-U41-V41-W41</f>
        <v>100000</v>
      </c>
      <c r="Y41" s="41" t="s">
        <v>90</v>
      </c>
    </row>
    <row r="42" spans="1:65" x14ac:dyDescent="0.25">
      <c r="A42" s="30">
        <v>51771</v>
      </c>
      <c r="B42" s="13"/>
      <c r="C42" s="13"/>
      <c r="D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32"/>
      <c r="S42" s="13" t="s">
        <v>105</v>
      </c>
      <c r="T42" s="13">
        <v>278209</v>
      </c>
      <c r="U42" s="13">
        <v>0</v>
      </c>
      <c r="V42" s="13"/>
      <c r="W42" s="13"/>
      <c r="X42" s="13">
        <f>T42-U42-V42-W42</f>
        <v>278209</v>
      </c>
      <c r="Y42" s="41" t="s">
        <v>106</v>
      </c>
    </row>
    <row r="43" spans="1:65" x14ac:dyDescent="0.25">
      <c r="A43" s="30">
        <v>51771</v>
      </c>
      <c r="B43" s="13"/>
      <c r="C43" s="13"/>
      <c r="D43" s="2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32"/>
      <c r="S43" s="13"/>
      <c r="T43" s="13"/>
      <c r="U43" s="13"/>
      <c r="V43" s="13"/>
      <c r="W43" s="13"/>
      <c r="X43" s="13">
        <v>101004</v>
      </c>
      <c r="Y43" s="41" t="s">
        <v>123</v>
      </c>
    </row>
    <row r="44" spans="1:65" x14ac:dyDescent="0.25">
      <c r="A44" s="30"/>
      <c r="B44" s="13"/>
      <c r="C44" s="13"/>
      <c r="D44" s="26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32"/>
      <c r="S44" s="13"/>
      <c r="T44" s="13"/>
      <c r="U44" s="13"/>
      <c r="V44" s="13"/>
      <c r="W44" s="13"/>
      <c r="X44" s="13"/>
      <c r="Y44" s="41"/>
    </row>
    <row r="45" spans="1:65" x14ac:dyDescent="0.25">
      <c r="A45" s="30"/>
      <c r="B45" s="13"/>
      <c r="C45" s="13"/>
      <c r="D45" s="26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32"/>
      <c r="S45" s="13"/>
      <c r="T45" s="13"/>
      <c r="U45" s="13"/>
      <c r="V45" s="13"/>
      <c r="W45" s="13"/>
      <c r="X45" s="13"/>
      <c r="Y45" s="41"/>
    </row>
    <row r="46" spans="1:65" x14ac:dyDescent="0.25">
      <c r="A46" s="30"/>
      <c r="B46" s="13"/>
      <c r="C46" s="13"/>
      <c r="D46" s="26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32"/>
      <c r="S46" s="13"/>
      <c r="T46" s="13"/>
      <c r="U46" s="13"/>
      <c r="V46" s="13"/>
      <c r="W46" s="13"/>
      <c r="X46" s="13"/>
      <c r="Y46" s="41"/>
    </row>
    <row r="47" spans="1:65" s="17" customFormat="1" x14ac:dyDescent="0.25">
      <c r="A47" s="33"/>
      <c r="B47" s="18"/>
      <c r="C47" s="18"/>
      <c r="D47" s="34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45">
        <f>A56</f>
        <v>51558</v>
      </c>
      <c r="S47" s="18"/>
      <c r="T47" s="18"/>
      <c r="U47" s="18"/>
      <c r="V47" s="18"/>
      <c r="W47" s="18"/>
      <c r="X47" s="18"/>
      <c r="Y47" s="3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:65" x14ac:dyDescent="0.25">
      <c r="A48" s="3">
        <v>51558</v>
      </c>
      <c r="B48" s="13" t="s">
        <v>50</v>
      </c>
      <c r="C48" s="1">
        <v>44782</v>
      </c>
      <c r="D48" s="26">
        <v>5</v>
      </c>
      <c r="E48" s="13">
        <v>341426.9</v>
      </c>
      <c r="F48" s="13">
        <v>53047</v>
      </c>
      <c r="G48" s="13">
        <v>288380</v>
      </c>
      <c r="H48" s="13">
        <f>G48*18%</f>
        <v>51908.4</v>
      </c>
      <c r="I48" s="13">
        <v>340288</v>
      </c>
      <c r="J48" s="13">
        <v>2884</v>
      </c>
      <c r="K48" s="13">
        <v>14419</v>
      </c>
      <c r="L48" s="13">
        <v>14419</v>
      </c>
      <c r="M48" s="13">
        <v>28838</v>
      </c>
      <c r="N48" s="52">
        <v>51908</v>
      </c>
      <c r="O48" s="13"/>
      <c r="P48" s="13">
        <v>0</v>
      </c>
      <c r="Q48" s="13">
        <v>227820</v>
      </c>
      <c r="R48" s="32"/>
      <c r="S48" s="13" t="s">
        <v>51</v>
      </c>
      <c r="T48" s="13">
        <v>50000</v>
      </c>
      <c r="U48" s="13">
        <v>500</v>
      </c>
      <c r="V48" s="13">
        <v>0</v>
      </c>
      <c r="W48" s="13">
        <v>0</v>
      </c>
      <c r="X48" s="13">
        <f t="shared" ref="X48:X57" si="2">T48-U48</f>
        <v>49500</v>
      </c>
      <c r="Y48" s="41" t="s">
        <v>52</v>
      </c>
    </row>
    <row r="49" spans="1:25" x14ac:dyDescent="0.25">
      <c r="A49" s="3">
        <v>51558</v>
      </c>
      <c r="B49" s="13" t="s">
        <v>37</v>
      </c>
      <c r="C49" s="1">
        <v>44823</v>
      </c>
      <c r="D49" s="26">
        <v>5</v>
      </c>
      <c r="E49" s="13">
        <v>51908</v>
      </c>
      <c r="F49" s="13"/>
      <c r="G49" s="13">
        <v>51908</v>
      </c>
      <c r="H49" s="13">
        <v>0</v>
      </c>
      <c r="I49" s="13">
        <v>51908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/>
      <c r="P49" s="13"/>
      <c r="Q49" s="52">
        <v>51908</v>
      </c>
      <c r="R49" s="32"/>
      <c r="S49" s="13" t="s">
        <v>53</v>
      </c>
      <c r="T49" s="13">
        <v>100000</v>
      </c>
      <c r="U49" s="13">
        <v>1000</v>
      </c>
      <c r="V49" s="13">
        <v>0</v>
      </c>
      <c r="W49" s="13">
        <v>0</v>
      </c>
      <c r="X49" s="13">
        <f t="shared" si="2"/>
        <v>99000</v>
      </c>
      <c r="Y49" s="41" t="s">
        <v>54</v>
      </c>
    </row>
    <row r="50" spans="1:25" x14ac:dyDescent="0.25">
      <c r="A50" s="3">
        <v>51558</v>
      </c>
      <c r="B50" s="13" t="s">
        <v>50</v>
      </c>
      <c r="C50" s="1">
        <v>44873</v>
      </c>
      <c r="D50" s="26">
        <v>12</v>
      </c>
      <c r="E50" s="13">
        <v>1121550.27</v>
      </c>
      <c r="F50" s="13">
        <v>137562.29999999999</v>
      </c>
      <c r="G50" s="13">
        <v>983987.97</v>
      </c>
      <c r="H50" s="13">
        <f>G50*18%</f>
        <v>177117.8346</v>
      </c>
      <c r="I50" s="13">
        <v>1161106</v>
      </c>
      <c r="J50" s="13">
        <v>9840</v>
      </c>
      <c r="K50" s="13">
        <v>49199</v>
      </c>
      <c r="L50" s="13">
        <v>49199.398500000003</v>
      </c>
      <c r="M50" s="13">
        <v>98398.797000000006</v>
      </c>
      <c r="N50" s="52">
        <v>177118</v>
      </c>
      <c r="O50" s="13"/>
      <c r="P50" s="13">
        <v>114963</v>
      </c>
      <c r="Q50" s="13">
        <v>662388</v>
      </c>
      <c r="R50" s="32"/>
      <c r="S50" s="13" t="s">
        <v>55</v>
      </c>
      <c r="T50" s="13">
        <v>100000</v>
      </c>
      <c r="U50" s="13">
        <v>1000</v>
      </c>
      <c r="V50" s="13">
        <v>0</v>
      </c>
      <c r="W50" s="13">
        <v>0</v>
      </c>
      <c r="X50" s="13">
        <f t="shared" si="2"/>
        <v>99000</v>
      </c>
      <c r="Y50" s="41" t="s">
        <v>56</v>
      </c>
    </row>
    <row r="51" spans="1:25" x14ac:dyDescent="0.25">
      <c r="A51" s="3">
        <v>51558</v>
      </c>
      <c r="B51" s="13" t="s">
        <v>37</v>
      </c>
      <c r="C51" s="1"/>
      <c r="D51" s="26">
        <v>12</v>
      </c>
      <c r="E51" s="13">
        <v>177118</v>
      </c>
      <c r="F51" s="13"/>
      <c r="G51" s="13">
        <v>177118</v>
      </c>
      <c r="H51" s="13">
        <v>0</v>
      </c>
      <c r="I51" s="13">
        <v>177118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/>
      <c r="P51" s="13"/>
      <c r="Q51" s="52">
        <v>177118</v>
      </c>
      <c r="R51" s="32"/>
      <c r="S51" s="13" t="s">
        <v>57</v>
      </c>
      <c r="T51" s="13">
        <v>51908</v>
      </c>
      <c r="U51" s="13">
        <v>0</v>
      </c>
      <c r="V51" s="13">
        <v>0</v>
      </c>
      <c r="W51" s="13">
        <v>0</v>
      </c>
      <c r="X51" s="13">
        <f t="shared" si="2"/>
        <v>51908</v>
      </c>
      <c r="Y51" s="41" t="s">
        <v>58</v>
      </c>
    </row>
    <row r="52" spans="1:25" x14ac:dyDescent="0.25">
      <c r="A52" s="3">
        <v>51558</v>
      </c>
      <c r="B52" s="13" t="s">
        <v>50</v>
      </c>
      <c r="C52" s="1">
        <v>45034</v>
      </c>
      <c r="D52" s="26">
        <v>3</v>
      </c>
      <c r="E52" s="13">
        <v>1680237</v>
      </c>
      <c r="F52" s="13">
        <v>296704</v>
      </c>
      <c r="G52" s="13">
        <v>1383533</v>
      </c>
      <c r="H52" s="13">
        <f>G52*18%</f>
        <v>249035.94</v>
      </c>
      <c r="I52" s="13">
        <v>1632569</v>
      </c>
      <c r="J52" s="13">
        <v>13835</v>
      </c>
      <c r="K52" s="13">
        <v>69177</v>
      </c>
      <c r="L52" s="13">
        <v>69176.650000000009</v>
      </c>
      <c r="M52" s="13">
        <v>138353.30000000002</v>
      </c>
      <c r="N52" s="52">
        <v>249036</v>
      </c>
      <c r="O52" s="13"/>
      <c r="P52" s="13">
        <v>155717</v>
      </c>
      <c r="Q52" s="13">
        <v>937274</v>
      </c>
      <c r="R52" s="32"/>
      <c r="S52" s="13" t="s">
        <v>59</v>
      </c>
      <c r="T52" s="13">
        <v>642708</v>
      </c>
      <c r="U52" s="13">
        <v>0</v>
      </c>
      <c r="V52" s="13">
        <v>0</v>
      </c>
      <c r="W52" s="13">
        <v>0</v>
      </c>
      <c r="X52" s="13">
        <f t="shared" si="2"/>
        <v>642708</v>
      </c>
      <c r="Y52" s="41" t="s">
        <v>60</v>
      </c>
    </row>
    <row r="53" spans="1:25" x14ac:dyDescent="0.25">
      <c r="A53" s="3">
        <v>51558</v>
      </c>
      <c r="B53" s="13" t="s">
        <v>37</v>
      </c>
      <c r="C53" s="1">
        <v>45069</v>
      </c>
      <c r="D53" s="26">
        <v>3</v>
      </c>
      <c r="E53" s="13">
        <v>249036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52">
        <v>249036</v>
      </c>
      <c r="R53" s="32"/>
      <c r="S53" s="13" t="s">
        <v>61</v>
      </c>
      <c r="T53" s="13">
        <v>177118</v>
      </c>
      <c r="U53" s="13">
        <v>0</v>
      </c>
      <c r="V53" s="13">
        <v>0</v>
      </c>
      <c r="W53" s="13">
        <v>0</v>
      </c>
      <c r="X53" s="13">
        <f t="shared" si="2"/>
        <v>177118</v>
      </c>
      <c r="Y53" s="41" t="s">
        <v>62</v>
      </c>
    </row>
    <row r="54" spans="1:25" x14ac:dyDescent="0.25">
      <c r="A54" s="3">
        <v>51558</v>
      </c>
      <c r="B54" s="13" t="s">
        <v>50</v>
      </c>
      <c r="C54" s="1">
        <v>45257</v>
      </c>
      <c r="D54" s="26">
        <v>11</v>
      </c>
      <c r="E54" s="13">
        <v>770608</v>
      </c>
      <c r="F54" s="13">
        <v>187500</v>
      </c>
      <c r="G54" s="13">
        <f>E54-F54</f>
        <v>583108</v>
      </c>
      <c r="H54" s="13">
        <f>G54*18%</f>
        <v>104959.44</v>
      </c>
      <c r="I54" s="13">
        <f>G54+H54</f>
        <v>688067.44</v>
      </c>
      <c r="J54" s="13">
        <f>G54*1%</f>
        <v>5831.08</v>
      </c>
      <c r="K54" s="13">
        <f>G54*5%</f>
        <v>29155.4</v>
      </c>
      <c r="L54" s="13">
        <f>G54*10%</f>
        <v>58310.8</v>
      </c>
      <c r="M54" s="13">
        <f>G54*10%</f>
        <v>58310.8</v>
      </c>
      <c r="N54" s="52">
        <f>H54</f>
        <v>104959.44</v>
      </c>
      <c r="O54" s="13"/>
      <c r="P54" s="13">
        <v>0</v>
      </c>
      <c r="Q54" s="13">
        <f>G54-J54-K54-L54-M54</f>
        <v>431499.92000000004</v>
      </c>
      <c r="R54" s="32"/>
      <c r="S54" s="13" t="s">
        <v>93</v>
      </c>
      <c r="T54" s="13">
        <v>838274</v>
      </c>
      <c r="U54" s="13">
        <v>0</v>
      </c>
      <c r="V54" s="13">
        <v>0</v>
      </c>
      <c r="W54" s="13">
        <v>0</v>
      </c>
      <c r="X54" s="13">
        <f t="shared" si="2"/>
        <v>838274</v>
      </c>
      <c r="Y54" s="41" t="s">
        <v>91</v>
      </c>
    </row>
    <row r="55" spans="1:25" x14ac:dyDescent="0.25">
      <c r="A55" s="3">
        <v>51558</v>
      </c>
      <c r="B55" s="13" t="s">
        <v>37</v>
      </c>
      <c r="C55" s="1">
        <v>45257</v>
      </c>
      <c r="D55" s="26">
        <v>11</v>
      </c>
      <c r="E55" s="13">
        <f>N54</f>
        <v>104959.44</v>
      </c>
      <c r="F55" s="13"/>
      <c r="G55" s="13">
        <f>E55-F55</f>
        <v>104959.44</v>
      </c>
      <c r="H55" s="13"/>
      <c r="I55" s="13"/>
      <c r="J55" s="13"/>
      <c r="K55" s="13"/>
      <c r="L55" s="13"/>
      <c r="M55" s="13"/>
      <c r="N55" s="13"/>
      <c r="O55" s="13"/>
      <c r="P55" s="13"/>
      <c r="Q55" s="52">
        <f>E55</f>
        <v>104959.44</v>
      </c>
      <c r="R55" s="32"/>
      <c r="S55" s="13" t="s">
        <v>94</v>
      </c>
      <c r="T55" s="13">
        <v>249036</v>
      </c>
      <c r="U55" s="13"/>
      <c r="V55" s="13"/>
      <c r="W55" s="13"/>
      <c r="X55" s="13">
        <f t="shared" si="2"/>
        <v>249036</v>
      </c>
      <c r="Y55" s="41" t="s">
        <v>92</v>
      </c>
    </row>
    <row r="56" spans="1:25" x14ac:dyDescent="0.25">
      <c r="A56" s="30">
        <v>51558</v>
      </c>
      <c r="B56" s="13" t="s">
        <v>50</v>
      </c>
      <c r="C56" s="1">
        <v>45291</v>
      </c>
      <c r="D56" s="26">
        <v>13</v>
      </c>
      <c r="E56" s="13">
        <v>699303</v>
      </c>
      <c r="F56" s="13"/>
      <c r="G56" s="13">
        <f t="shared" ref="G56" si="3">E56-F56</f>
        <v>699303</v>
      </c>
      <c r="H56" s="13">
        <f>G56*18%</f>
        <v>125874.54</v>
      </c>
      <c r="I56" s="13">
        <f>G56+H56</f>
        <v>825177.54</v>
      </c>
      <c r="J56" s="13">
        <f>G56*1%</f>
        <v>6993.03</v>
      </c>
      <c r="K56" s="13">
        <f>G56*5%</f>
        <v>34965.15</v>
      </c>
      <c r="L56" s="13">
        <f>G56*10%</f>
        <v>69930.3</v>
      </c>
      <c r="M56" s="13">
        <f>G56*10%</f>
        <v>69930.3</v>
      </c>
      <c r="N56" s="52">
        <f>H56</f>
        <v>125874.54</v>
      </c>
      <c r="O56" s="13"/>
      <c r="P56" s="13"/>
      <c r="Q56" s="13">
        <f>G56-J56-K56-L56-M56</f>
        <v>517484.21999999991</v>
      </c>
      <c r="R56" s="32"/>
      <c r="S56" s="13" t="s">
        <v>115</v>
      </c>
      <c r="T56" s="13">
        <v>100000</v>
      </c>
      <c r="U56" s="13">
        <v>1000</v>
      </c>
      <c r="V56" s="13"/>
      <c r="W56" s="13"/>
      <c r="X56" s="13">
        <f t="shared" si="2"/>
        <v>99000</v>
      </c>
      <c r="Y56" s="41" t="s">
        <v>114</v>
      </c>
    </row>
    <row r="57" spans="1:25" x14ac:dyDescent="0.25">
      <c r="A57" s="30">
        <v>51558</v>
      </c>
      <c r="B57" s="13" t="s">
        <v>37</v>
      </c>
      <c r="C57" s="1">
        <v>45291</v>
      </c>
      <c r="D57" s="26">
        <v>13</v>
      </c>
      <c r="E57" s="13">
        <f>N56</f>
        <v>125874.54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52">
        <f>E57</f>
        <v>125874.54</v>
      </c>
      <c r="R57" s="32"/>
      <c r="S57" s="13" t="s">
        <v>116</v>
      </c>
      <c r="T57" s="13">
        <v>100000</v>
      </c>
      <c r="U57" s="13">
        <v>1000</v>
      </c>
      <c r="V57" s="13"/>
      <c r="W57" s="13"/>
      <c r="X57" s="13">
        <f t="shared" si="2"/>
        <v>99000</v>
      </c>
      <c r="Y57" s="41" t="s">
        <v>113</v>
      </c>
    </row>
    <row r="58" spans="1:25" x14ac:dyDescent="0.25">
      <c r="A58" s="30">
        <v>51558</v>
      </c>
      <c r="B58" s="13"/>
      <c r="C58" s="1"/>
      <c r="D58" s="2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32"/>
      <c r="S58" s="13"/>
      <c r="T58" s="13"/>
      <c r="U58" s="13"/>
      <c r="V58" s="13"/>
      <c r="W58" s="13"/>
      <c r="X58" s="13">
        <v>233500</v>
      </c>
      <c r="Y58" s="41" t="s">
        <v>119</v>
      </c>
    </row>
    <row r="59" spans="1:25" x14ac:dyDescent="0.25">
      <c r="A59" s="30">
        <v>51558</v>
      </c>
      <c r="B59" s="13"/>
      <c r="C59" s="1"/>
      <c r="D59" s="2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32"/>
      <c r="S59" s="13"/>
      <c r="T59" s="13"/>
      <c r="U59" s="13"/>
      <c r="V59" s="13"/>
      <c r="W59" s="13"/>
      <c r="X59" s="13">
        <v>104959</v>
      </c>
      <c r="Y59" s="41" t="s">
        <v>120</v>
      </c>
    </row>
    <row r="60" spans="1:25" x14ac:dyDescent="0.25">
      <c r="A60" s="30">
        <v>51558</v>
      </c>
      <c r="B60" s="13"/>
      <c r="C60" s="1"/>
      <c r="D60" s="2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32"/>
      <c r="S60" s="13"/>
      <c r="T60" s="13"/>
      <c r="U60" s="13"/>
      <c r="V60" s="13"/>
      <c r="W60" s="13"/>
      <c r="X60" s="13">
        <v>517485</v>
      </c>
      <c r="Y60" s="41" t="s">
        <v>121</v>
      </c>
    </row>
    <row r="61" spans="1:25" x14ac:dyDescent="0.25">
      <c r="A61" s="30">
        <v>51558</v>
      </c>
      <c r="B61" s="13"/>
      <c r="C61" s="1"/>
      <c r="D61" s="26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32"/>
      <c r="S61" s="13"/>
      <c r="T61" s="13"/>
      <c r="U61" s="13"/>
      <c r="V61" s="13"/>
      <c r="W61" s="13"/>
      <c r="X61" s="13">
        <v>125875</v>
      </c>
      <c r="Y61" s="41" t="s">
        <v>122</v>
      </c>
    </row>
    <row r="62" spans="1:25" x14ac:dyDescent="0.25">
      <c r="A62" s="30"/>
      <c r="B62" s="13"/>
      <c r="C62" s="13"/>
      <c r="D62" s="26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32"/>
      <c r="S62" s="13"/>
      <c r="T62" s="13"/>
      <c r="U62" s="13"/>
      <c r="V62" s="13"/>
      <c r="W62" s="13"/>
      <c r="X62" s="13"/>
      <c r="Y62" s="41"/>
    </row>
    <row r="63" spans="1:25" x14ac:dyDescent="0.25">
      <c r="A63" s="30"/>
      <c r="B63" s="13"/>
      <c r="C63" s="13"/>
      <c r="D63" s="26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32"/>
      <c r="S63" s="13"/>
      <c r="T63" s="13"/>
      <c r="U63" s="13"/>
      <c r="V63" s="13"/>
      <c r="W63" s="13"/>
      <c r="X63" s="13"/>
      <c r="Y63" s="41"/>
    </row>
    <row r="64" spans="1:25" x14ac:dyDescent="0.25">
      <c r="A64" s="30"/>
      <c r="B64" s="13"/>
      <c r="C64" s="13"/>
      <c r="D64" s="26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32"/>
      <c r="S64" s="13"/>
      <c r="T64" s="13"/>
      <c r="U64" s="13"/>
      <c r="V64" s="13"/>
      <c r="W64" s="13"/>
      <c r="X64" s="13"/>
      <c r="Y64" s="41"/>
    </row>
    <row r="65" spans="1:65" x14ac:dyDescent="0.25">
      <c r="A65" s="30"/>
      <c r="B65" s="13"/>
      <c r="C65" s="13"/>
      <c r="D65" s="2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32"/>
      <c r="S65" s="13"/>
      <c r="T65" s="13"/>
      <c r="U65" s="13"/>
      <c r="V65" s="13"/>
      <c r="W65" s="13"/>
      <c r="X65" s="13"/>
      <c r="Y65" s="41"/>
    </row>
    <row r="66" spans="1:65" s="17" customFormat="1" x14ac:dyDescent="0.25">
      <c r="A66" s="33"/>
      <c r="B66" s="18"/>
      <c r="C66" s="18"/>
      <c r="D66" s="34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36"/>
      <c r="S66" s="18"/>
      <c r="T66" s="18"/>
      <c r="U66" s="18"/>
      <c r="V66" s="18"/>
      <c r="W66" s="18"/>
      <c r="X66" s="18"/>
      <c r="Y66" s="3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:65" x14ac:dyDescent="0.25">
      <c r="A67" s="30">
        <v>51546</v>
      </c>
      <c r="B67" s="13" t="s">
        <v>63</v>
      </c>
      <c r="C67" s="1">
        <v>44783</v>
      </c>
      <c r="D67" s="26">
        <v>4</v>
      </c>
      <c r="E67" s="13">
        <v>499771.8</v>
      </c>
      <c r="F67" s="13">
        <v>47203</v>
      </c>
      <c r="G67" s="13">
        <v>452569</v>
      </c>
      <c r="H67" s="13">
        <f>G67*18%</f>
        <v>81462.42</v>
      </c>
      <c r="I67" s="13">
        <v>534031</v>
      </c>
      <c r="J67" s="13">
        <v>4526</v>
      </c>
      <c r="K67" s="13">
        <v>22628</v>
      </c>
      <c r="L67" s="13">
        <v>22628</v>
      </c>
      <c r="M67" s="13">
        <v>45257</v>
      </c>
      <c r="N67" s="52">
        <v>81462</v>
      </c>
      <c r="O67" s="13"/>
      <c r="P67" s="13"/>
      <c r="Q67" s="13">
        <v>357530</v>
      </c>
      <c r="R67" s="45">
        <v>51546</v>
      </c>
      <c r="S67" s="13" t="s">
        <v>64</v>
      </c>
      <c r="T67" s="13">
        <v>150000</v>
      </c>
      <c r="U67" s="13">
        <f>T67*1%</f>
        <v>1500</v>
      </c>
      <c r="V67" s="13">
        <v>0</v>
      </c>
      <c r="W67" s="13">
        <v>0</v>
      </c>
      <c r="X67" s="13">
        <f>T67-U67</f>
        <v>148500</v>
      </c>
      <c r="Y67" s="41" t="s">
        <v>65</v>
      </c>
    </row>
    <row r="68" spans="1:65" x14ac:dyDescent="0.25">
      <c r="A68" s="30">
        <v>51546</v>
      </c>
      <c r="B68" s="13" t="s">
        <v>37</v>
      </c>
      <c r="C68" s="1">
        <v>44823</v>
      </c>
      <c r="D68" s="26">
        <v>4</v>
      </c>
      <c r="E68" s="13">
        <v>81462</v>
      </c>
      <c r="F68" s="13"/>
      <c r="G68" s="13">
        <v>81462</v>
      </c>
      <c r="H68" s="13">
        <v>0</v>
      </c>
      <c r="I68" s="13">
        <v>81462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/>
      <c r="P68" s="13"/>
      <c r="Q68" s="52">
        <v>81462</v>
      </c>
      <c r="R68" s="32" t="s">
        <v>109</v>
      </c>
      <c r="S68" s="13" t="s">
        <v>66</v>
      </c>
      <c r="T68" s="13">
        <v>100000</v>
      </c>
      <c r="U68" s="13">
        <f t="shared" ref="U68:U69" si="4">T68*1%</f>
        <v>1000</v>
      </c>
      <c r="V68" s="13">
        <v>0</v>
      </c>
      <c r="W68" s="13">
        <v>0</v>
      </c>
      <c r="X68" s="13">
        <f>T68-U68-V68-W68</f>
        <v>99000</v>
      </c>
      <c r="Y68" s="41" t="s">
        <v>67</v>
      </c>
    </row>
    <row r="69" spans="1:65" x14ac:dyDescent="0.25">
      <c r="A69" s="30">
        <v>51546</v>
      </c>
      <c r="B69" s="13" t="s">
        <v>63</v>
      </c>
      <c r="C69" s="1">
        <v>45034</v>
      </c>
      <c r="D69" s="26">
        <v>2</v>
      </c>
      <c r="E69" s="13">
        <v>297887</v>
      </c>
      <c r="F69" s="13">
        <v>47653</v>
      </c>
      <c r="G69" s="13">
        <v>250234</v>
      </c>
      <c r="H69" s="13">
        <f>G69*18%</f>
        <v>45042.119999999995</v>
      </c>
      <c r="I69" s="13">
        <v>295276</v>
      </c>
      <c r="J69" s="13">
        <v>2502</v>
      </c>
      <c r="K69" s="13">
        <v>12512</v>
      </c>
      <c r="L69" s="13">
        <v>12512</v>
      </c>
      <c r="M69" s="13">
        <v>25023</v>
      </c>
      <c r="N69" s="52">
        <v>45042</v>
      </c>
      <c r="O69" s="13"/>
      <c r="P69" s="13">
        <v>23101</v>
      </c>
      <c r="Q69" s="13">
        <v>174584</v>
      </c>
      <c r="R69" s="32"/>
      <c r="S69" s="13" t="s">
        <v>68</v>
      </c>
      <c r="T69" s="13">
        <v>100000</v>
      </c>
      <c r="U69" s="13">
        <f t="shared" si="4"/>
        <v>1000</v>
      </c>
      <c r="V69" s="13">
        <v>0</v>
      </c>
      <c r="W69" s="13">
        <v>0</v>
      </c>
      <c r="X69" s="13">
        <f>T69-U69-V69-W69</f>
        <v>99000</v>
      </c>
      <c r="Y69" s="41" t="s">
        <v>69</v>
      </c>
    </row>
    <row r="70" spans="1:65" x14ac:dyDescent="0.25">
      <c r="A70" s="30">
        <v>51546</v>
      </c>
      <c r="B70" s="13" t="s">
        <v>37</v>
      </c>
      <c r="C70" s="1">
        <v>45069</v>
      </c>
      <c r="D70" s="26">
        <v>2</v>
      </c>
      <c r="E70" s="13">
        <v>45042</v>
      </c>
      <c r="F70" s="13"/>
      <c r="G70" s="13">
        <v>45042</v>
      </c>
      <c r="H70" s="13">
        <v>0</v>
      </c>
      <c r="I70" s="13">
        <v>45042</v>
      </c>
      <c r="J70" s="13">
        <v>0</v>
      </c>
      <c r="K70" s="13">
        <v>0</v>
      </c>
      <c r="L70" s="13"/>
      <c r="M70" s="13"/>
      <c r="N70" s="13">
        <v>0</v>
      </c>
      <c r="O70" s="13"/>
      <c r="P70" s="13"/>
      <c r="Q70" s="52">
        <v>45042</v>
      </c>
      <c r="R70" s="32"/>
      <c r="S70" s="13" t="s">
        <v>70</v>
      </c>
      <c r="T70" s="13">
        <v>81462</v>
      </c>
      <c r="U70" s="13">
        <v>0</v>
      </c>
      <c r="V70" s="13">
        <v>0</v>
      </c>
      <c r="W70" s="13">
        <v>0</v>
      </c>
      <c r="X70" s="13">
        <f>T70-U70-V70-W70</f>
        <v>81462</v>
      </c>
      <c r="Y70" s="39" t="s">
        <v>71</v>
      </c>
    </row>
    <row r="71" spans="1:65" x14ac:dyDescent="0.25">
      <c r="A71" s="30">
        <v>51546</v>
      </c>
      <c r="B71" s="37" t="s">
        <v>63</v>
      </c>
      <c r="C71" s="1">
        <v>45121</v>
      </c>
      <c r="D71" s="40">
        <v>9</v>
      </c>
      <c r="E71" s="13">
        <v>677754</v>
      </c>
      <c r="F71" s="13">
        <v>351960</v>
      </c>
      <c r="G71" s="13">
        <f>E71-F71</f>
        <v>325794</v>
      </c>
      <c r="H71" s="13">
        <f>G71*18%</f>
        <v>58642.92</v>
      </c>
      <c r="I71" s="13">
        <f>G71+H71</f>
        <v>384436.92</v>
      </c>
      <c r="J71" s="13">
        <f>ROUND(G71*$J$9,)</f>
        <v>3258</v>
      </c>
      <c r="K71" s="13">
        <f>ROUND(G71*$K$9,)</f>
        <v>16290</v>
      </c>
      <c r="L71" s="13">
        <v>0</v>
      </c>
      <c r="M71" s="13">
        <v>0</v>
      </c>
      <c r="N71" s="52">
        <f>H71</f>
        <v>58642.92</v>
      </c>
      <c r="O71" s="30"/>
      <c r="P71" s="13">
        <v>29511</v>
      </c>
      <c r="Q71" s="13">
        <f>ROUND(I71-SUM(J71:P71),0)</f>
        <v>276735</v>
      </c>
      <c r="R71" s="32"/>
      <c r="S71" s="13" t="s">
        <v>72</v>
      </c>
      <c r="T71" s="13">
        <v>11030</v>
      </c>
      <c r="U71" s="13">
        <v>0</v>
      </c>
      <c r="V71" s="13">
        <v>0</v>
      </c>
      <c r="W71" s="13">
        <v>0</v>
      </c>
      <c r="X71" s="13">
        <f>T71-U71-V71-W71</f>
        <v>11030</v>
      </c>
      <c r="Y71" s="41" t="s">
        <v>73</v>
      </c>
    </row>
    <row r="72" spans="1:65" x14ac:dyDescent="0.25">
      <c r="A72" s="30">
        <v>51546</v>
      </c>
      <c r="B72" s="37" t="s">
        <v>63</v>
      </c>
      <c r="C72" s="1">
        <v>45121</v>
      </c>
      <c r="D72" s="40">
        <v>8</v>
      </c>
      <c r="E72" s="13">
        <v>162250</v>
      </c>
      <c r="F72" s="13">
        <v>0</v>
      </c>
      <c r="G72" s="13">
        <f>E72-F72</f>
        <v>162250</v>
      </c>
      <c r="H72" s="13">
        <f>G72*18%</f>
        <v>29205</v>
      </c>
      <c r="I72" s="13">
        <f>G72+H72</f>
        <v>191455</v>
      </c>
      <c r="J72" s="13">
        <f>ROUND(G72*$J$9,)</f>
        <v>1623</v>
      </c>
      <c r="K72" s="13">
        <f>ROUND(G72*$K$9,)</f>
        <v>8113</v>
      </c>
      <c r="L72" s="13">
        <f>ROUND(G72*$L$9,)</f>
        <v>8113</v>
      </c>
      <c r="M72" s="13">
        <f>ROUND(G72*$M$9,)</f>
        <v>16225</v>
      </c>
      <c r="N72" s="52">
        <f>H72</f>
        <v>29205</v>
      </c>
      <c r="O72" s="30"/>
      <c r="P72" s="13">
        <v>54638</v>
      </c>
      <c r="Q72" s="13">
        <f>ROUND(I72-SUM(J72:P72),0)</f>
        <v>73538</v>
      </c>
      <c r="R72" s="32"/>
      <c r="S72" s="13" t="s">
        <v>100</v>
      </c>
      <c r="T72" s="13">
        <v>174585</v>
      </c>
      <c r="U72" s="13"/>
      <c r="V72" s="13"/>
      <c r="W72" s="13"/>
      <c r="X72" s="13">
        <v>174585</v>
      </c>
      <c r="Y72" s="41" t="s">
        <v>95</v>
      </c>
    </row>
    <row r="73" spans="1:65" x14ac:dyDescent="0.25">
      <c r="A73" s="30">
        <v>51546</v>
      </c>
      <c r="B73" s="37" t="s">
        <v>37</v>
      </c>
      <c r="C73" s="1">
        <v>45188</v>
      </c>
      <c r="D73" s="40" t="s">
        <v>110</v>
      </c>
      <c r="E73" s="13">
        <v>87848</v>
      </c>
      <c r="F73" s="13"/>
      <c r="G73" s="13">
        <f>E73-F73</f>
        <v>87848</v>
      </c>
      <c r="H73" s="13">
        <v>0</v>
      </c>
      <c r="I73" s="13">
        <f t="shared" ref="I73" si="5">G73+H73</f>
        <v>87848</v>
      </c>
      <c r="J73" s="13">
        <v>0</v>
      </c>
      <c r="K73" s="13">
        <v>0</v>
      </c>
      <c r="L73" s="13"/>
      <c r="M73" s="13"/>
      <c r="N73" s="13">
        <v>0</v>
      </c>
      <c r="O73" s="13"/>
      <c r="P73" s="30"/>
      <c r="Q73" s="52">
        <f>I73-SUM(J73:N73)</f>
        <v>87848</v>
      </c>
      <c r="R73" s="32"/>
      <c r="S73" s="13" t="s">
        <v>101</v>
      </c>
      <c r="T73" s="13">
        <v>45042</v>
      </c>
      <c r="U73" s="13"/>
      <c r="V73" s="13"/>
      <c r="W73" s="13"/>
      <c r="X73" s="13">
        <v>45042</v>
      </c>
      <c r="Y73" s="41" t="s">
        <v>96</v>
      </c>
    </row>
    <row r="74" spans="1:65" x14ac:dyDescent="0.25">
      <c r="A74" s="30">
        <v>51546</v>
      </c>
      <c r="B74" s="13"/>
      <c r="C74" s="13"/>
      <c r="D74" s="26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32"/>
      <c r="S74" s="13" t="s">
        <v>102</v>
      </c>
      <c r="T74" s="13">
        <v>100000</v>
      </c>
      <c r="U74" s="13">
        <f t="shared" ref="U74:U75" si="6">T74*1%</f>
        <v>1000</v>
      </c>
      <c r="V74" s="13"/>
      <c r="W74" s="13"/>
      <c r="X74" s="13">
        <f>ROUND(T74-U74-V74-W74,0)</f>
        <v>99000</v>
      </c>
      <c r="Y74" s="41" t="s">
        <v>97</v>
      </c>
    </row>
    <row r="75" spans="1:65" x14ac:dyDescent="0.25">
      <c r="A75" s="30">
        <v>51546</v>
      </c>
      <c r="B75" s="13"/>
      <c r="C75" s="13"/>
      <c r="D75" s="2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32"/>
      <c r="S75" s="13" t="s">
        <v>103</v>
      </c>
      <c r="T75" s="13">
        <v>200000</v>
      </c>
      <c r="U75" s="13">
        <f t="shared" si="6"/>
        <v>2000</v>
      </c>
      <c r="V75" s="13"/>
      <c r="W75" s="13"/>
      <c r="X75" s="13">
        <f>ROUND(T75-U75-V75-W75,0)</f>
        <v>198000</v>
      </c>
      <c r="Y75" s="41" t="s">
        <v>104</v>
      </c>
    </row>
    <row r="76" spans="1:65" x14ac:dyDescent="0.25">
      <c r="A76" s="30">
        <v>51546</v>
      </c>
      <c r="B76" s="13"/>
      <c r="C76" s="13"/>
      <c r="D76" s="2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32"/>
      <c r="S76" s="13" t="s">
        <v>107</v>
      </c>
      <c r="T76" s="13">
        <v>53275</v>
      </c>
      <c r="U76" s="13">
        <v>0</v>
      </c>
      <c r="V76" s="13"/>
      <c r="W76" s="13"/>
      <c r="X76" s="13">
        <f>ROUND(T76-U76-V76-W76,0)</f>
        <v>53275</v>
      </c>
      <c r="Y76" s="41" t="s">
        <v>108</v>
      </c>
    </row>
    <row r="77" spans="1:65" x14ac:dyDescent="0.25">
      <c r="A77" s="30">
        <v>51546</v>
      </c>
      <c r="B77" s="13"/>
      <c r="C77" s="13"/>
      <c r="D77" s="26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32"/>
      <c r="S77" s="13"/>
      <c r="T77" s="13"/>
      <c r="U77" s="13"/>
      <c r="V77" s="13"/>
      <c r="W77" s="13"/>
      <c r="X77" s="13">
        <v>87848</v>
      </c>
      <c r="Y77" s="41" t="s">
        <v>111</v>
      </c>
    </row>
    <row r="78" spans="1:65" x14ac:dyDescent="0.25">
      <c r="A78" s="30"/>
      <c r="B78" s="13"/>
      <c r="C78" s="13"/>
      <c r="D78" s="26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32"/>
      <c r="S78" s="13"/>
      <c r="T78" s="13"/>
      <c r="U78" s="13"/>
      <c r="V78" s="13"/>
      <c r="W78" s="13"/>
      <c r="X78" s="13"/>
      <c r="Y78" s="41"/>
    </row>
    <row r="79" spans="1:65" x14ac:dyDescent="0.25">
      <c r="A79" s="30"/>
      <c r="B79" s="13"/>
      <c r="C79" s="13"/>
      <c r="D79" s="26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32"/>
      <c r="S79" s="13"/>
      <c r="T79" s="13"/>
      <c r="U79" s="13"/>
      <c r="V79" s="13"/>
      <c r="W79" s="13"/>
      <c r="X79" s="13"/>
      <c r="Y79" s="41"/>
    </row>
    <row r="80" spans="1:65" x14ac:dyDescent="0.25">
      <c r="A80" s="30"/>
      <c r="B80" s="13"/>
      <c r="C80" s="13"/>
      <c r="D80" s="26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32"/>
      <c r="S80" s="13"/>
      <c r="T80" s="13"/>
      <c r="U80" s="13"/>
      <c r="V80" s="13"/>
      <c r="W80" s="13"/>
      <c r="X80" s="13"/>
      <c r="Y80" s="41"/>
    </row>
    <row r="81" spans="1:65" x14ac:dyDescent="0.25">
      <c r="A81" s="30"/>
      <c r="B81" s="13"/>
      <c r="C81" s="13"/>
      <c r="D81" s="26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32"/>
      <c r="S81" s="13"/>
      <c r="T81" s="13"/>
      <c r="U81" s="13"/>
      <c r="V81" s="13"/>
      <c r="W81" s="13"/>
      <c r="X81" s="13"/>
      <c r="Y81" s="41"/>
    </row>
    <row r="82" spans="1:65" x14ac:dyDescent="0.25">
      <c r="A82" s="30"/>
      <c r="B82" s="13"/>
      <c r="C82" s="13"/>
      <c r="D82" s="26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32"/>
      <c r="S82" s="13"/>
      <c r="T82" s="13"/>
      <c r="U82" s="13"/>
      <c r="V82" s="13"/>
      <c r="W82" s="13"/>
      <c r="X82" s="13"/>
      <c r="Y82" s="41"/>
    </row>
    <row r="83" spans="1:65" x14ac:dyDescent="0.25">
      <c r="A83" s="30"/>
      <c r="B83" s="13"/>
      <c r="C83" s="13"/>
      <c r="D83" s="26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32"/>
      <c r="S83" s="13"/>
      <c r="T83" s="13"/>
      <c r="U83" s="13"/>
      <c r="V83" s="13"/>
      <c r="W83" s="13"/>
      <c r="X83" s="13"/>
      <c r="Y83" s="41"/>
    </row>
    <row r="84" spans="1:65" x14ac:dyDescent="0.25">
      <c r="A84" s="30"/>
      <c r="B84" s="13"/>
      <c r="C84" s="13"/>
      <c r="D84" s="26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32"/>
      <c r="S84" s="13"/>
      <c r="T84" s="13"/>
      <c r="U84" s="13"/>
      <c r="V84" s="13"/>
      <c r="W84" s="13"/>
      <c r="X84" s="13"/>
      <c r="Y84" s="41"/>
    </row>
    <row r="85" spans="1:65" s="17" customFormat="1" x14ac:dyDescent="0.25">
      <c r="A85" s="33"/>
      <c r="B85" s="18"/>
      <c r="C85" s="18"/>
      <c r="D85" s="34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36"/>
      <c r="S85" s="18"/>
      <c r="T85" s="18"/>
      <c r="U85" s="18"/>
      <c r="V85" s="18"/>
      <c r="W85" s="18"/>
      <c r="X85" s="18"/>
      <c r="Y85" s="3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25">
      <c r="A86" s="30">
        <v>51536</v>
      </c>
      <c r="B86" s="13" t="s">
        <v>74</v>
      </c>
      <c r="C86" s="1">
        <v>44782</v>
      </c>
      <c r="D86" s="26">
        <v>3</v>
      </c>
      <c r="E86" s="13">
        <v>834185.77</v>
      </c>
      <c r="F86" s="13">
        <v>25175</v>
      </c>
      <c r="G86" s="13">
        <v>809011</v>
      </c>
      <c r="H86" s="13">
        <v>145622</v>
      </c>
      <c r="I86" s="13">
        <v>954633</v>
      </c>
      <c r="J86" s="13">
        <v>8090</v>
      </c>
      <c r="K86" s="13">
        <v>40451</v>
      </c>
      <c r="L86" s="13">
        <v>40451</v>
      </c>
      <c r="M86" s="13">
        <v>80901</v>
      </c>
      <c r="N86" s="52">
        <v>145622</v>
      </c>
      <c r="O86" s="13"/>
      <c r="P86" s="13"/>
      <c r="Q86" s="13">
        <f t="shared" ref="Q86:Q91" si="7">ROUND(I86-SUM(J86:P86),0)</f>
        <v>639118</v>
      </c>
      <c r="R86" s="45">
        <v>51536</v>
      </c>
      <c r="S86" s="13" t="s">
        <v>75</v>
      </c>
      <c r="T86" s="13">
        <v>200000</v>
      </c>
      <c r="U86" s="13">
        <v>2000</v>
      </c>
      <c r="V86" s="13">
        <v>0</v>
      </c>
      <c r="W86" s="13">
        <v>0</v>
      </c>
      <c r="X86" s="13">
        <v>198000</v>
      </c>
      <c r="Y86" s="41" t="s">
        <v>76</v>
      </c>
    </row>
    <row r="87" spans="1:65" x14ac:dyDescent="0.25">
      <c r="A87" s="30">
        <v>51536</v>
      </c>
      <c r="B87" s="13" t="s">
        <v>37</v>
      </c>
      <c r="C87" s="1">
        <v>44823</v>
      </c>
      <c r="D87" s="26">
        <v>3</v>
      </c>
      <c r="E87" s="13">
        <v>145622</v>
      </c>
      <c r="F87" s="13"/>
      <c r="G87" s="13">
        <v>145622</v>
      </c>
      <c r="H87" s="13"/>
      <c r="I87" s="13">
        <v>145622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/>
      <c r="P87" s="13"/>
      <c r="Q87" s="52">
        <f t="shared" si="7"/>
        <v>145622</v>
      </c>
      <c r="R87" s="32" t="s">
        <v>109</v>
      </c>
      <c r="S87" s="13" t="s">
        <v>77</v>
      </c>
      <c r="T87" s="13">
        <v>100000</v>
      </c>
      <c r="U87" s="13">
        <v>1000</v>
      </c>
      <c r="V87" s="13">
        <v>0</v>
      </c>
      <c r="W87" s="13">
        <v>0</v>
      </c>
      <c r="X87" s="13">
        <v>99000</v>
      </c>
      <c r="Y87" s="41" t="s">
        <v>78</v>
      </c>
    </row>
    <row r="88" spans="1:65" x14ac:dyDescent="0.25">
      <c r="A88" s="30">
        <v>51536</v>
      </c>
      <c r="B88" s="13" t="s">
        <v>74</v>
      </c>
      <c r="C88" s="1">
        <v>44826</v>
      </c>
      <c r="D88" s="26">
        <v>7</v>
      </c>
      <c r="E88" s="13">
        <v>294800</v>
      </c>
      <c r="F88" s="13"/>
      <c r="G88" s="13">
        <v>294800</v>
      </c>
      <c r="H88" s="13">
        <v>53064</v>
      </c>
      <c r="I88" s="13">
        <v>347864</v>
      </c>
      <c r="J88" s="13">
        <v>2948</v>
      </c>
      <c r="K88" s="13">
        <v>14740</v>
      </c>
      <c r="L88" s="13">
        <v>14740</v>
      </c>
      <c r="M88" s="13">
        <v>29480</v>
      </c>
      <c r="N88" s="52">
        <v>53064</v>
      </c>
      <c r="O88" s="13"/>
      <c r="P88" s="30"/>
      <c r="Q88" s="13">
        <f t="shared" si="7"/>
        <v>232892</v>
      </c>
      <c r="R88" s="32"/>
      <c r="S88" s="13" t="s">
        <v>79</v>
      </c>
      <c r="T88" s="13">
        <v>200000</v>
      </c>
      <c r="U88" s="13">
        <v>2000</v>
      </c>
      <c r="V88" s="13">
        <v>0</v>
      </c>
      <c r="W88" s="13">
        <v>0</v>
      </c>
      <c r="X88" s="13">
        <v>198000</v>
      </c>
      <c r="Y88" s="41" t="s">
        <v>80</v>
      </c>
    </row>
    <row r="89" spans="1:65" x14ac:dyDescent="0.25">
      <c r="A89" s="30">
        <v>51536</v>
      </c>
      <c r="B89" s="13" t="s">
        <v>74</v>
      </c>
      <c r="C89" s="1">
        <v>44958</v>
      </c>
      <c r="D89" s="26">
        <v>18</v>
      </c>
      <c r="E89" s="13">
        <v>1068720.78</v>
      </c>
      <c r="F89" s="13">
        <v>158241</v>
      </c>
      <c r="G89" s="13">
        <v>910480</v>
      </c>
      <c r="H89" s="13">
        <v>163886</v>
      </c>
      <c r="I89" s="13">
        <v>1074366</v>
      </c>
      <c r="J89" s="13">
        <v>9105</v>
      </c>
      <c r="K89" s="13">
        <v>45524</v>
      </c>
      <c r="L89" s="13">
        <v>91048</v>
      </c>
      <c r="M89" s="13">
        <v>45524</v>
      </c>
      <c r="N89" s="52">
        <f>H89</f>
        <v>163886</v>
      </c>
      <c r="O89" s="13"/>
      <c r="P89" s="13">
        <v>536031</v>
      </c>
      <c r="Q89" s="13">
        <f t="shared" si="7"/>
        <v>183248</v>
      </c>
      <c r="R89" s="32"/>
      <c r="S89" s="13" t="s">
        <v>81</v>
      </c>
      <c r="T89" s="13">
        <v>300000</v>
      </c>
      <c r="U89" s="13">
        <v>3000</v>
      </c>
      <c r="V89" s="13">
        <v>0</v>
      </c>
      <c r="W89" s="13">
        <v>0</v>
      </c>
      <c r="X89" s="13">
        <v>297000</v>
      </c>
      <c r="Y89" s="41" t="s">
        <v>82</v>
      </c>
    </row>
    <row r="90" spans="1:65" x14ac:dyDescent="0.25">
      <c r="A90" s="30">
        <v>51536</v>
      </c>
      <c r="B90" s="13" t="s">
        <v>37</v>
      </c>
      <c r="C90" s="1">
        <v>44823</v>
      </c>
      <c r="D90" s="26">
        <v>7</v>
      </c>
      <c r="E90" s="13">
        <v>53064</v>
      </c>
      <c r="F90" s="13"/>
      <c r="G90" s="13">
        <v>53064</v>
      </c>
      <c r="H90" s="13"/>
      <c r="I90" s="13">
        <v>53064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/>
      <c r="P90" s="13"/>
      <c r="Q90" s="52">
        <f t="shared" si="7"/>
        <v>53064</v>
      </c>
      <c r="R90" s="32"/>
      <c r="S90" s="13" t="s">
        <v>83</v>
      </c>
      <c r="T90" s="13">
        <v>80011</v>
      </c>
      <c r="U90" s="13">
        <v>0</v>
      </c>
      <c r="V90" s="13"/>
      <c r="W90" s="13"/>
      <c r="X90" s="13">
        <v>80011</v>
      </c>
      <c r="Y90" s="41" t="s">
        <v>84</v>
      </c>
    </row>
    <row r="91" spans="1:65" x14ac:dyDescent="0.25">
      <c r="A91" s="30">
        <v>51536</v>
      </c>
      <c r="B91" s="13" t="s">
        <v>37</v>
      </c>
      <c r="C91" s="1">
        <v>45036</v>
      </c>
      <c r="D91" s="26">
        <v>18</v>
      </c>
      <c r="E91" s="13">
        <v>163886</v>
      </c>
      <c r="F91" s="13"/>
      <c r="G91" s="13">
        <v>163886</v>
      </c>
      <c r="H91" s="13">
        <v>0</v>
      </c>
      <c r="I91" s="13">
        <v>163886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/>
      <c r="P91" s="13"/>
      <c r="Q91" s="52">
        <f t="shared" si="7"/>
        <v>163886</v>
      </c>
      <c r="R91" s="32"/>
      <c r="S91" s="13" t="s">
        <v>85</v>
      </c>
      <c r="T91" s="13">
        <v>198686</v>
      </c>
      <c r="U91" s="13">
        <v>0</v>
      </c>
      <c r="V91" s="13"/>
      <c r="W91" s="13"/>
      <c r="X91" s="13">
        <v>198686</v>
      </c>
      <c r="Y91" s="41" t="s">
        <v>86</v>
      </c>
    </row>
    <row r="92" spans="1:65" x14ac:dyDescent="0.25">
      <c r="A92" s="30">
        <v>51536</v>
      </c>
      <c r="B92" s="13" t="s">
        <v>74</v>
      </c>
      <c r="C92" s="1">
        <v>45121</v>
      </c>
      <c r="D92" s="40">
        <v>7</v>
      </c>
      <c r="E92" s="13">
        <v>21245.37</v>
      </c>
      <c r="F92" s="13"/>
      <c r="G92" s="13">
        <f t="shared" ref="G92:G93" si="8">ROUND(E92-F92,)</f>
        <v>21245</v>
      </c>
      <c r="H92" s="13">
        <f>ROUND(G92*$H$9,0)</f>
        <v>3824</v>
      </c>
      <c r="I92" s="13">
        <f>G92+H92</f>
        <v>25069</v>
      </c>
      <c r="J92" s="13">
        <f>ROUND(G92*$J$9,)</f>
        <v>212</v>
      </c>
      <c r="K92" s="13">
        <f t="shared" ref="K92" si="9">ROUND(G92*$K$9,)</f>
        <v>1062</v>
      </c>
      <c r="L92" s="13">
        <f>ROUND(G92*5%,)</f>
        <v>1062</v>
      </c>
      <c r="M92" s="13">
        <f>ROUND(G92*10%,)</f>
        <v>2125</v>
      </c>
      <c r="N92" s="52">
        <f>H92</f>
        <v>3824</v>
      </c>
      <c r="O92" s="13"/>
      <c r="P92" s="30"/>
      <c r="Q92" s="13">
        <f>ROUND(I92-SUM(J92:P92),0)</f>
        <v>16784</v>
      </c>
      <c r="R92" s="32"/>
      <c r="S92" s="13" t="s">
        <v>87</v>
      </c>
      <c r="T92" s="13">
        <v>250000</v>
      </c>
      <c r="U92" s="13">
        <v>2500</v>
      </c>
      <c r="V92" s="13"/>
      <c r="W92" s="13"/>
      <c r="X92" s="13">
        <v>247500</v>
      </c>
      <c r="Y92" s="41" t="s">
        <v>88</v>
      </c>
    </row>
    <row r="93" spans="1:65" x14ac:dyDescent="0.25">
      <c r="A93" s="30">
        <v>51536</v>
      </c>
      <c r="B93" s="43" t="s">
        <v>37</v>
      </c>
      <c r="C93" s="1">
        <v>45188</v>
      </c>
      <c r="D93" s="40">
        <v>7</v>
      </c>
      <c r="E93" s="13">
        <v>3824</v>
      </c>
      <c r="F93" s="13"/>
      <c r="G93" s="13">
        <f t="shared" si="8"/>
        <v>3824</v>
      </c>
      <c r="H93" s="13">
        <v>0</v>
      </c>
      <c r="I93" s="13">
        <f t="shared" ref="I93" si="10">G93+H93</f>
        <v>3824</v>
      </c>
      <c r="J93" s="13">
        <v>0</v>
      </c>
      <c r="K93" s="13">
        <v>0</v>
      </c>
      <c r="L93" s="13">
        <v>0</v>
      </c>
      <c r="M93" s="13">
        <v>0</v>
      </c>
      <c r="N93" s="13">
        <f t="shared" ref="N93" si="11">H93</f>
        <v>0</v>
      </c>
      <c r="O93" s="13"/>
      <c r="P93" s="30"/>
      <c r="Q93" s="52">
        <f>ROUND(I93-SUM(J93:O93),0)</f>
        <v>3824</v>
      </c>
      <c r="R93" s="32"/>
      <c r="S93" s="13" t="s">
        <v>98</v>
      </c>
      <c r="T93" s="13"/>
      <c r="U93" s="13"/>
      <c r="V93" s="13"/>
      <c r="W93" s="13"/>
      <c r="X93" s="13">
        <v>163886</v>
      </c>
      <c r="Y93" s="41" t="s">
        <v>99</v>
      </c>
    </row>
    <row r="94" spans="1:65" x14ac:dyDescent="0.25">
      <c r="A94" s="30">
        <v>51536</v>
      </c>
      <c r="B94" s="13"/>
      <c r="C94" s="13"/>
      <c r="D94" s="26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32"/>
      <c r="S94" s="13"/>
      <c r="T94" s="13"/>
      <c r="U94" s="13"/>
      <c r="V94" s="13"/>
      <c r="W94" s="13"/>
      <c r="X94" s="13">
        <v>3824</v>
      </c>
      <c r="Y94" s="41" t="s">
        <v>112</v>
      </c>
    </row>
    <row r="95" spans="1:65" x14ac:dyDescent="0.25">
      <c r="A95" s="30">
        <v>51536</v>
      </c>
      <c r="B95" s="13"/>
      <c r="C95" s="13"/>
      <c r="D95" s="26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32"/>
      <c r="S95" s="13"/>
      <c r="T95" s="13"/>
      <c r="U95" s="13"/>
      <c r="V95" s="13"/>
      <c r="W95" s="13"/>
      <c r="X95" s="13">
        <v>297000</v>
      </c>
      <c r="Y95" s="41" t="s">
        <v>124</v>
      </c>
    </row>
    <row r="96" spans="1:65" x14ac:dyDescent="0.25">
      <c r="A96" s="30"/>
      <c r="B96" s="40"/>
      <c r="C96" s="40"/>
      <c r="D96" s="40"/>
      <c r="E96" s="46"/>
      <c r="F96" s="46"/>
      <c r="G96" s="46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32"/>
      <c r="S96" s="13"/>
      <c r="T96" s="13"/>
      <c r="U96" s="13"/>
      <c r="V96" s="13"/>
      <c r="W96" s="13"/>
      <c r="X96" s="13"/>
      <c r="Y96" s="13"/>
    </row>
    <row r="97" spans="1:25" x14ac:dyDescent="0.25">
      <c r="A97" s="13"/>
      <c r="B97" s="13"/>
      <c r="C97" s="13"/>
      <c r="D97" s="26"/>
      <c r="E97" s="13"/>
      <c r="F97" s="13"/>
      <c r="G97" s="13"/>
      <c r="H97" s="13"/>
      <c r="I97" s="13"/>
      <c r="J97" s="13"/>
      <c r="K97" s="47"/>
      <c r="L97" s="47"/>
      <c r="M97" s="47"/>
      <c r="N97" s="47"/>
      <c r="O97" s="47"/>
      <c r="P97" s="47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45.75" customHeight="1" thickBot="1" x14ac:dyDescent="0.3">
      <c r="A98" s="14"/>
      <c r="B98" s="14"/>
      <c r="C98" s="14"/>
      <c r="D98" s="27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x14ac:dyDescent="0.25">
      <c r="A99" s="28"/>
      <c r="B99" s="28"/>
      <c r="C99" s="28"/>
      <c r="D99" s="50"/>
      <c r="E99" s="28"/>
      <c r="F99" s="51"/>
      <c r="G99" s="28"/>
      <c r="H99" s="28"/>
      <c r="I99" s="28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28"/>
    </row>
    <row r="100" spans="1:25" x14ac:dyDescent="0.25">
      <c r="A100" s="13"/>
      <c r="B100" s="13"/>
      <c r="C100" s="13"/>
      <c r="D100" s="26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thickBot="1" x14ac:dyDescent="0.3">
      <c r="A101" s="15"/>
      <c r="B101" s="15"/>
      <c r="C101" s="15"/>
      <c r="D101" s="4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49"/>
      <c r="W101" s="15"/>
      <c r="X101" s="49"/>
      <c r="Y101" s="15"/>
    </row>
    <row r="103" spans="1:25" ht="15.75" thickBot="1" x14ac:dyDescent="0.3"/>
    <row r="104" spans="1:25" ht="15.75" thickBot="1" x14ac:dyDescent="0.3">
      <c r="M104" s="61"/>
      <c r="N104" s="62"/>
      <c r="O104" s="63"/>
    </row>
    <row r="105" spans="1:25" ht="15.75" thickBot="1" x14ac:dyDescent="0.3">
      <c r="M105" s="61"/>
      <c r="N105" s="62"/>
      <c r="O105" s="63"/>
    </row>
    <row r="106" spans="1:25" x14ac:dyDescent="0.25">
      <c r="M106" s="64"/>
      <c r="N106" s="65"/>
      <c r="O106" s="21"/>
    </row>
    <row r="107" spans="1:25" x14ac:dyDescent="0.25">
      <c r="M107" s="66"/>
      <c r="N107" s="67"/>
      <c r="O107" s="22"/>
    </row>
    <row r="108" spans="1:25" x14ac:dyDescent="0.25">
      <c r="M108" s="66"/>
      <c r="N108" s="67"/>
      <c r="O108" s="22"/>
    </row>
    <row r="109" spans="1:25" x14ac:dyDescent="0.25">
      <c r="M109" s="66"/>
      <c r="N109" s="67"/>
      <c r="O109" s="19"/>
    </row>
    <row r="110" spans="1:25" ht="15.75" thickBot="1" x14ac:dyDescent="0.3">
      <c r="M110" s="68"/>
      <c r="N110" s="69"/>
      <c r="O110" s="20"/>
    </row>
  </sheetData>
  <mergeCells count="7">
    <mergeCell ref="M104:O104"/>
    <mergeCell ref="M106:N106"/>
    <mergeCell ref="M107:N107"/>
    <mergeCell ref="M109:N109"/>
    <mergeCell ref="M110:N110"/>
    <mergeCell ref="M108:N108"/>
    <mergeCell ref="M105:O105"/>
  </mergeCells>
  <phoneticPr fontId="7" type="noConversion"/>
  <pageMargins left="0.7" right="0.7" top="0.75" bottom="0.75" header="0.3" footer="0.3"/>
  <pageSetup scale="18" orientation="landscape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2024-12-12T09:58:15Z</cp:lastPrinted>
  <dcterms:created xsi:type="dcterms:W3CDTF">2022-06-10T14:11:52Z</dcterms:created>
  <dcterms:modified xsi:type="dcterms:W3CDTF">2025-05-27T07:00:33Z</dcterms:modified>
</cp:coreProperties>
</file>