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Shahrukh Shaikh (3)\Shahrukh Shaikh\"/>
    </mc:Choice>
  </mc:AlternateContent>
  <xr:revisionPtr revIDLastSave="0" documentId="13_ncr:1_{0403467F-AE53-4A8A-A442-DDC27666F9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Cement" sheetId="2" r:id="rId2"/>
    <sheet name="TMT" sheetId="3" r:id="rId3"/>
    <sheet name="Diese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Q10" i="1" s="1"/>
  <c r="R33" i="1" l="1"/>
  <c r="R28" i="1"/>
  <c r="R20" i="1"/>
  <c r="R16" i="1"/>
  <c r="R7" i="1"/>
  <c r="G13" i="1"/>
  <c r="J13" i="1" s="1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5" i="2"/>
  <c r="F4" i="2"/>
  <c r="H4" i="2" s="1"/>
  <c r="F3" i="2"/>
  <c r="F2" i="2"/>
  <c r="M13" i="1" l="1"/>
  <c r="L13" i="1"/>
  <c r="K13" i="1"/>
  <c r="H13" i="1"/>
  <c r="I4" i="2"/>
  <c r="J4" i="2" s="1"/>
  <c r="H2" i="2"/>
  <c r="H3" i="2"/>
  <c r="I2" i="2"/>
  <c r="J2" i="2" s="1"/>
  <c r="H5" i="2"/>
  <c r="I3" i="2"/>
  <c r="J3" i="2" s="1"/>
  <c r="I5" i="2"/>
  <c r="J5" i="2" s="1"/>
  <c r="Q13" i="1" l="1"/>
  <c r="I13" i="1"/>
  <c r="P13" i="1"/>
  <c r="E14" i="1" s="1"/>
  <c r="Q14" i="1" s="1"/>
  <c r="G35" i="1"/>
  <c r="M35" i="1" s="1"/>
  <c r="G34" i="1"/>
  <c r="H34" i="1" s="1"/>
  <c r="I34" i="1" s="1"/>
  <c r="M34" i="1"/>
  <c r="G29" i="1"/>
  <c r="K29" i="1" s="1"/>
  <c r="G30" i="1"/>
  <c r="H30" i="1" s="1"/>
  <c r="P30" i="1" s="1"/>
  <c r="Q31" i="1"/>
  <c r="G21" i="1"/>
  <c r="M21" i="1" s="1"/>
  <c r="G23" i="1"/>
  <c r="M23" i="1" s="1"/>
  <c r="G17" i="1"/>
  <c r="H17" i="1" s="1"/>
  <c r="P17" i="1" l="1"/>
  <c r="J30" i="1"/>
  <c r="L34" i="1"/>
  <c r="K34" i="1"/>
  <c r="K30" i="1"/>
  <c r="J34" i="1"/>
  <c r="L30" i="1"/>
  <c r="M30" i="1"/>
  <c r="H23" i="1"/>
  <c r="P23" i="1" s="1"/>
  <c r="E24" i="1" s="1"/>
  <c r="Q24" i="1" s="1"/>
  <c r="H21" i="1"/>
  <c r="I21" i="1" s="1"/>
  <c r="J23" i="1"/>
  <c r="J21" i="1"/>
  <c r="K23" i="1"/>
  <c r="K21" i="1"/>
  <c r="L23" i="1"/>
  <c r="L21" i="1"/>
  <c r="P34" i="1"/>
  <c r="L35" i="1"/>
  <c r="H35" i="1"/>
  <c r="P35" i="1" s="1"/>
  <c r="E37" i="1" s="1"/>
  <c r="Q37" i="1" s="1"/>
  <c r="J35" i="1"/>
  <c r="K35" i="1"/>
  <c r="J29" i="1"/>
  <c r="L29" i="1"/>
  <c r="M29" i="1"/>
  <c r="H29" i="1"/>
  <c r="P29" i="1" s="1"/>
  <c r="M17" i="1"/>
  <c r="L17" i="1"/>
  <c r="K17" i="1"/>
  <c r="J17" i="1"/>
  <c r="I17" i="1"/>
  <c r="Q34" i="1" l="1"/>
  <c r="P21" i="1"/>
  <c r="Q17" i="1"/>
  <c r="E36" i="1"/>
  <c r="Q36" i="1" s="1"/>
  <c r="Q30" i="1"/>
  <c r="Q21" i="1"/>
  <c r="I23" i="1"/>
  <c r="Q23" i="1" s="1"/>
  <c r="I35" i="1"/>
  <c r="Q35" i="1" s="1"/>
  <c r="E18" i="1" l="1"/>
  <c r="Q18" i="1" s="1"/>
</calcChain>
</file>

<file path=xl/sharedStrings.xml><?xml version="1.0" encoding="utf-8"?>
<sst xmlns="http://schemas.openxmlformats.org/spreadsheetml/2006/main" count="195" uniqueCount="121">
  <si>
    <t>Amount</t>
  </si>
  <si>
    <t>UTR</t>
  </si>
  <si>
    <t>Pipe Laying work</t>
  </si>
  <si>
    <t>Hold the Amount because the Qty. is more then the DPR</t>
  </si>
  <si>
    <t>Rana Contractor</t>
  </si>
  <si>
    <t xml:space="preserve">Samarthi Village Pipe laying work </t>
  </si>
  <si>
    <t>08-12-2022 IFT/IFT22342023014/RIUP22/1446/RANA CONTRACTOR 234737.00</t>
  </si>
  <si>
    <t>13-12-2022 IFT/IFT22347025671/RIUP22/1489/RANA CONTRACTOR 125000.00</t>
  </si>
  <si>
    <t>20-01-2023 IFT/IFT23020005655/RIUP22/1919/RANA CONTRACTOR 99000.00</t>
  </si>
  <si>
    <t>GST release note</t>
  </si>
  <si>
    <t xml:space="preserve">Kashampur bhooma Village Pipe laying work </t>
  </si>
  <si>
    <t>17-03-2023 IFT/IFT23076014162/RIUP22/2504/RANA CONTRACTOR 91938.00</t>
  </si>
  <si>
    <t>24-05-2023 IFT/IFT23144016074/RIUP23/258/RANA CONTRACTOR 22424.00</t>
  </si>
  <si>
    <t xml:space="preserve">Ghumawati Village Pipe laying work </t>
  </si>
  <si>
    <t>06-03-2023 IFT/IFT23065060986/RIUP22/2468/RANA CONTRACTOR 198000.00</t>
  </si>
  <si>
    <t>21-04-2023 IFT/IFT23111034242/RIUP23/047/RANA CONTRACTOR 198000.00</t>
  </si>
  <si>
    <t>Wazidpur Kawali Village Pipeline laying work</t>
  </si>
  <si>
    <t>29-05-2023 IFT/IFT23149005720/RIUP23/220/RANA CONTRACTOR 481016.00</t>
  </si>
  <si>
    <t>29-05-2023 IFT/IFT23149012196/RIUP23/259/RANA CONTRACTOR 112304.00</t>
  </si>
  <si>
    <t>15-07-2023 IFT/IFT23196009847/RIUP23/1060/RANA CONTRACTOR 378459.00</t>
  </si>
  <si>
    <t xml:space="preserve">Recovery </t>
  </si>
  <si>
    <t>GST Release Note</t>
  </si>
  <si>
    <t>02-06-2023 IFT/IFT23153018889/RIUP23/478/RANA CONTRACTOR 247500.00</t>
  </si>
  <si>
    <t>22-06-2023 IFT/IFT23173012782/RIUP23/790/RANA CONTRACTOR 132871.00</t>
  </si>
  <si>
    <t>28-06-2023 IFT/IFT23179012453/RIUP23/791/RANA CONTRACTOR 44881.00</t>
  </si>
  <si>
    <t>GST Release note</t>
  </si>
  <si>
    <t>3 &amp; 4</t>
  </si>
  <si>
    <t>28-07-2023 IFT/IFT23209041730/RIUP23/1201/RANA CONTRACTOR ₹ 2,31,283.00</t>
  </si>
  <si>
    <t>30-09-2023 IFT/IFT23273200617/RIUP23/2096/RANA CONTRACTOR 249018.00</t>
  </si>
  <si>
    <t>24-11-2023 IFT/IFT23328069270/RIUP23/3426/RANA CONTRACTOR 99000.00</t>
  </si>
  <si>
    <t xml:space="preserve"> </t>
  </si>
  <si>
    <t>24-11-2023 IFT/IFT23328069271/RIUP23/3425/RANA CONTRACTOR 99000.00</t>
  </si>
  <si>
    <t>Date Of Issue</t>
  </si>
  <si>
    <t>Issue Slip No</t>
  </si>
  <si>
    <t>Name of Party</t>
  </si>
  <si>
    <t>QTY (BAG)</t>
  </si>
  <si>
    <t>IN TON</t>
  </si>
  <si>
    <t>RATE (PER TON)</t>
  </si>
  <si>
    <t>GST (28%)</t>
  </si>
  <si>
    <t>Amount (In Rs.)</t>
  </si>
  <si>
    <t xml:space="preserve">ISSUE FOR </t>
  </si>
  <si>
    <t>DEBIT NOTE NO.</t>
  </si>
  <si>
    <t>CONTRACTOR INVOICE DETAIL</t>
  </si>
  <si>
    <t>16.11.2023</t>
  </si>
  <si>
    <t>RANA CONTRACTOR</t>
  </si>
  <si>
    <t>ALIPURA (CHARTHAWAL)</t>
  </si>
  <si>
    <t>936/28.12.2023</t>
  </si>
  <si>
    <t>BILL GHUMAWATI 28.12.2023</t>
  </si>
  <si>
    <t>02.12.2023</t>
  </si>
  <si>
    <t>GHUMAWATI</t>
  </si>
  <si>
    <t>19.12.2023</t>
  </si>
  <si>
    <t>RECIVED FROM SHAMLI 27.11.2023</t>
  </si>
  <si>
    <t>S.NO.</t>
  </si>
  <si>
    <t>FUEL  (In Ltr)</t>
  </si>
  <si>
    <t>Petrol Pump Slip No.</t>
  </si>
  <si>
    <t>Latest Rate</t>
  </si>
  <si>
    <t>Vehicle No.</t>
  </si>
  <si>
    <t>Remarks</t>
  </si>
  <si>
    <t>Tax Invocies On PMC</t>
  </si>
  <si>
    <t>31.10.2022</t>
  </si>
  <si>
    <t>CANCEL ISSUE SLIP OF 200 LTR</t>
  </si>
  <si>
    <t>DID NOT TAKEN BY CONTRACTOR</t>
  </si>
  <si>
    <t>22.10.2022</t>
  </si>
  <si>
    <t>Debit to M/s. Rana Contractor</t>
  </si>
  <si>
    <t>Pipeline work at Simarthi village</t>
  </si>
  <si>
    <t>97/21.11.2022</t>
  </si>
  <si>
    <t>001/22.11.2022</t>
  </si>
  <si>
    <t>21.12.2022</t>
  </si>
  <si>
    <t>Pipeline Work at Ghumwati Village</t>
  </si>
  <si>
    <t>191/01.02.2023</t>
  </si>
  <si>
    <t>01/01.04.2023</t>
  </si>
  <si>
    <t>17.12.2022</t>
  </si>
  <si>
    <t>10.11.2022</t>
  </si>
  <si>
    <t>05.12.2022</t>
  </si>
  <si>
    <t>03.01.2023</t>
  </si>
  <si>
    <t>Pipeline Work at Kasambhma Village</t>
  </si>
  <si>
    <t>221/28.02.2023</t>
  </si>
  <si>
    <t>03/28.02.2023</t>
  </si>
  <si>
    <t>20.03.2023</t>
  </si>
  <si>
    <t>Pipeline work at Wajidpurkwali  village</t>
  </si>
  <si>
    <t>382/03.05.2023</t>
  </si>
  <si>
    <t>27.03.2023</t>
  </si>
  <si>
    <t>30.03.2023</t>
  </si>
  <si>
    <t>11.04.2023</t>
  </si>
  <si>
    <t>12.04.2023</t>
  </si>
  <si>
    <t>23.05.23</t>
  </si>
  <si>
    <t>Debit to Rana Contractor</t>
  </si>
  <si>
    <t>ALIPURA</t>
  </si>
  <si>
    <t>744/ 26.08.2023</t>
  </si>
  <si>
    <t>BILL NO 5/ 26.08.2023</t>
  </si>
  <si>
    <t>25.05.2023</t>
  </si>
  <si>
    <t>744/ 26.08.2025</t>
  </si>
  <si>
    <t>17-01-2024 IFT/IFT24017021100/RIUP23/4159/RANA CONTRACTOR 346030.00</t>
  </si>
  <si>
    <t>20-02-2024 IFT/IFT24051038903/RIUP23/4771/RANA CONTRACTOR ₹ 1,96,419.00</t>
  </si>
  <si>
    <t>Hold amount release</t>
  </si>
  <si>
    <t>16-07-2024 IFT/IFT24198061580/RIUP24/0307/RANA CONTRACTOR 69470.00</t>
  </si>
  <si>
    <t>03-08-2024 IFT/IFT24216017347/RIUP24/1163/RANA CONTRACTOR 248600.00</t>
  </si>
  <si>
    <t>10-09-2024 IFT/IFT24254006264/RIUP24/1725/RANA CONTRACTOR 198000.00</t>
  </si>
  <si>
    <t>30-01-2025 IFT/IFT25030057663/RIUP24/0308/RANA CONTRACTOR 69600.00</t>
  </si>
  <si>
    <t>Subcontractor:</t>
  </si>
  <si>
    <t>State:</t>
  </si>
  <si>
    <t>District:</t>
  </si>
  <si>
    <t>Block:</t>
  </si>
  <si>
    <t>PMC_No</t>
  </si>
  <si>
    <t>Invoice_Details</t>
  </si>
  <si>
    <t>Uttar Pradesh</t>
  </si>
  <si>
    <t>Muzaffarnagar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</si>
  <si>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</si>
  <si>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</si>
  <si>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</si>
  <si>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</si>
  <si>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</si>
  <si>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</si>
  <si>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</si>
  <si>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</si>
  <si>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</si>
  <si>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</si>
  <si>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</si>
  <si>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</si>
  <si>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</si>
  <si>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Alipur Village Pipeline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</si>
</sst>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sz val="11"/>
      <color rgb="FFFF0000"/>
      <name val="Comic Sans MS"/>
      <family val="4"/>
    </font>
    <font>
      <i/>
      <sz val="11"/>
      <color theme="1"/>
      <name val="Comic Sans MS"/>
      <family val="4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1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1" applyNumberFormat="1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9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43" fontId="6" fillId="2" borderId="0" xfId="1" applyNumberFormat="1" applyFont="1" applyFill="1" applyBorder="1" applyAlignment="1">
      <alignment vertical="center"/>
    </xf>
    <xf numFmtId="14" fontId="6" fillId="2" borderId="0" xfId="1" applyNumberFormat="1" applyFont="1" applyFill="1" applyBorder="1" applyAlignment="1">
      <alignment vertical="center"/>
    </xf>
    <xf numFmtId="43" fontId="7" fillId="2" borderId="0" xfId="1" applyNumberFormat="1" applyFont="1" applyFill="1" applyBorder="1" applyAlignment="1">
      <alignment horizontal="center" vertical="center"/>
    </xf>
    <xf numFmtId="43" fontId="6" fillId="2" borderId="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4" fontId="7" fillId="2" borderId="0" xfId="0" applyNumberFormat="1" applyFont="1" applyFill="1" applyAlignment="1">
      <alignment vertical="center"/>
    </xf>
    <xf numFmtId="43" fontId="7" fillId="2" borderId="0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20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2" borderId="21" xfId="0" applyFill="1" applyBorder="1" applyAlignment="1">
      <alignment vertical="center"/>
    </xf>
    <xf numFmtId="43" fontId="6" fillId="2" borderId="19" xfId="1" applyNumberFormat="1" applyFont="1" applyFill="1" applyBorder="1" applyAlignment="1">
      <alignment vertical="center"/>
    </xf>
    <xf numFmtId="14" fontId="7" fillId="2" borderId="0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6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vertical="center"/>
    </xf>
    <xf numFmtId="43" fontId="7" fillId="2" borderId="20" xfId="1" applyNumberFormat="1" applyFont="1" applyFill="1" applyBorder="1" applyAlignment="1">
      <alignment vertical="center"/>
    </xf>
    <xf numFmtId="14" fontId="7" fillId="2" borderId="20" xfId="1" applyNumberFormat="1" applyFont="1" applyFill="1" applyBorder="1" applyAlignment="1">
      <alignment vertical="center"/>
    </xf>
    <xf numFmtId="0" fontId="2" fillId="7" borderId="20" xfId="0" applyFont="1" applyFill="1" applyBorder="1" applyAlignment="1">
      <alignment vertical="center"/>
    </xf>
    <xf numFmtId="43" fontId="7" fillId="7" borderId="20" xfId="1" applyNumberFormat="1" applyFont="1" applyFill="1" applyBorder="1" applyAlignment="1">
      <alignment vertical="center"/>
    </xf>
    <xf numFmtId="14" fontId="7" fillId="7" borderId="20" xfId="1" applyNumberFormat="1" applyFont="1" applyFill="1" applyBorder="1" applyAlignment="1">
      <alignment vertical="center"/>
    </xf>
    <xf numFmtId="9" fontId="7" fillId="7" borderId="20" xfId="1" applyNumberFormat="1" applyFont="1" applyFill="1" applyBorder="1" applyAlignment="1">
      <alignment vertical="center"/>
    </xf>
    <xf numFmtId="0" fontId="2" fillId="8" borderId="20" xfId="0" applyFont="1" applyFill="1" applyBorder="1" applyAlignment="1">
      <alignment vertical="center"/>
    </xf>
    <xf numFmtId="0" fontId="7" fillId="2" borderId="20" xfId="0" applyFont="1" applyFill="1" applyBorder="1" applyAlignment="1">
      <alignment horizontal="center" vertical="center" wrapText="1"/>
    </xf>
    <xf numFmtId="14" fontId="7" fillId="2" borderId="20" xfId="0" applyNumberFormat="1" applyFont="1" applyFill="1" applyBorder="1" applyAlignment="1">
      <alignment horizontal="center" vertical="center"/>
    </xf>
    <xf numFmtId="0" fontId="7" fillId="2" borderId="20" xfId="0" quotePrefix="1" applyFont="1" applyFill="1" applyBorder="1" applyAlignment="1">
      <alignment horizontal="center" vertical="center"/>
    </xf>
    <xf numFmtId="43" fontId="9" fillId="9" borderId="20" xfId="1" applyNumberFormat="1" applyFont="1" applyFill="1" applyBorder="1" applyAlignment="1">
      <alignment vertical="center"/>
    </xf>
    <xf numFmtId="0" fontId="7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15" fontId="7" fillId="2" borderId="20" xfId="0" applyNumberFormat="1" applyFont="1" applyFill="1" applyBorder="1" applyAlignment="1">
      <alignment horizontal="center" vertical="center"/>
    </xf>
    <xf numFmtId="43" fontId="6" fillId="2" borderId="20" xfId="1" applyNumberFormat="1" applyFont="1" applyFill="1" applyBorder="1" applyAlignment="1">
      <alignment vertical="center"/>
    </xf>
    <xf numFmtId="43" fontId="6" fillId="2" borderId="23" xfId="1" applyNumberFormat="1" applyFont="1" applyFill="1" applyBorder="1" applyAlignment="1">
      <alignment vertical="center"/>
    </xf>
    <xf numFmtId="43" fontId="7" fillId="2" borderId="23" xfId="1" applyNumberFormat="1" applyFont="1" applyFill="1" applyBorder="1" applyAlignment="1">
      <alignment vertical="center"/>
    </xf>
    <xf numFmtId="14" fontId="7" fillId="2" borderId="23" xfId="1" applyNumberFormat="1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 wrapText="1"/>
    </xf>
    <xf numFmtId="15" fontId="7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3" fontId="7" fillId="2" borderId="21" xfId="1" applyNumberFormat="1" applyFont="1" applyFill="1" applyBorder="1" applyAlignment="1">
      <alignment vertical="center"/>
    </xf>
    <xf numFmtId="43" fontId="7" fillId="2" borderId="19" xfId="1" applyNumberFormat="1" applyFont="1" applyFill="1" applyBorder="1" applyAlignment="1">
      <alignment vertical="center"/>
    </xf>
    <xf numFmtId="14" fontId="7" fillId="2" borderId="19" xfId="1" applyNumberFormat="1" applyFont="1" applyFill="1" applyBorder="1" applyAlignment="1">
      <alignment vertical="center"/>
    </xf>
    <xf numFmtId="0" fontId="2" fillId="7" borderId="22" xfId="0" applyFont="1" applyFill="1" applyBorder="1" applyAlignment="1">
      <alignment vertical="center"/>
    </xf>
    <xf numFmtId="43" fontId="7" fillId="7" borderId="22" xfId="1" applyNumberFormat="1" applyFont="1" applyFill="1" applyBorder="1" applyAlignment="1">
      <alignment vertical="center"/>
    </xf>
    <xf numFmtId="14" fontId="7" fillId="7" borderId="22" xfId="1" applyNumberFormat="1" applyFont="1" applyFill="1" applyBorder="1" applyAlignment="1">
      <alignment vertical="center"/>
    </xf>
    <xf numFmtId="9" fontId="7" fillId="7" borderId="22" xfId="1" applyNumberFormat="1" applyFont="1" applyFill="1" applyBorder="1" applyAlignment="1">
      <alignment vertical="center"/>
    </xf>
    <xf numFmtId="0" fontId="2" fillId="8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9" fontId="7" fillId="2" borderId="23" xfId="1" applyNumberFormat="1" applyFont="1" applyFill="1" applyBorder="1" applyAlignment="1">
      <alignment vertical="center"/>
    </xf>
    <xf numFmtId="43" fontId="9" fillId="0" borderId="20" xfId="1" applyNumberFormat="1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19" xfId="0" applyFont="1" applyFill="1" applyBorder="1" applyAlignment="1">
      <alignment horizontal="center" vertical="center" wrapText="1"/>
    </xf>
    <xf numFmtId="14" fontId="2" fillId="2" borderId="19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64" fontId="11" fillId="2" borderId="19" xfId="1" applyFont="1" applyFill="1" applyBorder="1" applyAlignment="1">
      <alignment horizontal="center" vertical="center"/>
    </xf>
    <xf numFmtId="164" fontId="2" fillId="2" borderId="19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43" fontId="2" fillId="2" borderId="24" xfId="1" applyNumberFormat="1" applyFont="1" applyFill="1" applyBorder="1" applyAlignment="1">
      <alignment horizontal="right" vertical="center"/>
    </xf>
    <xf numFmtId="43" fontId="2" fillId="2" borderId="25" xfId="1" applyNumberFormat="1" applyFont="1" applyFill="1" applyBorder="1" applyAlignment="1">
      <alignment horizontal="right" vertical="center"/>
    </xf>
    <xf numFmtId="43" fontId="2" fillId="2" borderId="17" xfId="1" applyNumberFormat="1" applyFont="1" applyFill="1" applyBorder="1" applyAlignment="1">
      <alignment horizontal="right" vertical="center"/>
    </xf>
    <xf numFmtId="43" fontId="2" fillId="2" borderId="18" xfId="1" applyNumberFormat="1" applyFont="1" applyFill="1" applyBorder="1" applyAlignment="1">
      <alignment horizontal="right" vertical="center"/>
    </xf>
    <xf numFmtId="43" fontId="2" fillId="2" borderId="15" xfId="1" applyNumberFormat="1" applyFont="1" applyFill="1" applyBorder="1" applyAlignment="1">
      <alignment horizontal="right" vertical="center"/>
    </xf>
    <xf numFmtId="43" fontId="2" fillId="2" borderId="16" xfId="1" applyNumberFormat="1" applyFont="1" applyFill="1" applyBorder="1" applyAlignment="1">
      <alignment horizontal="right" vertical="center"/>
    </xf>
    <xf numFmtId="43" fontId="2" fillId="2" borderId="15" xfId="1" applyNumberFormat="1" applyFont="1" applyFill="1" applyBorder="1" applyAlignment="1">
      <alignment horizontal="center" vertical="center"/>
    </xf>
    <xf numFmtId="43" fontId="2" fillId="2" borderId="1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2"/>
  <sheetViews>
    <sheetView tabSelected="1" zoomScale="115" zoomScaleNormal="115" workbookViewId="0">
      <pane ySplit="6" topLeftCell="A7" activePane="bottomLeft" state="frozen"/>
      <selection pane="bottomLeft" activeCell="B34" sqref="B34"/>
    </sheetView>
  </sheetViews>
  <sheetFormatPr defaultColWidth="9" defaultRowHeight="15" x14ac:dyDescent="0.25"/>
  <cols>
    <col min="1" max="1" width="15" style="2" customWidth="1"/>
    <col min="2" max="2" width="30" style="37" customWidth="1"/>
    <col min="3" max="3" width="14" style="36" bestFit="1" customWidth="1"/>
    <col min="4" max="4" width="11.7109375" style="37" bestFit="1" customWidth="1"/>
    <col min="5" max="5" width="15.42578125" style="37" bestFit="1" customWidth="1"/>
    <col min="6" max="6" width="17.7109375" style="37" customWidth="1"/>
    <col min="7" max="7" width="15.5703125" style="37" customWidth="1"/>
    <col min="8" max="8" width="14.7109375" style="1" customWidth="1"/>
    <col min="9" max="9" width="15.42578125" style="1" bestFit="1" customWidth="1"/>
    <col min="10" max="10" width="11.5703125" style="37" bestFit="1" customWidth="1"/>
    <col min="11" max="11" width="14.7109375" style="37" customWidth="1"/>
    <col min="12" max="12" width="19.7109375" style="37" customWidth="1"/>
    <col min="13" max="13" width="15.7109375" style="37" customWidth="1"/>
    <col min="14" max="14" width="18.42578125" style="37" bestFit="1" customWidth="1"/>
    <col min="15" max="15" width="18.28515625" style="37" customWidth="1"/>
    <col min="16" max="17" width="18.140625" style="37" bestFit="1" customWidth="1"/>
    <col min="18" max="18" width="10.7109375" style="2" bestFit="1" customWidth="1"/>
    <col min="19" max="19" width="18.140625" style="37" bestFit="1" customWidth="1"/>
    <col min="20" max="20" width="84.140625" style="37" bestFit="1" customWidth="1"/>
    <col min="21" max="16384" width="9" style="37"/>
  </cols>
  <sheetData>
    <row r="1" spans="1:20" x14ac:dyDescent="0.25">
      <c r="A1" s="92" t="s">
        <v>99</v>
      </c>
      <c r="B1" s="93" t="s">
        <v>4</v>
      </c>
    </row>
    <row r="2" spans="1:20" ht="18" x14ac:dyDescent="0.25">
      <c r="A2" s="92" t="s">
        <v>100</v>
      </c>
      <c r="B2" t="s">
        <v>105</v>
      </c>
      <c r="C2" s="39"/>
      <c r="D2" s="38"/>
      <c r="E2" s="2"/>
      <c r="G2" s="40"/>
      <c r="I2" s="41" t="s">
        <v>2</v>
      </c>
      <c r="J2" s="42"/>
      <c r="K2" s="42"/>
      <c r="L2" s="42"/>
      <c r="M2" s="42"/>
      <c r="N2" s="42"/>
      <c r="O2" s="42"/>
      <c r="P2" s="42"/>
      <c r="Q2" s="42"/>
    </row>
    <row r="3" spans="1:20" ht="18" x14ac:dyDescent="0.25">
      <c r="A3" s="92" t="s">
        <v>101</v>
      </c>
      <c r="B3" t="s">
        <v>106</v>
      </c>
      <c r="C3" s="43"/>
      <c r="D3" s="42"/>
      <c r="E3" s="42"/>
      <c r="F3" s="42"/>
      <c r="G3" s="42"/>
      <c r="H3" s="44"/>
      <c r="I3" s="44"/>
      <c r="J3" s="42"/>
      <c r="K3" s="42"/>
      <c r="L3" s="42"/>
      <c r="M3" s="42"/>
      <c r="R3" s="35"/>
      <c r="S3" s="45"/>
      <c r="T3" s="45"/>
    </row>
    <row r="4" spans="1:20" ht="18.75" thickBot="1" x14ac:dyDescent="0.3">
      <c r="A4" s="92" t="s">
        <v>102</v>
      </c>
      <c r="B4" t="s">
        <v>106</v>
      </c>
      <c r="C4" s="43"/>
      <c r="D4" s="42"/>
      <c r="E4" s="42"/>
      <c r="F4" s="42"/>
      <c r="G4" s="42"/>
      <c r="H4" s="44"/>
      <c r="I4" s="44"/>
      <c r="J4" s="42"/>
      <c r="K4" s="42"/>
      <c r="L4" s="42"/>
      <c r="M4" s="42"/>
      <c r="R4" s="35"/>
      <c r="S4" s="45"/>
      <c r="T4" s="45"/>
    </row>
    <row r="5" spans="1:20" ht="90" x14ac:dyDescent="0.25">
      <c r="A5" s="56" t="s">
        <v>103</v>
      </c>
      <c r="B5" s="94" t="s">
        <v>104</v>
      </c>
      <c r="C5" s="95" t="s">
        <v>107</v>
      </c>
      <c r="D5" s="96" t="s">
        <v>108</v>
      </c>
      <c r="E5" s="94" t="s">
        <v>109</v>
      </c>
      <c r="F5" s="94" t="s">
        <v>110</v>
      </c>
      <c r="G5" s="96" t="s">
        <v>111</v>
      </c>
      <c r="H5" s="97" t="s">
        <v>112</v>
      </c>
      <c r="I5" s="98" t="s">
        <v>0</v>
      </c>
      <c r="J5" s="94" t="s">
        <v>113</v>
      </c>
      <c r="K5" s="94" t="s">
        <v>114</v>
      </c>
      <c r="L5" s="94" t="s">
        <v>115</v>
      </c>
      <c r="M5" s="94" t="s">
        <v>116</v>
      </c>
      <c r="N5" s="57" t="s">
        <v>3</v>
      </c>
      <c r="O5" s="57" t="s">
        <v>20</v>
      </c>
      <c r="P5" s="94" t="s">
        <v>117</v>
      </c>
      <c r="Q5" s="94" t="s">
        <v>118</v>
      </c>
      <c r="R5" s="56"/>
      <c r="S5" s="94" t="s">
        <v>119</v>
      </c>
      <c r="T5" s="94" t="s">
        <v>1</v>
      </c>
    </row>
    <row r="6" spans="1:20" ht="17.25" thickBot="1" x14ac:dyDescent="0.3">
      <c r="A6" s="89"/>
      <c r="B6" s="75"/>
      <c r="C6" s="76"/>
      <c r="D6" s="75"/>
      <c r="E6" s="75"/>
      <c r="F6" s="75"/>
      <c r="G6" s="75"/>
      <c r="H6" s="90">
        <v>0.18</v>
      </c>
      <c r="I6" s="75"/>
      <c r="J6" s="90">
        <v>0.01</v>
      </c>
      <c r="K6" s="90">
        <v>0.05</v>
      </c>
      <c r="L6" s="90">
        <v>0.1</v>
      </c>
      <c r="M6" s="90">
        <v>0.1</v>
      </c>
      <c r="N6" s="90"/>
      <c r="O6" s="90"/>
      <c r="P6" s="90">
        <v>0.18</v>
      </c>
      <c r="Q6" s="75"/>
      <c r="R6" s="89"/>
      <c r="S6" s="75"/>
      <c r="T6" s="75"/>
    </row>
    <row r="7" spans="1:20" s="47" customFormat="1" ht="16.5" x14ac:dyDescent="0.25">
      <c r="A7" s="84">
        <v>53230</v>
      </c>
      <c r="B7" s="85"/>
      <c r="C7" s="86"/>
      <c r="D7" s="85"/>
      <c r="E7" s="85"/>
      <c r="F7" s="85"/>
      <c r="G7" s="85"/>
      <c r="H7" s="87"/>
      <c r="I7" s="85"/>
      <c r="J7" s="87"/>
      <c r="K7" s="87"/>
      <c r="L7" s="87"/>
      <c r="M7" s="87"/>
      <c r="N7" s="87"/>
      <c r="O7" s="87"/>
      <c r="P7" s="87"/>
      <c r="Q7" s="85"/>
      <c r="R7" s="88">
        <f>A7</f>
        <v>53230</v>
      </c>
      <c r="S7" s="85"/>
      <c r="T7" s="85"/>
    </row>
    <row r="8" spans="1:20" ht="33" x14ac:dyDescent="0.25">
      <c r="A8" s="84">
        <v>53230</v>
      </c>
      <c r="B8" s="66" t="s">
        <v>5</v>
      </c>
      <c r="C8" s="67">
        <v>44887</v>
      </c>
      <c r="D8" s="68">
        <v>1</v>
      </c>
      <c r="E8" s="59">
        <v>659874</v>
      </c>
      <c r="F8" s="59">
        <v>35964</v>
      </c>
      <c r="G8" s="59">
        <v>623910</v>
      </c>
      <c r="H8" s="59">
        <v>112304</v>
      </c>
      <c r="I8" s="59">
        <v>736214</v>
      </c>
      <c r="J8" s="59">
        <v>6239.1</v>
      </c>
      <c r="K8" s="59">
        <v>31195.5</v>
      </c>
      <c r="L8" s="59">
        <v>62391</v>
      </c>
      <c r="M8" s="59">
        <v>62391</v>
      </c>
      <c r="N8" s="59">
        <v>226956</v>
      </c>
      <c r="O8" s="59"/>
      <c r="P8" s="69">
        <v>112304</v>
      </c>
      <c r="Q8" s="59">
        <v>234737</v>
      </c>
      <c r="R8" s="58"/>
      <c r="S8" s="59">
        <v>234737</v>
      </c>
      <c r="T8" s="46" t="s">
        <v>6</v>
      </c>
    </row>
    <row r="9" spans="1:20" ht="33" x14ac:dyDescent="0.25">
      <c r="A9" s="84">
        <v>53230</v>
      </c>
      <c r="B9" s="66" t="s">
        <v>5</v>
      </c>
      <c r="C9" s="67">
        <v>45029</v>
      </c>
      <c r="D9" s="68">
        <v>2</v>
      </c>
      <c r="E9" s="59">
        <v>249337</v>
      </c>
      <c r="F9" s="59">
        <v>0</v>
      </c>
      <c r="G9" s="59">
        <v>249337</v>
      </c>
      <c r="H9" s="59">
        <v>44881</v>
      </c>
      <c r="I9" s="59">
        <v>294218</v>
      </c>
      <c r="J9" s="59">
        <v>2493.37</v>
      </c>
      <c r="K9" s="59">
        <v>12466.85</v>
      </c>
      <c r="L9" s="59">
        <v>24933.7</v>
      </c>
      <c r="M9" s="59">
        <v>24933.7</v>
      </c>
      <c r="N9" s="59"/>
      <c r="O9" s="59"/>
      <c r="P9" s="69">
        <v>44881</v>
      </c>
      <c r="Q9" s="59">
        <v>184509</v>
      </c>
      <c r="R9" s="58"/>
      <c r="S9" s="59">
        <v>125000</v>
      </c>
      <c r="T9" s="46" t="s">
        <v>7</v>
      </c>
    </row>
    <row r="10" spans="1:20" ht="16.5" x14ac:dyDescent="0.25">
      <c r="A10" s="84">
        <v>53230</v>
      </c>
      <c r="B10" s="66" t="s">
        <v>94</v>
      </c>
      <c r="C10" s="67"/>
      <c r="D10" s="68">
        <v>1</v>
      </c>
      <c r="E10" s="59">
        <f>125000</f>
        <v>125000</v>
      </c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>
        <f>E10</f>
        <v>125000</v>
      </c>
      <c r="R10" s="58"/>
      <c r="S10" s="59">
        <v>99000</v>
      </c>
      <c r="T10" s="46" t="s">
        <v>8</v>
      </c>
    </row>
    <row r="11" spans="1:20" ht="16.5" x14ac:dyDescent="0.25">
      <c r="A11" s="84">
        <v>53230</v>
      </c>
      <c r="B11" s="66" t="s">
        <v>9</v>
      </c>
      <c r="C11" s="67">
        <v>45034</v>
      </c>
      <c r="D11" s="70">
        <v>1</v>
      </c>
      <c r="E11" s="59">
        <v>112303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69">
        <v>112303</v>
      </c>
      <c r="R11" s="58"/>
      <c r="S11" s="59">
        <v>112304</v>
      </c>
      <c r="T11" s="46" t="s">
        <v>18</v>
      </c>
    </row>
    <row r="12" spans="1:20" ht="16.5" x14ac:dyDescent="0.25">
      <c r="A12" s="84">
        <v>53230</v>
      </c>
      <c r="B12" s="66" t="s">
        <v>9</v>
      </c>
      <c r="C12" s="67">
        <v>45097</v>
      </c>
      <c r="D12" s="70">
        <v>2</v>
      </c>
      <c r="E12" s="59">
        <v>44881</v>
      </c>
      <c r="F12" s="59"/>
      <c r="G12" s="59">
        <v>44881</v>
      </c>
      <c r="H12" s="59">
        <v>0</v>
      </c>
      <c r="I12" s="59">
        <v>44881</v>
      </c>
      <c r="J12" s="59">
        <v>0</v>
      </c>
      <c r="K12" s="59">
        <v>0</v>
      </c>
      <c r="L12" s="59"/>
      <c r="M12" s="59"/>
      <c r="N12" s="59"/>
      <c r="O12" s="59"/>
      <c r="P12" s="59">
        <v>0</v>
      </c>
      <c r="Q12" s="69">
        <v>44881</v>
      </c>
      <c r="R12" s="58"/>
      <c r="S12" s="59">
        <v>44881</v>
      </c>
      <c r="T12" s="46" t="s">
        <v>24</v>
      </c>
    </row>
    <row r="13" spans="1:20" ht="33" x14ac:dyDescent="0.25">
      <c r="A13" s="84">
        <v>53230</v>
      </c>
      <c r="B13" s="66" t="s">
        <v>5</v>
      </c>
      <c r="C13" s="67">
        <v>45334</v>
      </c>
      <c r="D13" s="68">
        <v>9</v>
      </c>
      <c r="E13" s="59">
        <v>694811</v>
      </c>
      <c r="F13" s="59">
        <v>0</v>
      </c>
      <c r="G13" s="59">
        <f>E13-F13</f>
        <v>694811</v>
      </c>
      <c r="H13" s="59">
        <f>G13*18%</f>
        <v>125065.98</v>
      </c>
      <c r="I13" s="59">
        <f>G13+H13</f>
        <v>819876.98</v>
      </c>
      <c r="J13" s="59">
        <f>G13*1%</f>
        <v>6948.1100000000006</v>
      </c>
      <c r="K13" s="59">
        <f>G13*5%</f>
        <v>34740.550000000003</v>
      </c>
      <c r="L13" s="59">
        <f>G13*10%</f>
        <v>69481.100000000006</v>
      </c>
      <c r="M13" s="59">
        <f>G13*10%</f>
        <v>69481.100000000006</v>
      </c>
      <c r="N13" s="59">
        <v>303850</v>
      </c>
      <c r="O13" s="59"/>
      <c r="P13" s="69">
        <f>H13</f>
        <v>125065.98</v>
      </c>
      <c r="Q13" s="59">
        <f>G13-J13-K13-L13-M13-N13</f>
        <v>210310.14</v>
      </c>
      <c r="R13" s="58"/>
      <c r="S13" s="59">
        <v>99000</v>
      </c>
      <c r="T13" s="46" t="s">
        <v>31</v>
      </c>
    </row>
    <row r="14" spans="1:20" ht="16.5" x14ac:dyDescent="0.25">
      <c r="A14" s="84">
        <v>53230</v>
      </c>
      <c r="B14" s="66" t="s">
        <v>9</v>
      </c>
      <c r="C14" s="67"/>
      <c r="D14" s="70">
        <v>9</v>
      </c>
      <c r="E14" s="59">
        <f>P13</f>
        <v>125065.98</v>
      </c>
      <c r="F14" s="59"/>
      <c r="G14" s="59">
        <v>44881</v>
      </c>
      <c r="H14" s="59">
        <v>0</v>
      </c>
      <c r="I14" s="59">
        <v>44881</v>
      </c>
      <c r="J14" s="59">
        <v>0</v>
      </c>
      <c r="K14" s="59">
        <v>0</v>
      </c>
      <c r="L14" s="59"/>
      <c r="M14" s="59"/>
      <c r="N14" s="59"/>
      <c r="O14" s="59"/>
      <c r="P14" s="59">
        <v>0</v>
      </c>
      <c r="Q14" s="69">
        <f>E14</f>
        <v>125065.98</v>
      </c>
      <c r="R14" s="58"/>
      <c r="S14" s="59">
        <v>196419</v>
      </c>
      <c r="T14" s="46" t="s">
        <v>93</v>
      </c>
    </row>
    <row r="15" spans="1:20" ht="16.5" x14ac:dyDescent="0.25">
      <c r="A15" s="58"/>
      <c r="B15" s="66"/>
      <c r="C15" s="67"/>
      <c r="D15" s="70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91"/>
      <c r="R15" s="58"/>
      <c r="S15" s="59">
        <v>198000</v>
      </c>
      <c r="T15" s="46" t="s">
        <v>97</v>
      </c>
    </row>
    <row r="16" spans="1:20" s="47" customFormat="1" ht="16.5" x14ac:dyDescent="0.25">
      <c r="A16" s="61">
        <v>55331</v>
      </c>
      <c r="B16" s="62"/>
      <c r="C16" s="63"/>
      <c r="D16" s="62"/>
      <c r="E16" s="62"/>
      <c r="F16" s="62"/>
      <c r="G16" s="62"/>
      <c r="H16" s="64"/>
      <c r="I16" s="62"/>
      <c r="J16" s="64"/>
      <c r="K16" s="64"/>
      <c r="L16" s="64"/>
      <c r="M16" s="64"/>
      <c r="N16" s="64"/>
      <c r="O16" s="64"/>
      <c r="P16" s="64"/>
      <c r="Q16" s="62"/>
      <c r="R16" s="65">
        <f>A16</f>
        <v>55331</v>
      </c>
      <c r="S16" s="62"/>
      <c r="T16" s="62"/>
    </row>
    <row r="17" spans="1:20" ht="33" x14ac:dyDescent="0.25">
      <c r="A17" s="61">
        <v>55331</v>
      </c>
      <c r="B17" s="66" t="s">
        <v>10</v>
      </c>
      <c r="C17" s="67">
        <v>44985</v>
      </c>
      <c r="D17" s="68">
        <v>3</v>
      </c>
      <c r="E17" s="59">
        <v>138065.78</v>
      </c>
      <c r="F17" s="59">
        <v>13487</v>
      </c>
      <c r="G17" s="59">
        <f>E17-F17</f>
        <v>124578.78</v>
      </c>
      <c r="H17" s="59">
        <f>ROUND(G17*H6,0)</f>
        <v>22424</v>
      </c>
      <c r="I17" s="59">
        <f>G17+H17</f>
        <v>147002.78</v>
      </c>
      <c r="J17" s="59">
        <f>ROUND(G17*$J$6,)</f>
        <v>1246</v>
      </c>
      <c r="K17" s="59">
        <f>ROUND(G17*$K$6,)</f>
        <v>6229</v>
      </c>
      <c r="L17" s="59">
        <f>ROUND(G17*10%,)</f>
        <v>12458</v>
      </c>
      <c r="M17" s="59">
        <f>ROUND(G17*$M$6,)</f>
        <v>12458</v>
      </c>
      <c r="N17" s="59">
        <v>250</v>
      </c>
      <c r="O17" s="59"/>
      <c r="P17" s="69">
        <f>H17</f>
        <v>22424</v>
      </c>
      <c r="Q17" s="59">
        <f>ROUND(I17-SUM(J17:P17),0)</f>
        <v>91938</v>
      </c>
      <c r="R17" s="58"/>
      <c r="S17" s="59">
        <v>91938</v>
      </c>
      <c r="T17" s="46" t="s">
        <v>11</v>
      </c>
    </row>
    <row r="18" spans="1:20" ht="16.5" x14ac:dyDescent="0.25">
      <c r="A18" s="61">
        <v>55331</v>
      </c>
      <c r="B18" s="66" t="s">
        <v>9</v>
      </c>
      <c r="C18" s="67">
        <v>45035</v>
      </c>
      <c r="D18" s="70">
        <v>3</v>
      </c>
      <c r="E18" s="59">
        <f>H17</f>
        <v>22424</v>
      </c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69">
        <f>E18</f>
        <v>22424</v>
      </c>
      <c r="R18" s="58"/>
      <c r="S18" s="59">
        <v>22424</v>
      </c>
      <c r="T18" s="46" t="s">
        <v>12</v>
      </c>
    </row>
    <row r="19" spans="1:20" ht="16.5" x14ac:dyDescent="0.25">
      <c r="A19" s="58"/>
      <c r="B19" s="66"/>
      <c r="C19" s="67"/>
      <c r="D19" s="70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8"/>
      <c r="S19" s="59"/>
      <c r="T19" s="46"/>
    </row>
    <row r="20" spans="1:20" s="47" customFormat="1" ht="16.5" x14ac:dyDescent="0.25">
      <c r="A20" s="61">
        <v>53295</v>
      </c>
      <c r="B20" s="62"/>
      <c r="C20" s="63"/>
      <c r="D20" s="62"/>
      <c r="E20" s="62"/>
      <c r="F20" s="62"/>
      <c r="G20" s="62"/>
      <c r="H20" s="64"/>
      <c r="I20" s="62"/>
      <c r="J20" s="64"/>
      <c r="K20" s="64"/>
      <c r="L20" s="64"/>
      <c r="M20" s="64"/>
      <c r="N20" s="64"/>
      <c r="O20" s="64"/>
      <c r="P20" s="64"/>
      <c r="Q20" s="62"/>
      <c r="R20" s="65">
        <f>A20</f>
        <v>53295</v>
      </c>
      <c r="S20" s="62"/>
      <c r="T20" s="62"/>
    </row>
    <row r="21" spans="1:20" ht="16.5" x14ac:dyDescent="0.25">
      <c r="A21" s="61">
        <v>53295</v>
      </c>
      <c r="B21" s="59" t="s">
        <v>13</v>
      </c>
      <c r="C21" s="60">
        <v>45027</v>
      </c>
      <c r="D21" s="70">
        <v>1</v>
      </c>
      <c r="E21" s="59">
        <v>796616</v>
      </c>
      <c r="F21" s="59">
        <v>58442</v>
      </c>
      <c r="G21" s="59">
        <f>E21-F21</f>
        <v>738174</v>
      </c>
      <c r="H21" s="59">
        <f>G21*18%</f>
        <v>132871.32</v>
      </c>
      <c r="I21" s="59">
        <f>G21+H21</f>
        <v>871045.32000000007</v>
      </c>
      <c r="J21" s="59">
        <f>G21*1%</f>
        <v>7381.74</v>
      </c>
      <c r="K21" s="59">
        <f>G21*5%</f>
        <v>36908.700000000004</v>
      </c>
      <c r="L21" s="59">
        <f>G21*10%</f>
        <v>73817.400000000009</v>
      </c>
      <c r="M21" s="59">
        <f>G21*10%</f>
        <v>73817.400000000009</v>
      </c>
      <c r="N21" s="59">
        <v>315423</v>
      </c>
      <c r="O21" s="59"/>
      <c r="P21" s="69">
        <f>H21</f>
        <v>132871.32</v>
      </c>
      <c r="Q21" s="59">
        <f>I21-SUM(J21:P21)</f>
        <v>230825.76</v>
      </c>
      <c r="R21" s="58"/>
      <c r="S21" s="59">
        <v>198000</v>
      </c>
      <c r="T21" s="46" t="s">
        <v>14</v>
      </c>
    </row>
    <row r="22" spans="1:20" ht="16.5" x14ac:dyDescent="0.25">
      <c r="A22" s="61">
        <v>53295</v>
      </c>
      <c r="B22" s="66" t="s">
        <v>21</v>
      </c>
      <c r="C22" s="67">
        <v>45097</v>
      </c>
      <c r="D22" s="70">
        <v>1</v>
      </c>
      <c r="E22" s="59">
        <v>132871</v>
      </c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69">
        <v>132871</v>
      </c>
      <c r="R22" s="58"/>
      <c r="S22" s="59">
        <v>198000</v>
      </c>
      <c r="T22" s="46" t="s">
        <v>15</v>
      </c>
    </row>
    <row r="23" spans="1:20" ht="16.5" x14ac:dyDescent="0.25">
      <c r="A23" s="61">
        <v>53295</v>
      </c>
      <c r="B23" s="59" t="s">
        <v>13</v>
      </c>
      <c r="C23" s="60">
        <v>45290</v>
      </c>
      <c r="D23" s="70">
        <v>6</v>
      </c>
      <c r="E23" s="59">
        <v>686667</v>
      </c>
      <c r="F23" s="59">
        <v>300000</v>
      </c>
      <c r="G23" s="59">
        <f>E23-F23</f>
        <v>386667</v>
      </c>
      <c r="H23" s="59">
        <f>G23*18%</f>
        <v>69600.06</v>
      </c>
      <c r="I23" s="59">
        <f>G23+H23</f>
        <v>456267.06</v>
      </c>
      <c r="J23" s="59">
        <f>G23*1%</f>
        <v>3866.67</v>
      </c>
      <c r="K23" s="59">
        <f>G23*5%</f>
        <v>19333.350000000002</v>
      </c>
      <c r="L23" s="59">
        <f>G23*10%</f>
        <v>38666.700000000004</v>
      </c>
      <c r="M23" s="59">
        <f>G23*10%</f>
        <v>38666.700000000004</v>
      </c>
      <c r="N23" s="59">
        <v>474056</v>
      </c>
      <c r="O23" s="59"/>
      <c r="P23" s="69">
        <f>H23</f>
        <v>69600.06</v>
      </c>
      <c r="Q23" s="59">
        <f>I23-SUM(J23:P23)</f>
        <v>-187922.41999999998</v>
      </c>
      <c r="R23" s="58"/>
      <c r="S23" s="59">
        <v>247500</v>
      </c>
      <c r="T23" s="46" t="s">
        <v>22</v>
      </c>
    </row>
    <row r="24" spans="1:20" ht="16.5" x14ac:dyDescent="0.25">
      <c r="A24" s="61">
        <v>53295</v>
      </c>
      <c r="B24" s="59" t="s">
        <v>21</v>
      </c>
      <c r="C24" s="60"/>
      <c r="D24" s="70">
        <v>6</v>
      </c>
      <c r="E24" s="59">
        <f>P23</f>
        <v>69600.06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69">
        <f>E24</f>
        <v>69600.06</v>
      </c>
      <c r="R24" s="58"/>
      <c r="S24" s="59">
        <v>132871</v>
      </c>
      <c r="T24" s="46" t="s">
        <v>23</v>
      </c>
    </row>
    <row r="25" spans="1:20" ht="16.5" x14ac:dyDescent="0.25">
      <c r="A25" s="61">
        <v>53295</v>
      </c>
      <c r="B25" s="59"/>
      <c r="C25" s="60"/>
      <c r="D25" s="70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8"/>
      <c r="S25" s="59">
        <v>99000</v>
      </c>
      <c r="T25" s="46" t="s">
        <v>29</v>
      </c>
    </row>
    <row r="26" spans="1:20" ht="16.5" x14ac:dyDescent="0.25">
      <c r="A26" s="61">
        <v>53295</v>
      </c>
      <c r="B26" s="59"/>
      <c r="C26" s="60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8"/>
      <c r="S26" s="59">
        <v>69600</v>
      </c>
      <c r="T26" s="46" t="s">
        <v>98</v>
      </c>
    </row>
    <row r="27" spans="1:20" ht="16.5" x14ac:dyDescent="0.25">
      <c r="A27" s="58"/>
      <c r="B27" s="59"/>
      <c r="C27" s="60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8"/>
      <c r="S27" s="59"/>
      <c r="T27" s="46"/>
    </row>
    <row r="28" spans="1:20" s="47" customFormat="1" ht="16.5" x14ac:dyDescent="0.25">
      <c r="A28" s="61">
        <v>57268</v>
      </c>
      <c r="B28" s="62"/>
      <c r="C28" s="63"/>
      <c r="D28" s="62"/>
      <c r="E28" s="62"/>
      <c r="F28" s="62"/>
      <c r="G28" s="62"/>
      <c r="H28" s="64"/>
      <c r="I28" s="62"/>
      <c r="J28" s="64"/>
      <c r="K28" s="64"/>
      <c r="L28" s="64"/>
      <c r="M28" s="64"/>
      <c r="N28" s="64"/>
      <c r="O28" s="64"/>
      <c r="P28" s="64"/>
      <c r="Q28" s="62"/>
      <c r="R28" s="65">
        <f>A28</f>
        <v>57268</v>
      </c>
      <c r="S28" s="62"/>
      <c r="T28" s="62"/>
    </row>
    <row r="29" spans="1:20" ht="37.5" x14ac:dyDescent="0.25">
      <c r="A29" s="61">
        <v>57268</v>
      </c>
      <c r="B29" s="71" t="s">
        <v>16</v>
      </c>
      <c r="C29" s="67">
        <v>45055</v>
      </c>
      <c r="D29" s="70">
        <v>3</v>
      </c>
      <c r="E29" s="59">
        <v>764852</v>
      </c>
      <c r="F29" s="59">
        <v>76424</v>
      </c>
      <c r="G29" s="59">
        <f>E29-F29</f>
        <v>688428</v>
      </c>
      <c r="H29" s="59">
        <f>G29*18%</f>
        <v>123917.04</v>
      </c>
      <c r="I29" s="59">
        <v>703845</v>
      </c>
      <c r="J29" s="59">
        <f>G29*1%</f>
        <v>6884.28</v>
      </c>
      <c r="K29" s="59">
        <f>G29*5%</f>
        <v>34421.4</v>
      </c>
      <c r="L29" s="59">
        <f>G29*5%</f>
        <v>34421.4</v>
      </c>
      <c r="M29" s="59">
        <f>G29*10%</f>
        <v>68842.8</v>
      </c>
      <c r="N29" s="59">
        <v>62843</v>
      </c>
      <c r="O29" s="59"/>
      <c r="P29" s="69">
        <f>H29</f>
        <v>123917.04</v>
      </c>
      <c r="Q29" s="59">
        <v>481015</v>
      </c>
      <c r="R29" s="58"/>
      <c r="S29" s="59">
        <v>481016</v>
      </c>
      <c r="T29" s="46" t="s">
        <v>17</v>
      </c>
    </row>
    <row r="30" spans="1:20" ht="16.5" x14ac:dyDescent="0.25">
      <c r="A30" s="61">
        <v>57268</v>
      </c>
      <c r="B30" s="59" t="s">
        <v>16</v>
      </c>
      <c r="C30" s="60">
        <v>45105</v>
      </c>
      <c r="D30" s="70">
        <v>4</v>
      </c>
      <c r="E30" s="59">
        <v>596479</v>
      </c>
      <c r="F30" s="59">
        <v>0</v>
      </c>
      <c r="G30" s="59">
        <f>E30-F30</f>
        <v>596479</v>
      </c>
      <c r="H30" s="59">
        <f>G30*18%</f>
        <v>107366.22</v>
      </c>
      <c r="I30" s="59">
        <v>703845</v>
      </c>
      <c r="J30" s="59">
        <f>G30*1%</f>
        <v>5964.79</v>
      </c>
      <c r="K30" s="59">
        <f>G30*5%</f>
        <v>29823.95</v>
      </c>
      <c r="L30" s="59">
        <f>G30*5%</f>
        <v>29823.95</v>
      </c>
      <c r="M30" s="59">
        <f>G30*10%</f>
        <v>59647.9</v>
      </c>
      <c r="N30" s="59">
        <v>88159.5</v>
      </c>
      <c r="O30" s="59">
        <v>4600</v>
      </c>
      <c r="P30" s="69">
        <f>H30</f>
        <v>107366.22</v>
      </c>
      <c r="Q30" s="59">
        <f>I30-SUM(J30:P30)</f>
        <v>378458.69</v>
      </c>
      <c r="R30" s="58"/>
      <c r="S30" s="59">
        <v>378459</v>
      </c>
      <c r="T30" s="46" t="s">
        <v>19</v>
      </c>
    </row>
    <row r="31" spans="1:20" ht="18.75" x14ac:dyDescent="0.25">
      <c r="A31" s="61">
        <v>57268</v>
      </c>
      <c r="B31" s="71" t="s">
        <v>25</v>
      </c>
      <c r="C31" s="72">
        <v>45125</v>
      </c>
      <c r="D31" s="70" t="s">
        <v>26</v>
      </c>
      <c r="E31" s="59">
        <v>231283</v>
      </c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69">
        <f>E31</f>
        <v>231283</v>
      </c>
      <c r="R31" s="58"/>
      <c r="S31" s="59">
        <v>231283</v>
      </c>
      <c r="T31" s="46" t="s">
        <v>27</v>
      </c>
    </row>
    <row r="32" spans="1:20" ht="18.75" x14ac:dyDescent="0.25">
      <c r="A32" s="58"/>
      <c r="B32" s="71"/>
      <c r="C32" s="72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8"/>
      <c r="S32" s="59"/>
      <c r="T32" s="46"/>
    </row>
    <row r="33" spans="1:20" s="47" customFormat="1" ht="16.5" x14ac:dyDescent="0.25">
      <c r="A33" s="61">
        <v>59289</v>
      </c>
      <c r="B33" s="62"/>
      <c r="C33" s="63"/>
      <c r="D33" s="62"/>
      <c r="E33" s="62"/>
      <c r="F33" s="62"/>
      <c r="G33" s="62"/>
      <c r="H33" s="64"/>
      <c r="I33" s="62"/>
      <c r="J33" s="64"/>
      <c r="K33" s="64"/>
      <c r="L33" s="64"/>
      <c r="M33" s="64"/>
      <c r="N33" s="64"/>
      <c r="O33" s="64"/>
      <c r="P33" s="64"/>
      <c r="Q33" s="62"/>
      <c r="R33" s="65">
        <f>A33</f>
        <v>59289</v>
      </c>
      <c r="S33" s="62"/>
      <c r="T33" s="62"/>
    </row>
    <row r="34" spans="1:20" ht="37.5" x14ac:dyDescent="0.25">
      <c r="A34" s="61">
        <v>59289</v>
      </c>
      <c r="B34" s="71" t="s">
        <v>120</v>
      </c>
      <c r="C34" s="72">
        <v>45164</v>
      </c>
      <c r="D34" s="70">
        <v>5</v>
      </c>
      <c r="E34" s="59">
        <v>417415</v>
      </c>
      <c r="F34" s="59">
        <v>31468.5</v>
      </c>
      <c r="G34" s="59">
        <f>E34-F34</f>
        <v>385946.5</v>
      </c>
      <c r="H34" s="59">
        <f>ROUND(G34*18%,)</f>
        <v>69470</v>
      </c>
      <c r="I34" s="59">
        <f>G34+H34</f>
        <v>455416.5</v>
      </c>
      <c r="J34" s="59">
        <f>G34*$J$6</f>
        <v>3859.4650000000001</v>
      </c>
      <c r="K34" s="59">
        <f>G34*5%</f>
        <v>19297.325000000001</v>
      </c>
      <c r="L34" s="59">
        <f>G34*5%</f>
        <v>19297.325000000001</v>
      </c>
      <c r="M34" s="59">
        <f>G34*10%</f>
        <v>38594.65</v>
      </c>
      <c r="N34" s="59">
        <v>55881</v>
      </c>
      <c r="O34" s="59"/>
      <c r="P34" s="69">
        <f>H34</f>
        <v>69470</v>
      </c>
      <c r="Q34" s="59">
        <f>ROUND(I34-SUM(J34:P34),)</f>
        <v>249017</v>
      </c>
      <c r="R34" s="58"/>
      <c r="S34" s="59">
        <v>249018</v>
      </c>
      <c r="T34" s="46" t="s">
        <v>28</v>
      </c>
    </row>
    <row r="35" spans="1:20" ht="37.5" x14ac:dyDescent="0.25">
      <c r="A35" s="61">
        <v>59289</v>
      </c>
      <c r="B35" s="71" t="s">
        <v>120</v>
      </c>
      <c r="C35" s="72">
        <v>45290</v>
      </c>
      <c r="D35" s="70">
        <v>7</v>
      </c>
      <c r="E35" s="59">
        <v>1382409.25</v>
      </c>
      <c r="F35" s="59">
        <v>1300</v>
      </c>
      <c r="G35" s="59">
        <f>E35-F35</f>
        <v>1381109.25</v>
      </c>
      <c r="H35" s="59">
        <f>ROUND(G35*18%,)</f>
        <v>248600</v>
      </c>
      <c r="I35" s="59">
        <f>G35+H35</f>
        <v>1629709.25</v>
      </c>
      <c r="J35" s="59">
        <f>G35*$J$6</f>
        <v>13811.092500000001</v>
      </c>
      <c r="K35" s="59">
        <f>G35*5%</f>
        <v>69055.462500000009</v>
      </c>
      <c r="L35" s="59">
        <f>G35*10%</f>
        <v>138110.92500000002</v>
      </c>
      <c r="M35" s="59">
        <f>G35*10%</f>
        <v>138110.92500000002</v>
      </c>
      <c r="N35" s="59">
        <v>675991</v>
      </c>
      <c r="O35" s="59"/>
      <c r="P35" s="69">
        <f>H35</f>
        <v>248600</v>
      </c>
      <c r="Q35" s="59">
        <f>ROUND(I35-SUM(J35:P35),)</f>
        <v>346030</v>
      </c>
      <c r="R35" s="58"/>
      <c r="S35" s="59">
        <v>346030</v>
      </c>
      <c r="T35" s="46" t="s">
        <v>92</v>
      </c>
    </row>
    <row r="36" spans="1:20" ht="18.75" x14ac:dyDescent="0.25">
      <c r="A36" s="61">
        <v>59289</v>
      </c>
      <c r="B36" s="71" t="s">
        <v>25</v>
      </c>
      <c r="C36" s="72"/>
      <c r="D36" s="70">
        <v>5</v>
      </c>
      <c r="E36" s="59">
        <f>P34</f>
        <v>69470</v>
      </c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69">
        <f>E36</f>
        <v>69470</v>
      </c>
      <c r="R36" s="58"/>
      <c r="S36" s="59">
        <v>69470</v>
      </c>
      <c r="T36" s="46" t="s">
        <v>95</v>
      </c>
    </row>
    <row r="37" spans="1:20" ht="18.75" x14ac:dyDescent="0.25">
      <c r="A37" s="61">
        <v>59289</v>
      </c>
      <c r="B37" s="71" t="s">
        <v>25</v>
      </c>
      <c r="C37" s="72"/>
      <c r="D37" s="70">
        <v>7</v>
      </c>
      <c r="E37" s="59">
        <f>P35</f>
        <v>248600</v>
      </c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69">
        <f>E37</f>
        <v>248600</v>
      </c>
      <c r="R37" s="58"/>
      <c r="S37" s="59">
        <v>248600</v>
      </c>
      <c r="T37" s="46" t="s">
        <v>96</v>
      </c>
    </row>
    <row r="38" spans="1:20" ht="19.5" thickBot="1" x14ac:dyDescent="0.3">
      <c r="A38" s="61"/>
      <c r="B38" s="78"/>
      <c r="C38" s="79"/>
      <c r="D38" s="80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77"/>
      <c r="S38" s="81"/>
      <c r="T38" s="48"/>
    </row>
    <row r="39" spans="1:20" ht="18" x14ac:dyDescent="0.25">
      <c r="A39" s="49"/>
      <c r="B39" s="82"/>
      <c r="C39" s="83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49"/>
      <c r="S39" s="82"/>
      <c r="T39" s="82"/>
    </row>
    <row r="40" spans="1:20" ht="18" x14ac:dyDescent="0.25">
      <c r="A40" s="73"/>
      <c r="B40" s="59"/>
      <c r="C40" s="60"/>
      <c r="D40" s="59"/>
      <c r="E40" s="59"/>
      <c r="F40" s="59"/>
      <c r="G40" s="59"/>
      <c r="H40" s="59"/>
      <c r="I40" s="59"/>
      <c r="J40" s="59"/>
      <c r="K40" s="73"/>
      <c r="L40" s="73"/>
      <c r="M40" s="73"/>
      <c r="N40" s="73"/>
      <c r="O40" s="73"/>
      <c r="P40" s="73"/>
      <c r="Q40" s="73"/>
      <c r="R40" s="73"/>
      <c r="S40" s="73"/>
      <c r="T40" s="59"/>
    </row>
    <row r="41" spans="1:20" ht="18" x14ac:dyDescent="0.25">
      <c r="A41" s="73"/>
      <c r="B41" s="59"/>
      <c r="C41" s="6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73"/>
      <c r="S41" s="59"/>
      <c r="T41" s="59"/>
    </row>
    <row r="42" spans="1:20" ht="18.75" thickBot="1" x14ac:dyDescent="0.3">
      <c r="A42" s="74"/>
      <c r="B42" s="75"/>
      <c r="C42" s="7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4"/>
      <c r="S42" s="74"/>
      <c r="T42" s="75"/>
    </row>
    <row r="43" spans="1:20" ht="18" x14ac:dyDescent="0.25">
      <c r="A43" s="38"/>
      <c r="B43" s="44"/>
      <c r="C43" s="50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38"/>
      <c r="S43" s="44"/>
    </row>
    <row r="44" spans="1:20" ht="18" x14ac:dyDescent="0.25">
      <c r="A44" s="38"/>
      <c r="B44" s="44"/>
      <c r="C44" s="50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38"/>
      <c r="S44" s="44"/>
    </row>
    <row r="45" spans="1:20" ht="18.75" thickBot="1" x14ac:dyDescent="0.3">
      <c r="A45" s="38"/>
      <c r="B45" s="44"/>
      <c r="C45" s="50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38"/>
      <c r="S45" s="44"/>
    </row>
    <row r="46" spans="1:20" ht="15.75" thickBot="1" x14ac:dyDescent="0.3">
      <c r="J46" s="99"/>
      <c r="K46" s="100"/>
      <c r="L46" s="100"/>
      <c r="M46" s="101"/>
    </row>
    <row r="47" spans="1:20" x14ac:dyDescent="0.25">
      <c r="A47" s="34"/>
      <c r="B47" s="51"/>
      <c r="J47" s="102"/>
      <c r="K47" s="100"/>
      <c r="L47" s="100"/>
      <c r="M47" s="101"/>
    </row>
    <row r="48" spans="1:20" x14ac:dyDescent="0.25">
      <c r="A48" s="34"/>
      <c r="B48" s="51"/>
      <c r="J48" s="52"/>
      <c r="K48" s="53"/>
      <c r="L48" s="109"/>
      <c r="M48" s="110"/>
    </row>
    <row r="49" spans="1:13" x14ac:dyDescent="0.25">
      <c r="A49" s="34"/>
      <c r="B49" s="51"/>
      <c r="J49" s="52"/>
      <c r="K49" s="53"/>
      <c r="L49" s="109"/>
      <c r="M49" s="110"/>
    </row>
    <row r="50" spans="1:13" x14ac:dyDescent="0.25">
      <c r="A50" s="34"/>
      <c r="B50" s="51"/>
      <c r="J50" s="52"/>
      <c r="K50" s="53"/>
      <c r="L50" s="107"/>
      <c r="M50" s="108"/>
    </row>
    <row r="51" spans="1:13" ht="15.75" thickBot="1" x14ac:dyDescent="0.3">
      <c r="A51" s="34"/>
      <c r="B51" s="51"/>
      <c r="J51" s="54"/>
      <c r="K51" s="55"/>
      <c r="L51" s="105"/>
      <c r="M51" s="106"/>
    </row>
    <row r="52" spans="1:13" ht="15.75" thickBot="1" x14ac:dyDescent="0.3">
      <c r="A52" s="34"/>
      <c r="B52" s="51"/>
      <c r="J52" s="54"/>
      <c r="K52" s="55"/>
      <c r="L52" s="103"/>
      <c r="M52" s="104"/>
    </row>
  </sheetData>
  <mergeCells count="7">
    <mergeCell ref="J46:M46"/>
    <mergeCell ref="J47:M47"/>
    <mergeCell ref="L52:M52"/>
    <mergeCell ref="L51:M51"/>
    <mergeCell ref="L50:M50"/>
    <mergeCell ref="L49:M49"/>
    <mergeCell ref="L48:M48"/>
  </mergeCells>
  <pageMargins left="0.11811023622047245" right="0.11811023622047245" top="0.74803149606299213" bottom="0.74803149606299213" header="0.31496062992125984" footer="0.31496062992125984"/>
  <pageSetup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topLeftCell="C1" workbookViewId="0">
      <selection activeCell="J2" sqref="J2:J5"/>
    </sheetView>
  </sheetViews>
  <sheetFormatPr defaultColWidth="9.140625" defaultRowHeight="15" x14ac:dyDescent="0.25"/>
  <cols>
    <col min="1" max="1" width="5.85546875" customWidth="1"/>
    <col min="2" max="2" width="11.5703125" customWidth="1"/>
    <col min="3" max="3" width="10.28515625" customWidth="1"/>
    <col min="4" max="4" width="35.140625" customWidth="1"/>
    <col min="5" max="5" width="12" customWidth="1"/>
    <col min="6" max="6" width="10.140625" customWidth="1"/>
    <col min="7" max="8" width="11.42578125" customWidth="1"/>
    <col min="9" max="9" width="12.140625" customWidth="1"/>
    <col min="10" max="10" width="12.5703125" customWidth="1"/>
    <col min="11" max="11" width="22" customWidth="1"/>
    <col min="12" max="12" width="16.140625" customWidth="1"/>
    <col min="13" max="13" width="26.85546875" customWidth="1"/>
    <col min="14" max="14" width="34.7109375" customWidth="1"/>
    <col min="15" max="15" width="33.28515625" customWidth="1"/>
  </cols>
  <sheetData>
    <row r="1" spans="1:14" s="8" customFormat="1" ht="32.25" thickBot="1" x14ac:dyDescent="0.3">
      <c r="A1" s="3" t="s">
        <v>30</v>
      </c>
      <c r="B1" s="4" t="s">
        <v>32</v>
      </c>
      <c r="C1" s="4" t="s">
        <v>33</v>
      </c>
      <c r="D1" s="5" t="s">
        <v>34</v>
      </c>
      <c r="E1" s="4" t="s">
        <v>35</v>
      </c>
      <c r="F1" s="4" t="s">
        <v>36</v>
      </c>
      <c r="G1" s="4" t="s">
        <v>37</v>
      </c>
      <c r="H1" s="4"/>
      <c r="I1" s="4" t="s">
        <v>38</v>
      </c>
      <c r="J1" s="4" t="s">
        <v>39</v>
      </c>
      <c r="K1" s="6" t="s">
        <v>40</v>
      </c>
      <c r="L1" s="6" t="s">
        <v>41</v>
      </c>
      <c r="M1" s="7" t="s">
        <v>42</v>
      </c>
    </row>
    <row r="2" spans="1:14" s="8" customFormat="1" ht="15.75" x14ac:dyDescent="0.25">
      <c r="A2" s="9">
        <v>557</v>
      </c>
      <c r="B2" s="10" t="s">
        <v>43</v>
      </c>
      <c r="C2" s="9">
        <v>5606</v>
      </c>
      <c r="D2" s="9" t="s">
        <v>44</v>
      </c>
      <c r="E2" s="11">
        <v>200</v>
      </c>
      <c r="F2" s="9">
        <f t="shared" ref="F2:F5" si="0">E2*50/1000</f>
        <v>10</v>
      </c>
      <c r="G2" s="12">
        <v>5781.25</v>
      </c>
      <c r="H2" s="13">
        <f t="shared" ref="H2:H5" si="1">F2*G2</f>
        <v>57812.5</v>
      </c>
      <c r="I2" s="13">
        <f t="shared" ref="I2:I5" si="2">(F2*G2)*28%</f>
        <v>16187.500000000002</v>
      </c>
      <c r="J2" s="14">
        <f t="shared" ref="J2:J5" si="3">(F2*G2)+I2</f>
        <v>74000</v>
      </c>
      <c r="K2" s="15" t="s">
        <v>45</v>
      </c>
      <c r="L2" s="15" t="s">
        <v>46</v>
      </c>
      <c r="M2" s="15" t="s">
        <v>47</v>
      </c>
    </row>
    <row r="3" spans="1:14" s="8" customFormat="1" ht="15.75" x14ac:dyDescent="0.25">
      <c r="A3" s="9">
        <v>582</v>
      </c>
      <c r="B3" s="10" t="s">
        <v>48</v>
      </c>
      <c r="C3" s="9">
        <v>5644</v>
      </c>
      <c r="D3" s="9" t="s">
        <v>44</v>
      </c>
      <c r="E3" s="11">
        <v>200</v>
      </c>
      <c r="F3" s="9">
        <f t="shared" si="0"/>
        <v>10</v>
      </c>
      <c r="G3" s="12">
        <v>5781.25</v>
      </c>
      <c r="H3" s="13">
        <f t="shared" si="1"/>
        <v>57812.5</v>
      </c>
      <c r="I3" s="13">
        <f t="shared" si="2"/>
        <v>16187.500000000002</v>
      </c>
      <c r="J3" s="14">
        <f t="shared" si="3"/>
        <v>74000</v>
      </c>
      <c r="K3" s="15" t="s">
        <v>49</v>
      </c>
      <c r="L3" s="15" t="s">
        <v>46</v>
      </c>
      <c r="M3" s="15" t="s">
        <v>47</v>
      </c>
    </row>
    <row r="4" spans="1:14" s="8" customFormat="1" ht="15.75" x14ac:dyDescent="0.25">
      <c r="A4" s="9">
        <v>583</v>
      </c>
      <c r="B4" s="10" t="s">
        <v>48</v>
      </c>
      <c r="C4" s="9">
        <v>5646</v>
      </c>
      <c r="D4" s="9" t="s">
        <v>44</v>
      </c>
      <c r="E4" s="11">
        <v>100</v>
      </c>
      <c r="F4" s="9">
        <f t="shared" si="0"/>
        <v>5</v>
      </c>
      <c r="G4" s="12">
        <v>5781.25</v>
      </c>
      <c r="H4" s="13">
        <f t="shared" si="1"/>
        <v>28906.25</v>
      </c>
      <c r="I4" s="13">
        <f t="shared" si="2"/>
        <v>8093.7500000000009</v>
      </c>
      <c r="J4" s="14">
        <f t="shared" si="3"/>
        <v>37000</v>
      </c>
      <c r="K4" s="15" t="s">
        <v>45</v>
      </c>
      <c r="L4" s="15" t="s">
        <v>46</v>
      </c>
      <c r="M4" s="15" t="s">
        <v>47</v>
      </c>
    </row>
    <row r="5" spans="1:14" s="8" customFormat="1" ht="15.75" x14ac:dyDescent="0.25">
      <c r="A5" s="9">
        <v>615</v>
      </c>
      <c r="B5" s="10" t="s">
        <v>50</v>
      </c>
      <c r="C5" s="9">
        <v>6242</v>
      </c>
      <c r="D5" s="9" t="s">
        <v>44</v>
      </c>
      <c r="E5" s="11">
        <v>300</v>
      </c>
      <c r="F5" s="9">
        <f t="shared" si="0"/>
        <v>15</v>
      </c>
      <c r="G5" s="12">
        <v>5781.25</v>
      </c>
      <c r="H5" s="13">
        <f t="shared" si="1"/>
        <v>86718.75</v>
      </c>
      <c r="I5" s="13">
        <f t="shared" si="2"/>
        <v>24281.250000000004</v>
      </c>
      <c r="J5" s="14">
        <f t="shared" si="3"/>
        <v>111000</v>
      </c>
      <c r="K5" s="15" t="s">
        <v>49</v>
      </c>
      <c r="L5" s="15" t="s">
        <v>46</v>
      </c>
      <c r="M5" s="15" t="s">
        <v>47</v>
      </c>
      <c r="N5" s="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topLeftCell="H1" workbookViewId="0">
      <selection activeCell="H2" sqref="H2"/>
    </sheetView>
  </sheetViews>
  <sheetFormatPr defaultColWidth="9.140625" defaultRowHeight="15" x14ac:dyDescent="0.25"/>
  <cols>
    <col min="1" max="1" width="11.5703125" customWidth="1"/>
    <col min="2" max="2" width="13.85546875" customWidth="1"/>
    <col min="3" max="3" width="12.140625" bestFit="1" customWidth="1"/>
    <col min="4" max="4" width="34.5703125" customWidth="1"/>
    <col min="5" max="5" width="16.5703125" customWidth="1"/>
    <col min="6" max="6" width="21.140625" customWidth="1"/>
    <col min="7" max="7" width="18.140625" customWidth="1"/>
    <col min="8" max="8" width="18.28515625" customWidth="1"/>
    <col min="9" max="9" width="19.42578125" customWidth="1"/>
    <col min="10" max="10" width="44.42578125" customWidth="1"/>
    <col min="11" max="11" width="42.140625" customWidth="1"/>
    <col min="12" max="12" width="19.140625" customWidth="1"/>
    <col min="13" max="13" width="37.140625" customWidth="1"/>
    <col min="14" max="14" width="45.28515625" customWidth="1"/>
  </cols>
  <sheetData>
    <row r="1" spans="1:13" s="8" customFormat="1" ht="23.45" customHeight="1" thickBot="1" x14ac:dyDescent="0.3">
      <c r="A1" s="16" t="s">
        <v>52</v>
      </c>
      <c r="B1" s="17" t="s">
        <v>32</v>
      </c>
      <c r="C1" s="18" t="s">
        <v>33</v>
      </c>
      <c r="D1" s="18" t="s">
        <v>34</v>
      </c>
      <c r="E1" s="18" t="s">
        <v>53</v>
      </c>
      <c r="F1" s="18" t="s">
        <v>54</v>
      </c>
      <c r="G1" s="18" t="s">
        <v>55</v>
      </c>
      <c r="H1" s="18" t="s">
        <v>39</v>
      </c>
      <c r="I1" s="18" t="s">
        <v>56</v>
      </c>
      <c r="J1" s="18" t="s">
        <v>57</v>
      </c>
      <c r="K1" s="18" t="s">
        <v>40</v>
      </c>
      <c r="L1" s="18" t="s">
        <v>41</v>
      </c>
      <c r="M1" s="19" t="s">
        <v>58</v>
      </c>
    </row>
    <row r="2" spans="1:13" s="8" customFormat="1" ht="15.75" x14ac:dyDescent="0.25">
      <c r="A2" s="20">
        <v>2</v>
      </c>
      <c r="B2" s="10" t="s">
        <v>59</v>
      </c>
      <c r="C2" s="15">
        <v>1129</v>
      </c>
      <c r="D2" s="15" t="s">
        <v>4</v>
      </c>
      <c r="E2" s="21">
        <v>0</v>
      </c>
      <c r="F2" s="15">
        <v>2075</v>
      </c>
      <c r="G2" s="15">
        <v>89.91</v>
      </c>
      <c r="H2" s="15">
        <f t="shared" ref="H2:H15" si="0">E2*G2</f>
        <v>0</v>
      </c>
      <c r="I2" s="15"/>
      <c r="J2" s="22" t="s">
        <v>60</v>
      </c>
      <c r="K2" s="23" t="s">
        <v>61</v>
      </c>
      <c r="L2" s="15"/>
      <c r="M2" s="24"/>
    </row>
    <row r="3" spans="1:13" s="8" customFormat="1" ht="15.75" x14ac:dyDescent="0.25">
      <c r="A3" s="20">
        <v>230</v>
      </c>
      <c r="B3" s="10" t="s">
        <v>62</v>
      </c>
      <c r="C3" s="15">
        <v>1107</v>
      </c>
      <c r="D3" s="15" t="s">
        <v>4</v>
      </c>
      <c r="E3" s="21">
        <v>200</v>
      </c>
      <c r="F3" s="15">
        <v>2052</v>
      </c>
      <c r="G3" s="15">
        <v>89.91</v>
      </c>
      <c r="H3" s="15">
        <f t="shared" si="0"/>
        <v>17982</v>
      </c>
      <c r="I3" s="15"/>
      <c r="J3" s="25" t="s">
        <v>63</v>
      </c>
      <c r="K3" s="15" t="s">
        <v>64</v>
      </c>
      <c r="L3" s="26" t="s">
        <v>65</v>
      </c>
      <c r="M3" s="27" t="s">
        <v>66</v>
      </c>
    </row>
    <row r="4" spans="1:13" s="8" customFormat="1" ht="15.75" x14ac:dyDescent="0.25">
      <c r="A4" s="20">
        <v>244</v>
      </c>
      <c r="B4" s="10" t="s">
        <v>67</v>
      </c>
      <c r="C4" s="15">
        <v>2189</v>
      </c>
      <c r="D4" s="15" t="s">
        <v>4</v>
      </c>
      <c r="E4" s="21">
        <v>200</v>
      </c>
      <c r="F4" s="15">
        <v>1892</v>
      </c>
      <c r="G4" s="15">
        <v>89.91</v>
      </c>
      <c r="H4" s="15">
        <f t="shared" si="0"/>
        <v>17982</v>
      </c>
      <c r="I4" s="15"/>
      <c r="J4" s="22" t="s">
        <v>63</v>
      </c>
      <c r="K4" s="15" t="s">
        <v>68</v>
      </c>
      <c r="L4" s="26" t="s">
        <v>69</v>
      </c>
      <c r="M4" s="27" t="s">
        <v>70</v>
      </c>
    </row>
    <row r="5" spans="1:13" s="8" customFormat="1" ht="15.75" x14ac:dyDescent="0.25">
      <c r="A5" s="28">
        <v>349</v>
      </c>
      <c r="B5" s="10" t="s">
        <v>71</v>
      </c>
      <c r="C5" s="15">
        <v>2170</v>
      </c>
      <c r="D5" s="15" t="s">
        <v>4</v>
      </c>
      <c r="E5" s="21">
        <v>250</v>
      </c>
      <c r="F5" s="15">
        <v>1872</v>
      </c>
      <c r="G5" s="15">
        <v>89.91</v>
      </c>
      <c r="H5" s="15">
        <f t="shared" si="0"/>
        <v>22477.5</v>
      </c>
      <c r="I5" s="15"/>
      <c r="J5" s="25" t="s">
        <v>63</v>
      </c>
      <c r="K5" s="15" t="s">
        <v>68</v>
      </c>
      <c r="L5" s="26" t="s">
        <v>69</v>
      </c>
      <c r="M5" s="27" t="s">
        <v>70</v>
      </c>
    </row>
    <row r="6" spans="1:13" s="8" customFormat="1" ht="15.75" x14ac:dyDescent="0.25">
      <c r="A6" s="20">
        <v>574</v>
      </c>
      <c r="B6" s="10" t="s">
        <v>72</v>
      </c>
      <c r="C6" s="15">
        <v>698</v>
      </c>
      <c r="D6" s="15" t="s">
        <v>4</v>
      </c>
      <c r="E6" s="21">
        <v>200</v>
      </c>
      <c r="F6" s="15">
        <v>2126</v>
      </c>
      <c r="G6" s="15">
        <v>89.91</v>
      </c>
      <c r="H6" s="15">
        <f t="shared" si="0"/>
        <v>17982</v>
      </c>
      <c r="I6" s="15"/>
      <c r="J6" s="23" t="s">
        <v>63</v>
      </c>
      <c r="K6" s="15" t="s">
        <v>64</v>
      </c>
      <c r="L6" s="26" t="s">
        <v>65</v>
      </c>
      <c r="M6" s="27" t="s">
        <v>66</v>
      </c>
    </row>
    <row r="7" spans="1:13" s="8" customFormat="1" ht="15.75" x14ac:dyDescent="0.25">
      <c r="A7" s="20">
        <v>710</v>
      </c>
      <c r="B7" s="10" t="s">
        <v>73</v>
      </c>
      <c r="C7" s="15">
        <v>2026</v>
      </c>
      <c r="D7" s="15" t="s">
        <v>4</v>
      </c>
      <c r="E7" s="21">
        <v>200</v>
      </c>
      <c r="F7" s="29">
        <v>2346</v>
      </c>
      <c r="G7" s="15">
        <v>89.91</v>
      </c>
      <c r="H7" s="15">
        <f t="shared" si="0"/>
        <v>17982</v>
      </c>
      <c r="I7" s="15"/>
      <c r="J7" s="23" t="s">
        <v>63</v>
      </c>
      <c r="K7" s="15" t="s">
        <v>68</v>
      </c>
      <c r="L7" s="26" t="s">
        <v>69</v>
      </c>
      <c r="M7" s="27" t="s">
        <v>70</v>
      </c>
    </row>
    <row r="8" spans="1:13" s="8" customFormat="1" ht="15.75" x14ac:dyDescent="0.25">
      <c r="A8" s="28">
        <v>803</v>
      </c>
      <c r="B8" s="10" t="s">
        <v>74</v>
      </c>
      <c r="C8" s="15">
        <v>2465</v>
      </c>
      <c r="D8" s="15" t="s">
        <v>4</v>
      </c>
      <c r="E8" s="21">
        <v>150</v>
      </c>
      <c r="F8" s="29">
        <v>1714</v>
      </c>
      <c r="G8" s="15">
        <v>89.91</v>
      </c>
      <c r="H8" s="15">
        <f t="shared" si="0"/>
        <v>13486.5</v>
      </c>
      <c r="I8" s="15"/>
      <c r="J8" s="23" t="s">
        <v>63</v>
      </c>
      <c r="K8" s="15" t="s">
        <v>75</v>
      </c>
      <c r="L8" s="15" t="s">
        <v>76</v>
      </c>
      <c r="M8" s="24" t="s">
        <v>77</v>
      </c>
    </row>
    <row r="9" spans="1:13" s="8" customFormat="1" ht="15.75" x14ac:dyDescent="0.25">
      <c r="A9" s="28">
        <v>999</v>
      </c>
      <c r="B9" s="10" t="s">
        <v>78</v>
      </c>
      <c r="C9" s="15">
        <v>3064</v>
      </c>
      <c r="D9" s="15" t="s">
        <v>4</v>
      </c>
      <c r="E9" s="21">
        <v>200</v>
      </c>
      <c r="F9" s="15">
        <v>164</v>
      </c>
      <c r="G9" s="15">
        <v>89.91</v>
      </c>
      <c r="H9" s="15">
        <f t="shared" si="0"/>
        <v>17982</v>
      </c>
      <c r="I9" s="15"/>
      <c r="J9" s="25" t="s">
        <v>63</v>
      </c>
      <c r="K9" s="15" t="s">
        <v>79</v>
      </c>
      <c r="L9" s="15" t="s">
        <v>80</v>
      </c>
      <c r="M9" s="24"/>
    </row>
    <row r="10" spans="1:13" s="8" customFormat="1" ht="15.75" x14ac:dyDescent="0.25">
      <c r="A10" s="20">
        <v>1018</v>
      </c>
      <c r="B10" s="10" t="s">
        <v>81</v>
      </c>
      <c r="C10" s="15">
        <v>3097</v>
      </c>
      <c r="D10" s="15" t="s">
        <v>4</v>
      </c>
      <c r="E10" s="21">
        <v>200</v>
      </c>
      <c r="F10" s="15">
        <v>193</v>
      </c>
      <c r="G10" s="15">
        <v>89.91</v>
      </c>
      <c r="H10" s="15">
        <f t="shared" si="0"/>
        <v>17982</v>
      </c>
      <c r="I10" s="15"/>
      <c r="J10" s="25" t="s">
        <v>63</v>
      </c>
      <c r="K10" s="15" t="s">
        <v>79</v>
      </c>
      <c r="L10" s="15" t="s">
        <v>80</v>
      </c>
      <c r="M10" s="24"/>
    </row>
    <row r="11" spans="1:13" s="8" customFormat="1" ht="15.75" x14ac:dyDescent="0.25">
      <c r="A11" s="20">
        <v>1030</v>
      </c>
      <c r="B11" s="10" t="s">
        <v>82</v>
      </c>
      <c r="C11" s="15">
        <v>3021</v>
      </c>
      <c r="D11" s="15" t="s">
        <v>4</v>
      </c>
      <c r="E11" s="21">
        <v>150</v>
      </c>
      <c r="F11" s="15">
        <v>510</v>
      </c>
      <c r="G11" s="15">
        <v>89.91</v>
      </c>
      <c r="H11" s="15">
        <f t="shared" si="0"/>
        <v>13486.5</v>
      </c>
      <c r="I11" s="15"/>
      <c r="J11" s="23" t="s">
        <v>63</v>
      </c>
      <c r="K11" s="15" t="s">
        <v>79</v>
      </c>
      <c r="L11" s="15" t="s">
        <v>80</v>
      </c>
      <c r="M11" s="24"/>
    </row>
    <row r="12" spans="1:13" s="8" customFormat="1" ht="15.75" x14ac:dyDescent="0.25">
      <c r="A12" s="28">
        <v>1077</v>
      </c>
      <c r="B12" s="10" t="s">
        <v>83</v>
      </c>
      <c r="C12" s="15">
        <v>3774</v>
      </c>
      <c r="D12" s="15" t="s">
        <v>4</v>
      </c>
      <c r="E12" s="21">
        <v>150</v>
      </c>
      <c r="F12" s="15">
        <v>4690</v>
      </c>
      <c r="G12" s="15">
        <v>89.91</v>
      </c>
      <c r="H12" s="15">
        <f t="shared" si="0"/>
        <v>13486.5</v>
      </c>
      <c r="I12" s="15"/>
      <c r="J12" s="23" t="s">
        <v>63</v>
      </c>
      <c r="K12" s="15" t="s">
        <v>79</v>
      </c>
      <c r="L12" s="15" t="s">
        <v>80</v>
      </c>
      <c r="M12" s="24"/>
    </row>
    <row r="13" spans="1:13" s="8" customFormat="1" ht="15.75" x14ac:dyDescent="0.25">
      <c r="A13" s="28">
        <v>1085</v>
      </c>
      <c r="B13" s="10" t="s">
        <v>84</v>
      </c>
      <c r="C13" s="15">
        <v>3629</v>
      </c>
      <c r="D13" s="15" t="s">
        <v>4</v>
      </c>
      <c r="E13" s="21">
        <v>150</v>
      </c>
      <c r="F13" s="15">
        <v>4702</v>
      </c>
      <c r="G13" s="15">
        <v>89.91</v>
      </c>
      <c r="H13" s="15">
        <f t="shared" si="0"/>
        <v>13486.5</v>
      </c>
      <c r="I13" s="15"/>
      <c r="J13" s="23" t="s">
        <v>63</v>
      </c>
      <c r="K13" s="15" t="s">
        <v>79</v>
      </c>
      <c r="L13" s="15" t="s">
        <v>80</v>
      </c>
      <c r="M13" s="24"/>
    </row>
    <row r="14" spans="1:13" s="8" customFormat="1" ht="15.75" x14ac:dyDescent="0.25">
      <c r="A14" s="28">
        <v>1247</v>
      </c>
      <c r="B14" s="10" t="s">
        <v>85</v>
      </c>
      <c r="C14" s="15">
        <v>3161</v>
      </c>
      <c r="D14" s="15" t="s">
        <v>4</v>
      </c>
      <c r="E14" s="30">
        <v>150</v>
      </c>
      <c r="F14" s="31">
        <v>3470</v>
      </c>
      <c r="G14" s="32">
        <v>89.91</v>
      </c>
      <c r="H14" s="15">
        <f t="shared" si="0"/>
        <v>13486.5</v>
      </c>
      <c r="I14" s="32"/>
      <c r="J14" s="25" t="s">
        <v>86</v>
      </c>
      <c r="K14" s="32" t="s">
        <v>87</v>
      </c>
      <c r="L14" s="32" t="s">
        <v>88</v>
      </c>
      <c r="M14" s="33" t="s">
        <v>89</v>
      </c>
    </row>
    <row r="15" spans="1:13" s="8" customFormat="1" ht="15.75" x14ac:dyDescent="0.25">
      <c r="A15" s="20">
        <v>1254</v>
      </c>
      <c r="B15" s="10" t="s">
        <v>90</v>
      </c>
      <c r="C15" s="15">
        <v>3167</v>
      </c>
      <c r="D15" s="15" t="s">
        <v>4</v>
      </c>
      <c r="E15" s="30">
        <v>200</v>
      </c>
      <c r="F15" s="31">
        <v>3480</v>
      </c>
      <c r="G15" s="32">
        <v>89.91</v>
      </c>
      <c r="H15" s="15">
        <f t="shared" si="0"/>
        <v>17982</v>
      </c>
      <c r="I15" s="32"/>
      <c r="J15" s="25" t="s">
        <v>63</v>
      </c>
      <c r="K15" s="32" t="s">
        <v>87</v>
      </c>
      <c r="L15" s="32" t="s">
        <v>91</v>
      </c>
      <c r="M15" s="3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Cement</vt:lpstr>
      <vt:lpstr>TMT</vt:lpstr>
      <vt:lpstr>Diesel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2024-01-25T10:51:36Z</cp:lastPrinted>
  <dcterms:created xsi:type="dcterms:W3CDTF">2022-06-10T14:11:52Z</dcterms:created>
  <dcterms:modified xsi:type="dcterms:W3CDTF">2025-05-31T08:48:34Z</dcterms:modified>
</cp:coreProperties>
</file>