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S S enterprises\"/>
    </mc:Choice>
  </mc:AlternateContent>
  <xr:revisionPtr revIDLastSave="0" documentId="13_ncr:1_{DF2FA5E4-5236-4696-AEC6-620EFB5845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1" l="1"/>
  <c r="J113" i="1" s="1"/>
  <c r="G119" i="1"/>
  <c r="K119" i="1" s="1"/>
  <c r="K113" i="1" l="1"/>
  <c r="N113" i="1"/>
  <c r="H113" i="1"/>
  <c r="O113" i="1" s="1"/>
  <c r="I113" i="1"/>
  <c r="N119" i="1"/>
  <c r="H119" i="1"/>
  <c r="O119" i="1" s="1"/>
  <c r="J119" i="1"/>
  <c r="I119" i="1" l="1"/>
  <c r="Q119" i="1" s="1"/>
  <c r="Q113" i="1"/>
  <c r="G58" i="1" l="1"/>
  <c r="J58" i="1" s="1"/>
  <c r="G82" i="1"/>
  <c r="J82" i="1" s="1"/>
  <c r="G116" i="1"/>
  <c r="K116" i="1" s="1"/>
  <c r="K58" i="1" l="1"/>
  <c r="H58" i="1"/>
  <c r="O58" i="1" s="1"/>
  <c r="K82" i="1"/>
  <c r="H82" i="1"/>
  <c r="O82" i="1" s="1"/>
  <c r="N116" i="1"/>
  <c r="H116" i="1"/>
  <c r="O116" i="1" s="1"/>
  <c r="J116" i="1"/>
  <c r="H86" i="1"/>
  <c r="I86" i="1" s="1"/>
  <c r="Q86" i="1" s="1"/>
  <c r="I58" i="1" l="1"/>
  <c r="Q58" i="1" s="1"/>
  <c r="I82" i="1"/>
  <c r="Q82" i="1" s="1"/>
  <c r="I116" i="1"/>
  <c r="Q116" i="1"/>
  <c r="G112" i="1"/>
  <c r="K112" i="1" s="1"/>
  <c r="G19" i="1"/>
  <c r="M19" i="1" s="1"/>
  <c r="G52" i="1"/>
  <c r="G33" i="1"/>
  <c r="J33" i="1" s="1"/>
  <c r="G109" i="1"/>
  <c r="H109" i="1" s="1"/>
  <c r="O109" i="1" s="1"/>
  <c r="G95" i="1"/>
  <c r="J95" i="1" s="1"/>
  <c r="H112" i="1" l="1"/>
  <c r="O112" i="1" s="1"/>
  <c r="J112" i="1"/>
  <c r="N112" i="1"/>
  <c r="K19" i="1"/>
  <c r="L19" i="1"/>
  <c r="J19" i="1"/>
  <c r="O19" i="1"/>
  <c r="E20" i="1" s="1"/>
  <c r="Q20" i="1" s="1"/>
  <c r="H19" i="1"/>
  <c r="I19" i="1" s="1"/>
  <c r="J52" i="1"/>
  <c r="K52" i="1"/>
  <c r="H52" i="1"/>
  <c r="O52" i="1" s="1"/>
  <c r="K33" i="1"/>
  <c r="H33" i="1"/>
  <c r="O33" i="1" s="1"/>
  <c r="N33" i="1"/>
  <c r="K109" i="1"/>
  <c r="J109" i="1"/>
  <c r="I109" i="1"/>
  <c r="N109" i="1"/>
  <c r="P95" i="1"/>
  <c r="K95" i="1"/>
  <c r="H95" i="1"/>
  <c r="O95" i="1" s="1"/>
  <c r="N95" i="1"/>
  <c r="G91" i="1"/>
  <c r="K91" i="1" s="1"/>
  <c r="I112" i="1" l="1"/>
  <c r="Q112" i="1"/>
  <c r="Q19" i="1"/>
  <c r="I33" i="1"/>
  <c r="Q33" i="1" s="1"/>
  <c r="I52" i="1"/>
  <c r="Q52" i="1" s="1"/>
  <c r="Q109" i="1"/>
  <c r="I95" i="1"/>
  <c r="Q95" i="1" s="1"/>
  <c r="J91" i="1"/>
  <c r="H91" i="1"/>
  <c r="O91" i="1" s="1"/>
  <c r="G103" i="1"/>
  <c r="H103" i="1" s="1"/>
  <c r="O103" i="1" s="1"/>
  <c r="I91" i="1" l="1"/>
  <c r="Q91" i="1" s="1"/>
  <c r="N103" i="1"/>
  <c r="I103" i="1"/>
  <c r="J103" i="1"/>
  <c r="K103" i="1"/>
  <c r="L103" i="1"/>
  <c r="M103" i="1"/>
  <c r="G108" i="1"/>
  <c r="N108" i="1" s="1"/>
  <c r="Q103" i="1" l="1"/>
  <c r="H108" i="1"/>
  <c r="O108" i="1" s="1"/>
  <c r="J108" i="1"/>
  <c r="K108" i="1"/>
  <c r="G107" i="1"/>
  <c r="P80" i="1"/>
  <c r="G80" i="1"/>
  <c r="K80" i="1" s="1"/>
  <c r="G100" i="1"/>
  <c r="J100" i="1" s="1"/>
  <c r="G51" i="1"/>
  <c r="G99" i="1"/>
  <c r="H99" i="1" s="1"/>
  <c r="G13" i="1"/>
  <c r="M13" i="1" s="1"/>
  <c r="Q14" i="1"/>
  <c r="Q65" i="1"/>
  <c r="Q94" i="1"/>
  <c r="Q32" i="1"/>
  <c r="I108" i="1" l="1"/>
  <c r="Q108" i="1" s="1"/>
  <c r="K107" i="1"/>
  <c r="J107" i="1"/>
  <c r="N107" i="1"/>
  <c r="H107" i="1"/>
  <c r="H100" i="1"/>
  <c r="H80" i="1"/>
  <c r="O80" i="1" s="1"/>
  <c r="E81" i="1" s="1"/>
  <c r="Q81" i="1" s="1"/>
  <c r="J80" i="1"/>
  <c r="K100" i="1"/>
  <c r="N100" i="1"/>
  <c r="H51" i="1"/>
  <c r="O51" i="1" s="1"/>
  <c r="K51" i="1"/>
  <c r="J51" i="1"/>
  <c r="K99" i="1"/>
  <c r="N99" i="1"/>
  <c r="O99" i="1"/>
  <c r="J99" i="1"/>
  <c r="L13" i="1"/>
  <c r="K13" i="1"/>
  <c r="H13" i="1"/>
  <c r="I13" i="1" s="1"/>
  <c r="J13" i="1"/>
  <c r="O13" i="1"/>
  <c r="G31" i="1"/>
  <c r="J31" i="1" s="1"/>
  <c r="O107" i="1" l="1"/>
  <c r="I107" i="1"/>
  <c r="I80" i="1"/>
  <c r="Q80" i="1" s="1"/>
  <c r="O100" i="1"/>
  <c r="E101" i="1" s="1"/>
  <c r="Q101" i="1" s="1"/>
  <c r="I51" i="1"/>
  <c r="Q51" i="1" s="1"/>
  <c r="I99" i="1"/>
  <c r="Q99" i="1" s="1"/>
  <c r="Q13" i="1"/>
  <c r="H31" i="1"/>
  <c r="O31" i="1" s="1"/>
  <c r="K31" i="1"/>
  <c r="N31" i="1"/>
  <c r="G90" i="1"/>
  <c r="I90" i="1" s="1"/>
  <c r="Q90" i="1" s="1"/>
  <c r="Q107" i="1" l="1"/>
  <c r="I100" i="1"/>
  <c r="Q100" i="1" s="1"/>
  <c r="I31" i="1"/>
  <c r="Q31" i="1" s="1"/>
  <c r="E93" i="1"/>
  <c r="G93" i="1" s="1"/>
  <c r="H93" i="1" s="1"/>
  <c r="J93" i="1" l="1"/>
  <c r="K93" i="1"/>
  <c r="O93" i="1"/>
  <c r="N93" i="1"/>
  <c r="I93" i="1" l="1"/>
  <c r="Q93" i="1" s="1"/>
  <c r="G64" i="1" l="1"/>
  <c r="K64" i="1" l="1"/>
  <c r="J64" i="1"/>
  <c r="H64" i="1"/>
  <c r="E89" i="1"/>
  <c r="G89" i="1" s="1"/>
  <c r="H89" i="1" s="1"/>
  <c r="O89" i="1" s="1"/>
  <c r="K89" i="1" l="1"/>
  <c r="J89" i="1"/>
  <c r="I64" i="1"/>
  <c r="Q64" i="1" s="1"/>
  <c r="Q78" i="1"/>
  <c r="P77" i="1"/>
  <c r="E77" i="1"/>
  <c r="G77" i="1" s="1"/>
  <c r="K77" i="1" s="1"/>
  <c r="I89" i="1" l="1"/>
  <c r="J77" i="1"/>
  <c r="H77" i="1"/>
  <c r="O77" i="1" s="1"/>
  <c r="I77" i="1" l="1"/>
  <c r="Q77" i="1" s="1"/>
  <c r="Q75" i="1" l="1"/>
  <c r="E74" i="1"/>
  <c r="G74" i="1" s="1"/>
  <c r="J74" i="1" l="1"/>
  <c r="K74" i="1"/>
  <c r="H74" i="1"/>
  <c r="O74" i="1" s="1"/>
  <c r="I74" i="1" l="1"/>
  <c r="Q74" i="1" s="1"/>
  <c r="Q72" i="1"/>
  <c r="G71" i="1"/>
  <c r="J71" i="1" s="1"/>
  <c r="K71" i="1" l="1"/>
  <c r="H71" i="1"/>
  <c r="O71" i="1" s="1"/>
  <c r="I71" i="1" l="1"/>
  <c r="Q71" i="1" s="1"/>
  <c r="G68" i="1" l="1"/>
  <c r="J68" i="1" s="1"/>
  <c r="K68" i="1" l="1"/>
  <c r="H68" i="1"/>
  <c r="O68" i="1" s="1"/>
  <c r="I68" i="1" l="1"/>
  <c r="Q68" i="1" s="1"/>
  <c r="G61" i="1"/>
  <c r="J61" i="1" s="1"/>
  <c r="H61" i="1" l="1"/>
  <c r="O61" i="1" s="1"/>
  <c r="K61" i="1"/>
  <c r="I61" i="1" l="1"/>
  <c r="Q61" i="1" s="1"/>
  <c r="Q57" i="1" l="1"/>
  <c r="G56" i="1"/>
  <c r="J56" i="1" s="1"/>
  <c r="K56" i="1" l="1"/>
  <c r="H56" i="1"/>
  <c r="O56" i="1" s="1"/>
  <c r="I56" i="1" l="1"/>
  <c r="Q56" i="1" s="1"/>
  <c r="Q50" i="1"/>
  <c r="E49" i="1"/>
  <c r="G49" i="1" s="1"/>
  <c r="K49" i="1" s="1"/>
  <c r="J49" i="1" l="1"/>
  <c r="H49" i="1"/>
  <c r="O49" i="1" s="1"/>
  <c r="I49" i="1" l="1"/>
  <c r="Q49" i="1" s="1"/>
  <c r="Q47" i="1" l="1"/>
  <c r="G46" i="1"/>
  <c r="J46" i="1" s="1"/>
  <c r="K46" i="1" l="1"/>
  <c r="H46" i="1"/>
  <c r="O46" i="1" s="1"/>
  <c r="I46" i="1" l="1"/>
  <c r="Q46" i="1" s="1"/>
  <c r="Q44" i="1"/>
  <c r="G43" i="1"/>
  <c r="H43" i="1" s="1"/>
  <c r="J43" i="1" l="1"/>
  <c r="K43" i="1"/>
  <c r="O43" i="1"/>
  <c r="I43" i="1"/>
  <c r="Q43" i="1" l="1"/>
  <c r="Q41" i="1" l="1"/>
  <c r="G40" i="1"/>
  <c r="J40" i="1" s="1"/>
  <c r="Q39" i="1"/>
  <c r="G38" i="1"/>
  <c r="J38" i="1" s="1"/>
  <c r="K38" i="1" l="1"/>
  <c r="H40" i="1"/>
  <c r="O40" i="1" s="1"/>
  <c r="K40" i="1"/>
  <c r="H38" i="1"/>
  <c r="O38" i="1" s="1"/>
  <c r="I38" i="1" l="1"/>
  <c r="Q38" i="1" s="1"/>
  <c r="I40" i="1"/>
  <c r="Q40" i="1" s="1"/>
  <c r="Q28" i="1" l="1"/>
  <c r="E27" i="1"/>
  <c r="G27" i="1" s="1"/>
  <c r="J27" i="1" l="1"/>
  <c r="H27" i="1"/>
  <c r="O27" i="1" s="1"/>
  <c r="K27" i="1"/>
  <c r="I27" i="1" l="1"/>
  <c r="Q27" i="1" s="1"/>
  <c r="Q24" i="1" l="1"/>
  <c r="G23" i="1"/>
  <c r="J23" i="1" s="1"/>
  <c r="K23" i="1" l="1"/>
  <c r="H23" i="1"/>
  <c r="O23" i="1" s="1"/>
  <c r="I23" i="1" l="1"/>
  <c r="Q23" i="1" s="1"/>
  <c r="Q18" i="1" l="1"/>
  <c r="Q17" i="1"/>
  <c r="I17" i="1"/>
  <c r="J17" i="1" s="1"/>
  <c r="G16" i="1"/>
  <c r="O16" i="1" s="1"/>
  <c r="G15" i="1"/>
  <c r="O15" i="1" s="1"/>
  <c r="P15" i="1" l="1"/>
  <c r="H16" i="1"/>
  <c r="I16" i="1" s="1"/>
  <c r="K16" i="1"/>
  <c r="K15" i="1"/>
  <c r="H15" i="1"/>
  <c r="I15" i="1" s="1"/>
  <c r="J15" i="1"/>
  <c r="P16" i="1"/>
  <c r="J16" i="1"/>
  <c r="Q9" i="1" l="1"/>
  <c r="E8" i="1" l="1"/>
  <c r="G8" i="1" l="1"/>
  <c r="K8" i="1" s="1"/>
  <c r="J8" i="1" l="1"/>
  <c r="G11" i="1" l="1"/>
  <c r="G10" i="1" l="1"/>
  <c r="I10" i="1" s="1"/>
  <c r="J10" i="1" s="1"/>
  <c r="H8" i="1" l="1"/>
  <c r="O8" i="1" l="1"/>
  <c r="I8" i="1"/>
  <c r="Q89" i="1" s="1"/>
  <c r="Q8" i="1" l="1"/>
</calcChain>
</file>

<file path=xl/sharedStrings.xml><?xml version="1.0" encoding="utf-8"?>
<sst xmlns="http://schemas.openxmlformats.org/spreadsheetml/2006/main" count="146" uniqueCount="119">
  <si>
    <t>Amount</t>
  </si>
  <si>
    <t>UTR</t>
  </si>
  <si>
    <t>Sandhiwali Village Pump House work</t>
  </si>
  <si>
    <t>18-01-2023 NEFT/AXISP00355710812/RIUP22/1899/S S ENTERPRISES ₹ 49,500.00</t>
  </si>
  <si>
    <t>10-03-2023 NEFT/AXISP00370314980/RIUP22/2540/S S ENTERPRISES 214981.00</t>
  </si>
  <si>
    <t>26-04-2023 26-04-2023 NEFT/AXISP00384417483/SPUP23/0255/S S ENTERPRISES 53491.00</t>
  </si>
  <si>
    <t>GST release note</t>
  </si>
  <si>
    <t xml:space="preserve">Sandhawali Village Pipe laying work </t>
  </si>
  <si>
    <t>28-02-2023 NEFT/AXISP00366230045/RIUP22/2345/S S ENTERPRISES 69300.00</t>
  </si>
  <si>
    <t>21-04-2023 NEFT/AXISP00383377302/SPUP23/0137/S S ENTERPRISES 77570.00</t>
  </si>
  <si>
    <t>21-04-2023 NEFT/AXISP00383377299/SPUP23/0178/S S ENTERPRISES 35726.00</t>
  </si>
  <si>
    <t>12-05-2023 NEFT/AXISP00389894111/RIUP23/186/S S ENTERPRISES 257028.00</t>
  </si>
  <si>
    <t>29-05-2023 NEFT/AXISP00393029895/RIUP23/414/S S ENTERPRISES 62520.00</t>
  </si>
  <si>
    <t xml:space="preserve">Garhi Durganpur village -Pump house work  </t>
  </si>
  <si>
    <t>18-01-2023 NEFT/AXISP00355710813/RIUP22/1900/S S ENTERPRISES ₹ 49,500.00</t>
  </si>
  <si>
    <t>29-03-2023 NEFT/AXISP00376153251/RIUP22/2762/S S ENTERPRISES 270540.00</t>
  </si>
  <si>
    <t>18-05-2023 NEFT/AXISP00391135618/RIUP23/260/S S ENTERPRISES 68580.00</t>
  </si>
  <si>
    <t>samouli Village Pump House work</t>
  </si>
  <si>
    <t>18-01-2023 NEFT/AXISP00355710814/RIUP22/1901/S S ENTERPRISES ₹ 49,500.00</t>
  </si>
  <si>
    <t>29-03-2023 NEFT/AXISP00376153256/RIUP22/2757/S S ENTERPRISES 238592.00</t>
  </si>
  <si>
    <t>26-04-2023 26-04-2023 NEFT/AXISP00384420631/SPUP23/0254/S S ENTERPRISES 58266.00</t>
  </si>
  <si>
    <t>27-03-2023 NEFT/AXISP00374579147/RIUP22/2744/S S ENTERPRISES 99000.00</t>
  </si>
  <si>
    <t xml:space="preserve">Khanpur village - Budhana -Pump house work  </t>
  </si>
  <si>
    <t>19-04-2023 19-04-2023 NEFT/AXISP00382928318/SPUP23/0149/S S ENTERPRISES 138600.00</t>
  </si>
  <si>
    <t>29-05-2023 NEFT/AXISP00393029891/RIUP23/410/S S ENTERPRISES 28031.00</t>
  </si>
  <si>
    <t>28-06-2023 NEFT/AXISP00401332309/RIUP23/821/S S ENTERPRISES 27180.00</t>
  </si>
  <si>
    <t>28-06-2023 NEFT/AXISP00401332310/RIUP23/822/S S ENTERPRISES 134390.00</t>
  </si>
  <si>
    <t>19-04-2023 19-04-2023 NEFT/AXISP00382928319/SPUP23/0143/S S ENTERPRISES 202955.00</t>
  </si>
  <si>
    <t>29-05-2023 NEFT/AXISP00393029893/RIUP23/412/S S ENTERPRISES 38864.00</t>
  </si>
  <si>
    <t>Palda Village - Pump house work</t>
  </si>
  <si>
    <t>19-04-2023 19-04-2023 NEFT/AXISP00382826210/SPUP23/0144/S S ENTERPRISES 318798.00</t>
  </si>
  <si>
    <t>29-05-2023 NEFT/AXISP00393029892/RIUP23/411/S S ENTERPRISES 64476.00</t>
  </si>
  <si>
    <t>Jaitpur Village Pump House work</t>
  </si>
  <si>
    <t>13-06-2023 NEFT/AXISP00398036691/RIUP23/625/S S ENTERPRISES 139199.00</t>
  </si>
  <si>
    <t>Badhai khurd Village - Boundary wall work</t>
  </si>
  <si>
    <t>27-06-2023 NEFT/AXISP00401130632/RIUP23/824/S S ENTERPRISES ₹ 54,799.00</t>
  </si>
  <si>
    <t>27-06-2023 NEFT/AXISP00401130633/RIUP23/823/S S ENTERPRISES ₹ 2,79,734.00</t>
  </si>
  <si>
    <t>simarthi Village - Boundary wall work</t>
  </si>
  <si>
    <t>30-06-2023 NEFT/AXISP00402152391/RIUP23/860/S S ENTERPRISES 274499.00</t>
  </si>
  <si>
    <t>Mandlai Village - Boundary wall work</t>
  </si>
  <si>
    <t>30-06-2023 NEFT/AXISP00402149249/RIUP23/859/S S ENTERPRISES 286700.00</t>
  </si>
  <si>
    <t>Balwakheri Village - Boundary wall work</t>
  </si>
  <si>
    <t>04-05-2023 NEFT/AXISP00387404077/RIUP23/085/S S ENTERPRISES 282680.00</t>
  </si>
  <si>
    <t>29-05-2023 NEFT/AXISP00393029894/RIUP23/413/S S ENTERPRISES 68760.00</t>
  </si>
  <si>
    <t>Sikanderpur Village - Boundary wall work</t>
  </si>
  <si>
    <t>02-06-2023 NEFT/AXISP00395047092/RIUP23/466/S S ENTERPRISES 261696.00</t>
  </si>
  <si>
    <t>Gujjarheri Village - Boundary wall work</t>
  </si>
  <si>
    <t>02-06-2023 NEFT/AXISP00395047093/RIUP23/467/S S ENTERPRISES 260983.00</t>
  </si>
  <si>
    <t>Finishing and Painting</t>
  </si>
  <si>
    <t>Alipur Village Pump House work</t>
  </si>
  <si>
    <t>Godhna Village - Boundary wall work</t>
  </si>
  <si>
    <t>GST Release note</t>
  </si>
  <si>
    <t>Bhamela Village Boundry wall work</t>
  </si>
  <si>
    <t>15-12-2022 NEFT/AXISP00346453828/RIUP22/1525/VANI ASSOICATE 99000.00</t>
  </si>
  <si>
    <t>19-12-2022 NEFT/AXISP00347267484/RIUP22/1553/VANI ASSOICATE 31629.00</t>
  </si>
  <si>
    <t>03-02-2023 NEFT/AXISP00360144603/RIUP22/2074/VANI ASSOICATE ₹ 36,826.00</t>
  </si>
  <si>
    <t>06-07-2023 NEFT/AXISP00404598017/RIUP23/809/S S ENTERPRISES 28152.00</t>
  </si>
  <si>
    <t>28-07-2023 NEFT/AXISP00410054453/RIUP23/1251/S S ENTERPRISES 52564.00</t>
  </si>
  <si>
    <t>28-08-2023 NEFT/AXISP00418870933/RIUP23/1249/S S ENTERPRISES/HDFC0CAMMCO 55336.00</t>
  </si>
  <si>
    <t>15-07-2023 NEFT/AXISP00407205161/RIUP23/819/S S ENTERPRISES 50112.00</t>
  </si>
  <si>
    <t>28-08-2023 NEFT/AXISP00418870929/RIUP23/817/S S ENTERPRISES/HDFC0CAMMCO 54050.00</t>
  </si>
  <si>
    <t>17-10-2023 NEFT/AXISP00435088285/RIUP23/2091/S S ENTERPRISES/HDFC0CAMMCO 154254.00</t>
  </si>
  <si>
    <t>10-11-2023 NEFT/AXISP00443569624/RIUP23/3241/S S ENTERPRISES/HDFC0CAMMCO 173941.00</t>
  </si>
  <si>
    <t>02-11-2023 NEFT/AXISP00439799498/RIUP23/2884/S S ENTERPRISES/HDFC0CAMMCO 209884.00</t>
  </si>
  <si>
    <t>02-11-2023 NEFT/AXISP00439799499/RIUP23/2885/S S ENTERPRISES/HDFC0CAMMCO 53595.00</t>
  </si>
  <si>
    <t>02-11-2023 NEFT/AXISP00439799522/RIUP23/2093/S S ENTERPRISES/HDFC0CAMMCO 281058.00</t>
  </si>
  <si>
    <t>02-11-2023 NEFT/AXISP00439799523/RIUP23/2534/S S ENTERPRISES/HDFC0CAMMCO 58612.00</t>
  </si>
  <si>
    <t>08-11-2023 NEFT/AXISP00441999438/RIUP23/2921/S S ENTERPRISES/HDFC0CAMMCO 31198.00</t>
  </si>
  <si>
    <t>GST release</t>
  </si>
  <si>
    <t>08-11-2023 NEFT/AXISP00441999434/RIUP23/2075/S S ENTERPRISES/HDFC0CAMMCO 190675.00</t>
  </si>
  <si>
    <t>06-02-2024 NEFT/AXISP00468738885/RIUP23/4564/S S ENTERPRISES/HDFC0CAMMCO ₹ 74,682.00</t>
  </si>
  <si>
    <t>09-02-2024 NEFT/AXISP00470187742/RIUP23/4021/S S ENTERPRISES/HDFC0CAMMCO 209432.00</t>
  </si>
  <si>
    <t>38 &amp; 57</t>
  </si>
  <si>
    <t>06-03-2024 NEFT/AXISP00477945205/RIUP23/4563/S S ENTERPRISES/HDFC0CAMMCO 118325.00</t>
  </si>
  <si>
    <t>30-03-2024 NEFT/AXISP00486493280/RIUP23/4781/S S ENTERPRISES/HDFC0CAMMCO 64174.00</t>
  </si>
  <si>
    <t>30-03-2024 NEFT/AXISP00486493276/RIUP23/3389/S S ENTERPRISES/HDFC0CAMMCO 55202.00</t>
  </si>
  <si>
    <t>30-03-2024 NEFT/AXISP00486493281/RIUP23/4782/S S ENTERPRISES/HDFC0CAMMCO 54405.00</t>
  </si>
  <si>
    <t>MS Gate</t>
  </si>
  <si>
    <t>36, 45, 51, 52, 53, 60, 68</t>
  </si>
  <si>
    <t xml:space="preserve">10-09-2024 NEFT/AXISP00538521024/RIUP24/1516/S S ENTERPRISES(U/HDFC0CAMMCO 26568.00
</t>
  </si>
  <si>
    <t>10-09-2024 NEFT/AXISP00538521026/RIUP24/0162/S S ENTERPRISES(U/HDFC0CAMMCO 218415.00</t>
  </si>
  <si>
    <t>Muzaffarnagar</t>
  </si>
  <si>
    <t>S S Enterprises</t>
  </si>
  <si>
    <t>30-09-2024 NEFT/AXISP00545854526/RIUP24/1624/S S ENTERPRISES/HDFC0CAMMCO 364465.00</t>
  </si>
  <si>
    <t>29-10-2024 NEFT/AXISP00560584014/RIUP24/2335/S S ENTERPRISES/HDFC0CAMMCO ₹ 2,47,500.00</t>
  </si>
  <si>
    <t>12-03-2025 NEFT/AXISP00632194496/RIUP24/2505/S S ENTERPRISES/HDFC0CAMMCO 150000.00</t>
  </si>
  <si>
    <t>12-03-2025 NEFT/AXISP00632182973/RIUP23/5173/S S ENTERPRISES/HDFC0CAMMCO 134390.00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</si>
  <si>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</si>
  <si>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</si>
  <si>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</si>
  <si>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</si>
  <si>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</si>
  <si>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</si>
  <si>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</si>
  <si>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</si>
  <si>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</si>
  <si>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</si>
  <si>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</si>
  <si>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</si>
  <si>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</si>
  <si>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</si>
  <si>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</si>
  <si>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</si>
  <si>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</si>
  <si>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</si>
  <si>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</si>
  <si>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Hold Amount For Material</t>
  </si>
  <si>
    <t>Total_Amount</t>
  </si>
  <si>
    <t xml:space="preserve">Rampur village PH work </t>
  </si>
  <si>
    <t>Mustafabad Village  - Boundary wall - Mzn  Work</t>
  </si>
  <si>
    <t xml:space="preserve"> BADKALI Village Boundary Wall work</t>
  </si>
  <si>
    <t>BADKALI Village Boundary Wall work</t>
  </si>
  <si>
    <t xml:space="preserve"> MANGANPUR VILLAGE BOUNDARY WALL CONSTRUCTION  Work </t>
  </si>
  <si>
    <t xml:space="preserve">MANGANPUR VILLAGE BOUNDARY WALL CONSTRUCTION Work </t>
  </si>
  <si>
    <t xml:space="preserve">Meghakheri Village - Bal Pipeline </t>
  </si>
  <si>
    <t xml:space="preserve">Village CONSTRUCTION OF DG FOUNDATION WORK </t>
  </si>
  <si>
    <t>VILLAGE ALIPURA BOUNDARY WALL CONSTRUCTION Work</t>
  </si>
  <si>
    <t xml:space="preserve"> SAHBAZPUR TIGAI Village CONSTRUCTION OF  BOUNDARY WALL WORK  </t>
  </si>
  <si>
    <t xml:space="preserve"> VILL- RASULPUR  BLOCK- CHARTHAWAL CONSTRUCTION OF  BOUNDARY WALL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</si>
</sst>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9"/>
      <color rgb="FFFF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9" fontId="2" fillId="3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2" fillId="0" borderId="2" xfId="1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164" fontId="9" fillId="2" borderId="2" xfId="1" applyNumberFormat="1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14" fontId="2" fillId="2" borderId="2" xfId="1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164" fontId="2" fillId="2" borderId="2" xfId="1" applyNumberFormat="1" applyFont="1" applyFill="1" applyBorder="1" applyAlignment="1">
      <alignment vertical="center" wrapText="1"/>
    </xf>
    <xf numFmtId="164" fontId="4" fillId="2" borderId="2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4" fillId="2" borderId="11" xfId="1" applyNumberFormat="1" applyFont="1" applyFill="1" applyBorder="1" applyAlignment="1">
      <alignment vertical="center"/>
    </xf>
    <xf numFmtId="164" fontId="2" fillId="2" borderId="11" xfId="1" applyNumberFormat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vertical="center"/>
    </xf>
    <xf numFmtId="164" fontId="0" fillId="2" borderId="11" xfId="0" applyNumberFormat="1" applyFill="1" applyBorder="1" applyAlignment="1">
      <alignment vertical="center"/>
    </xf>
    <xf numFmtId="164" fontId="4" fillId="2" borderId="10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2" borderId="11" xfId="1" applyNumberFormat="1" applyFont="1" applyFill="1" applyBorder="1" applyAlignment="1">
      <alignment horizontal="center" vertical="center"/>
    </xf>
    <xf numFmtId="0" fontId="2" fillId="2" borderId="1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14" fontId="2" fillId="2" borderId="11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164" fontId="0" fillId="2" borderId="0" xfId="0" applyNumberFormat="1" applyFill="1" applyAlignment="1">
      <alignment vertical="center"/>
    </xf>
    <xf numFmtId="0" fontId="13" fillId="2" borderId="0" xfId="0" applyFont="1" applyFill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7" fillId="0" borderId="0" xfId="0" applyFont="1"/>
    <xf numFmtId="14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0" borderId="0" xfId="0" applyFont="1"/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14" fillId="2" borderId="10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4" fontId="12" fillId="2" borderId="13" xfId="1" applyNumberFormat="1" applyFont="1" applyFill="1" applyBorder="1" applyAlignment="1">
      <alignment horizontal="center" vertical="center"/>
    </xf>
    <xf numFmtId="164" fontId="12" fillId="2" borderId="14" xfId="1" applyNumberFormat="1" applyFont="1" applyFill="1" applyBorder="1" applyAlignment="1">
      <alignment horizontal="center" vertical="center"/>
    </xf>
    <xf numFmtId="164" fontId="12" fillId="2" borderId="15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33"/>
  <sheetViews>
    <sheetView tabSelected="1" zoomScale="71" zoomScaleNormal="71" workbookViewId="0">
      <pane ySplit="5" topLeftCell="A6" activePane="bottomLeft" state="frozen"/>
      <selection pane="bottomLeft" activeCell="B119" sqref="B119:B120"/>
    </sheetView>
  </sheetViews>
  <sheetFormatPr defaultColWidth="9" defaultRowHeight="30" customHeight="1" x14ac:dyDescent="0.25"/>
  <cols>
    <col min="1" max="1" width="15" style="8" customWidth="1"/>
    <col min="2" max="2" width="32.28515625" style="4" customWidth="1"/>
    <col min="3" max="3" width="13.42578125" style="4" bestFit="1" customWidth="1"/>
    <col min="4" max="4" width="16.7109375" style="55" customWidth="1"/>
    <col min="5" max="5" width="13.28515625" style="4" bestFit="1" customWidth="1"/>
    <col min="6" max="7" width="13.28515625" style="4" customWidth="1"/>
    <col min="8" max="8" width="14.7109375" style="1" customWidth="1"/>
    <col min="9" max="9" width="17.140625" style="1" bestFit="1" customWidth="1"/>
    <col min="10" max="10" width="15.42578125" style="4" customWidth="1"/>
    <col min="11" max="11" width="16.140625" style="4" bestFit="1" customWidth="1"/>
    <col min="12" max="13" width="16.140625" style="4" customWidth="1"/>
    <col min="14" max="14" width="12.7109375" style="4" customWidth="1"/>
    <col min="15" max="15" width="14.85546875" style="4" customWidth="1"/>
    <col min="16" max="16" width="19.5703125" style="4" customWidth="1"/>
    <col min="17" max="17" width="14.85546875" style="4" customWidth="1"/>
    <col min="18" max="18" width="15" style="4" bestFit="1" customWidth="1"/>
    <col min="19" max="19" width="90.5703125" style="4" bestFit="1" customWidth="1"/>
    <col min="20" max="20" width="18.42578125" style="4" bestFit="1" customWidth="1"/>
    <col min="21" max="16384" width="9" style="4"/>
  </cols>
  <sheetData>
    <row r="1" spans="1:175" ht="30" customHeight="1" x14ac:dyDescent="0.25">
      <c r="A1" s="72" t="s">
        <v>87</v>
      </c>
      <c r="B1" s="66" t="s">
        <v>82</v>
      </c>
      <c r="E1" s="7"/>
      <c r="F1" s="7"/>
      <c r="G1" s="7"/>
    </row>
    <row r="2" spans="1:175" ht="30" customHeight="1" x14ac:dyDescent="0.25">
      <c r="A2" s="72" t="s">
        <v>88</v>
      </c>
      <c r="B2" t="s">
        <v>91</v>
      </c>
      <c r="D2" s="4"/>
      <c r="G2" s="2"/>
      <c r="I2" s="2"/>
      <c r="J2" s="3"/>
      <c r="K2" s="3"/>
      <c r="L2" s="3"/>
      <c r="M2" s="3"/>
      <c r="N2" s="3"/>
      <c r="O2" s="3"/>
      <c r="P2" s="3"/>
      <c r="Q2" s="3"/>
    </row>
    <row r="3" spans="1:175" ht="30" customHeight="1" x14ac:dyDescent="0.25">
      <c r="A3" s="72" t="s">
        <v>89</v>
      </c>
      <c r="B3" t="s">
        <v>81</v>
      </c>
      <c r="D3" s="4"/>
      <c r="G3" s="2"/>
      <c r="I3" s="2"/>
      <c r="J3" s="3"/>
      <c r="K3" s="3"/>
      <c r="L3" s="3"/>
      <c r="M3" s="3"/>
      <c r="N3" s="3"/>
      <c r="O3" s="3"/>
      <c r="P3" s="3"/>
      <c r="Q3" s="3"/>
    </row>
    <row r="4" spans="1:175" ht="30" customHeight="1" thickBot="1" x14ac:dyDescent="0.3">
      <c r="A4" s="72" t="s">
        <v>90</v>
      </c>
      <c r="B4" t="s">
        <v>81</v>
      </c>
      <c r="D4" s="4"/>
      <c r="E4" s="3"/>
      <c r="F4" s="3"/>
      <c r="G4" s="3"/>
      <c r="H4" s="5"/>
      <c r="I4" s="5"/>
      <c r="J4" s="3"/>
      <c r="K4" s="3"/>
      <c r="L4" s="3"/>
      <c r="M4" s="3"/>
      <c r="N4" s="3"/>
      <c r="R4" s="6"/>
      <c r="S4" s="6"/>
    </row>
    <row r="5" spans="1:175" x14ac:dyDescent="0.25">
      <c r="A5" s="16" t="s">
        <v>92</v>
      </c>
      <c r="B5" s="73" t="s">
        <v>93</v>
      </c>
      <c r="C5" s="74" t="s">
        <v>94</v>
      </c>
      <c r="D5" s="75" t="s">
        <v>95</v>
      </c>
      <c r="E5" s="73" t="s">
        <v>96</v>
      </c>
      <c r="F5" s="73" t="s">
        <v>97</v>
      </c>
      <c r="G5" s="75" t="s">
        <v>98</v>
      </c>
      <c r="H5" s="76" t="s">
        <v>99</v>
      </c>
      <c r="I5" s="77" t="s">
        <v>0</v>
      </c>
      <c r="J5" s="73" t="s">
        <v>100</v>
      </c>
      <c r="K5" s="73" t="s">
        <v>101</v>
      </c>
      <c r="L5" s="73" t="s">
        <v>102</v>
      </c>
      <c r="M5" s="73" t="s">
        <v>103</v>
      </c>
      <c r="N5" s="17" t="s">
        <v>48</v>
      </c>
      <c r="O5" s="73" t="s">
        <v>104</v>
      </c>
      <c r="P5" s="78" t="s">
        <v>106</v>
      </c>
      <c r="Q5" s="73" t="s">
        <v>105</v>
      </c>
      <c r="R5" s="73" t="s">
        <v>107</v>
      </c>
      <c r="S5" s="17" t="s">
        <v>1</v>
      </c>
      <c r="T5" s="80"/>
    </row>
    <row r="6" spans="1:175" ht="30" customHeight="1" thickBot="1" x14ac:dyDescent="0.3">
      <c r="A6" s="49"/>
      <c r="B6" s="38"/>
      <c r="C6" s="38"/>
      <c r="D6" s="56"/>
      <c r="E6" s="38"/>
      <c r="F6" s="38"/>
      <c r="G6" s="38"/>
      <c r="H6" s="50">
        <v>0.18</v>
      </c>
      <c r="I6" s="38"/>
      <c r="J6" s="50">
        <v>0.01</v>
      </c>
      <c r="K6" s="50">
        <v>0.1</v>
      </c>
      <c r="L6" s="50">
        <v>0.1</v>
      </c>
      <c r="M6" s="50"/>
      <c r="N6" s="50">
        <v>0.05</v>
      </c>
      <c r="O6" s="50">
        <v>0.18</v>
      </c>
      <c r="P6" s="50"/>
      <c r="Q6" s="38"/>
      <c r="R6" s="38"/>
      <c r="S6" s="38"/>
      <c r="T6" s="81"/>
    </row>
    <row r="7" spans="1:175" s="14" customFormat="1" ht="30" customHeight="1" x14ac:dyDescent="0.25">
      <c r="A7" s="45">
        <v>53408</v>
      </c>
      <c r="B7" s="46"/>
      <c r="C7" s="46"/>
      <c r="D7" s="57"/>
      <c r="E7" s="46"/>
      <c r="F7" s="46"/>
      <c r="G7" s="46"/>
      <c r="H7" s="47"/>
      <c r="I7" s="46"/>
      <c r="J7" s="47"/>
      <c r="K7" s="47"/>
      <c r="L7" s="47"/>
      <c r="M7" s="47"/>
      <c r="N7" s="47"/>
      <c r="O7" s="47"/>
      <c r="P7" s="47"/>
      <c r="Q7" s="46"/>
      <c r="R7" s="46"/>
      <c r="S7" s="46"/>
      <c r="T7" s="4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</row>
    <row r="8" spans="1:175" ht="30" customHeight="1" x14ac:dyDescent="0.25">
      <c r="A8" s="45">
        <v>53408</v>
      </c>
      <c r="B8" s="23" t="s">
        <v>2</v>
      </c>
      <c r="C8" s="24">
        <v>44989</v>
      </c>
      <c r="D8" s="51">
        <v>19</v>
      </c>
      <c r="E8" s="19">
        <f>370000+11000</f>
        <v>381000</v>
      </c>
      <c r="F8" s="19">
        <v>83830</v>
      </c>
      <c r="G8" s="19">
        <f>ROUND(E8-F8,0)</f>
        <v>297170</v>
      </c>
      <c r="H8" s="19">
        <f>ROUND(G8*H6,0)</f>
        <v>53491</v>
      </c>
      <c r="I8" s="19">
        <f>G8+H8</f>
        <v>350661</v>
      </c>
      <c r="J8" s="19">
        <f>ROUND(G8*$J$6,)</f>
        <v>2972</v>
      </c>
      <c r="K8" s="19">
        <f>ROUND(G8*$K$6,0)</f>
        <v>29717</v>
      </c>
      <c r="L8" s="19"/>
      <c r="M8" s="19"/>
      <c r="N8" s="19"/>
      <c r="O8" s="19">
        <f>H8</f>
        <v>53491</v>
      </c>
      <c r="P8" s="19">
        <v>0</v>
      </c>
      <c r="Q8" s="19">
        <f>ROUND(I8-SUM(J8:P8),0)</f>
        <v>264481</v>
      </c>
      <c r="R8" s="19">
        <v>49500</v>
      </c>
      <c r="S8" s="25" t="s">
        <v>3</v>
      </c>
      <c r="T8" s="10"/>
    </row>
    <row r="9" spans="1:175" ht="30" customHeight="1" x14ac:dyDescent="0.25">
      <c r="A9" s="45">
        <v>53408</v>
      </c>
      <c r="B9" s="23" t="s">
        <v>6</v>
      </c>
      <c r="C9" s="24"/>
      <c r="D9" s="51">
        <v>19</v>
      </c>
      <c r="E9" s="19">
        <v>53491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>
        <f>E9</f>
        <v>53491</v>
      </c>
      <c r="R9" s="19">
        <v>214981</v>
      </c>
      <c r="S9" s="25" t="s">
        <v>4</v>
      </c>
      <c r="T9" s="10"/>
    </row>
    <row r="10" spans="1:175" ht="30" customHeight="1" x14ac:dyDescent="0.25">
      <c r="A10" s="45">
        <v>53408</v>
      </c>
      <c r="B10" s="23"/>
      <c r="C10" s="24"/>
      <c r="D10" s="52"/>
      <c r="E10" s="19"/>
      <c r="F10" s="19"/>
      <c r="G10" s="19">
        <f>E10-F10</f>
        <v>0</v>
      </c>
      <c r="H10" s="19">
        <v>0</v>
      </c>
      <c r="I10" s="19">
        <f>G10+H10</f>
        <v>0</v>
      </c>
      <c r="J10" s="19">
        <f>J6*I10</f>
        <v>0</v>
      </c>
      <c r="K10" s="19"/>
      <c r="L10" s="19"/>
      <c r="M10" s="19"/>
      <c r="N10" s="19"/>
      <c r="O10" s="19"/>
      <c r="P10" s="19"/>
      <c r="Q10" s="19"/>
      <c r="R10" s="19">
        <v>53491</v>
      </c>
      <c r="S10" s="25" t="s">
        <v>5</v>
      </c>
      <c r="T10" s="11"/>
    </row>
    <row r="11" spans="1:175" s="14" customFormat="1" ht="30" customHeight="1" x14ac:dyDescent="0.25">
      <c r="A11" s="20">
        <v>53409</v>
      </c>
      <c r="B11" s="21"/>
      <c r="C11" s="21"/>
      <c r="D11" s="58"/>
      <c r="E11" s="21"/>
      <c r="F11" s="21"/>
      <c r="G11" s="21">
        <f>E11-F11</f>
        <v>0</v>
      </c>
      <c r="H11" s="22"/>
      <c r="I11" s="21"/>
      <c r="J11" s="22"/>
      <c r="K11" s="22"/>
      <c r="L11" s="22"/>
      <c r="M11" s="22"/>
      <c r="N11" s="22"/>
      <c r="O11" s="22"/>
      <c r="P11" s="22"/>
      <c r="Q11" s="21"/>
      <c r="R11" s="21"/>
      <c r="S11" s="21"/>
      <c r="T11" s="13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</row>
    <row r="12" spans="1:175" s="7" customFormat="1" ht="30" customHeight="1" x14ac:dyDescent="0.25">
      <c r="A12" s="20">
        <v>53409</v>
      </c>
      <c r="B12" s="23"/>
      <c r="C12" s="26"/>
      <c r="D12" s="53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19"/>
      <c r="R12" s="28">
        <v>99000</v>
      </c>
      <c r="S12" s="29" t="s">
        <v>53</v>
      </c>
      <c r="T12" s="79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</row>
    <row r="13" spans="1:175" s="7" customFormat="1" ht="30" customHeight="1" x14ac:dyDescent="0.25">
      <c r="A13" s="20">
        <v>53409</v>
      </c>
      <c r="B13" s="23" t="s">
        <v>7</v>
      </c>
      <c r="C13" s="26">
        <v>44902</v>
      </c>
      <c r="D13" s="53">
        <v>3</v>
      </c>
      <c r="E13" s="27">
        <v>399346</v>
      </c>
      <c r="F13" s="27">
        <v>194758</v>
      </c>
      <c r="G13" s="19">
        <f>ROUND(E13-F13,)</f>
        <v>204588</v>
      </c>
      <c r="H13" s="19">
        <f>ROUND(G13*18%,0)</f>
        <v>36826</v>
      </c>
      <c r="I13" s="19">
        <f>ROUND(G13+H13,)</f>
        <v>241414</v>
      </c>
      <c r="J13" s="19">
        <f>G13*1%</f>
        <v>2045.88</v>
      </c>
      <c r="K13" s="19">
        <f>G13*5%</f>
        <v>10229.400000000001</v>
      </c>
      <c r="L13" s="19">
        <f>G13*10%</f>
        <v>20458.800000000003</v>
      </c>
      <c r="M13" s="19">
        <f>G13*10%</f>
        <v>20458.800000000003</v>
      </c>
      <c r="N13" s="19"/>
      <c r="O13" s="19">
        <f>G13*$O$6</f>
        <v>36825.839999999997</v>
      </c>
      <c r="P13" s="19">
        <v>20767</v>
      </c>
      <c r="Q13" s="28">
        <f>I13-J13-K13-L13-O13-M13-P13</f>
        <v>130628.27999999997</v>
      </c>
      <c r="R13" s="28">
        <v>31629</v>
      </c>
      <c r="S13" s="29" t="s">
        <v>54</v>
      </c>
      <c r="T13" s="79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</row>
    <row r="14" spans="1:175" s="7" customFormat="1" ht="30" customHeight="1" x14ac:dyDescent="0.25">
      <c r="A14" s="20">
        <v>53409</v>
      </c>
      <c r="B14" s="23" t="s">
        <v>68</v>
      </c>
      <c r="C14" s="26">
        <v>45016</v>
      </c>
      <c r="D14" s="53">
        <v>3</v>
      </c>
      <c r="E14" s="27">
        <v>36826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>
        <f>E14</f>
        <v>36826</v>
      </c>
      <c r="R14" s="28">
        <v>36826</v>
      </c>
      <c r="S14" s="29" t="s">
        <v>55</v>
      </c>
      <c r="T14" s="79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</row>
    <row r="15" spans="1:175" ht="30" customHeight="1" x14ac:dyDescent="0.25">
      <c r="A15" s="20">
        <v>53409</v>
      </c>
      <c r="B15" s="23" t="s">
        <v>7</v>
      </c>
      <c r="C15" s="24">
        <v>44962</v>
      </c>
      <c r="D15" s="51">
        <v>9</v>
      </c>
      <c r="E15" s="19">
        <v>202071.66</v>
      </c>
      <c r="F15" s="19">
        <v>3594.4</v>
      </c>
      <c r="G15" s="19">
        <f>ROUND(E15-F15,)</f>
        <v>198477</v>
      </c>
      <c r="H15" s="19">
        <f>ROUND(G15*18%,0)</f>
        <v>35726</v>
      </c>
      <c r="I15" s="19">
        <f>ROUND(G15+H15,)</f>
        <v>234203</v>
      </c>
      <c r="J15" s="19">
        <f>G15*1%</f>
        <v>1984.77</v>
      </c>
      <c r="K15" s="19">
        <f>G15*25%</f>
        <v>49619.25</v>
      </c>
      <c r="L15" s="19"/>
      <c r="M15" s="19"/>
      <c r="N15" s="19"/>
      <c r="O15" s="19">
        <f>G15*$O$6</f>
        <v>35725.86</v>
      </c>
      <c r="P15" s="19">
        <f>G15*$P$6</f>
        <v>0</v>
      </c>
      <c r="Q15" s="19">
        <v>146873</v>
      </c>
      <c r="R15" s="19">
        <v>69300</v>
      </c>
      <c r="S15" s="25" t="s">
        <v>8</v>
      </c>
      <c r="T15" s="10"/>
    </row>
    <row r="16" spans="1:175" ht="30" customHeight="1" x14ac:dyDescent="0.25">
      <c r="A16" s="20">
        <v>53409</v>
      </c>
      <c r="B16" s="23" t="s">
        <v>7</v>
      </c>
      <c r="C16" s="24">
        <v>45042</v>
      </c>
      <c r="D16" s="51">
        <v>5</v>
      </c>
      <c r="E16" s="19">
        <v>347335</v>
      </c>
      <c r="F16" s="19">
        <v>0</v>
      </c>
      <c r="G16" s="19">
        <f>ROUND(E16-F16,)</f>
        <v>347335</v>
      </c>
      <c r="H16" s="19">
        <f>ROUND(G16*18%,0)</f>
        <v>62520</v>
      </c>
      <c r="I16" s="19">
        <f>ROUND(G16+H16,)</f>
        <v>409855</v>
      </c>
      <c r="J16" s="19">
        <f>G16*1%</f>
        <v>3473.35</v>
      </c>
      <c r="K16" s="19">
        <f>G16*25%</f>
        <v>86833.75</v>
      </c>
      <c r="L16" s="19"/>
      <c r="M16" s="19"/>
      <c r="N16" s="19"/>
      <c r="O16" s="19">
        <f>G16*$O$6</f>
        <v>62520.299999999996</v>
      </c>
      <c r="P16" s="19">
        <f>G16*$P$6</f>
        <v>0</v>
      </c>
      <c r="Q16" s="19">
        <v>257028</v>
      </c>
      <c r="R16" s="19">
        <v>77570</v>
      </c>
      <c r="S16" s="25" t="s">
        <v>9</v>
      </c>
      <c r="T16" s="10"/>
    </row>
    <row r="17" spans="1:175" ht="30" customHeight="1" x14ac:dyDescent="0.25">
      <c r="A17" s="20">
        <v>53409</v>
      </c>
      <c r="B17" s="23" t="s">
        <v>6</v>
      </c>
      <c r="C17" s="30"/>
      <c r="D17" s="52">
        <v>9</v>
      </c>
      <c r="E17" s="19">
        <v>35726</v>
      </c>
      <c r="F17" s="19"/>
      <c r="G17" s="19">
        <v>0</v>
      </c>
      <c r="H17" s="19">
        <v>0</v>
      </c>
      <c r="I17" s="19">
        <f>G17+H17</f>
        <v>0</v>
      </c>
      <c r="J17" s="19">
        <f>J$6*I17</f>
        <v>0</v>
      </c>
      <c r="K17" s="19">
        <v>0</v>
      </c>
      <c r="L17" s="19"/>
      <c r="M17" s="19"/>
      <c r="N17" s="19"/>
      <c r="O17" s="19"/>
      <c r="P17" s="19"/>
      <c r="Q17" s="19">
        <f>E17</f>
        <v>35726</v>
      </c>
      <c r="R17" s="19">
        <v>35726</v>
      </c>
      <c r="S17" s="25" t="s">
        <v>10</v>
      </c>
      <c r="T17" s="10"/>
    </row>
    <row r="18" spans="1:175" ht="30" customHeight="1" x14ac:dyDescent="0.25">
      <c r="A18" s="20">
        <v>53409</v>
      </c>
      <c r="B18" s="23" t="s">
        <v>6</v>
      </c>
      <c r="C18" s="19"/>
      <c r="D18" s="54">
        <v>5</v>
      </c>
      <c r="E18" s="19">
        <v>62520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f>E18</f>
        <v>62520</v>
      </c>
      <c r="R18" s="19">
        <v>257028</v>
      </c>
      <c r="S18" s="25" t="s">
        <v>11</v>
      </c>
      <c r="T18" s="10"/>
    </row>
    <row r="19" spans="1:175" ht="30" customHeight="1" x14ac:dyDescent="0.25">
      <c r="A19" s="20">
        <v>53409</v>
      </c>
      <c r="B19" s="23"/>
      <c r="C19" s="30">
        <v>45367</v>
      </c>
      <c r="D19" s="52">
        <v>67</v>
      </c>
      <c r="E19" s="19">
        <v>701335.5</v>
      </c>
      <c r="F19" s="19"/>
      <c r="G19" s="19">
        <f>ROUND(E19-F19,)</f>
        <v>701336</v>
      </c>
      <c r="H19" s="19">
        <f>ROUND(G19*18%,0)</f>
        <v>126240</v>
      </c>
      <c r="I19" s="19">
        <f>ROUND(G19+H19,)</f>
        <v>827576</v>
      </c>
      <c r="J19" s="19">
        <f>G19*1%</f>
        <v>7013.3600000000006</v>
      </c>
      <c r="K19" s="19">
        <f>G19*5%</f>
        <v>35066.800000000003</v>
      </c>
      <c r="L19" s="19">
        <f>G19*10%</f>
        <v>70133.600000000006</v>
      </c>
      <c r="M19" s="19">
        <f>G19*10%</f>
        <v>70133.600000000006</v>
      </c>
      <c r="N19" s="19"/>
      <c r="O19" s="19">
        <f>G19*$O$6</f>
        <v>126240.48</v>
      </c>
      <c r="P19" s="19">
        <v>117700</v>
      </c>
      <c r="Q19" s="63">
        <f>I19-J19-K19-L19-O19-M19-P19</f>
        <v>401288.16000000003</v>
      </c>
      <c r="R19" s="19">
        <v>62520</v>
      </c>
      <c r="S19" s="25" t="s">
        <v>12</v>
      </c>
      <c r="T19" s="10"/>
    </row>
    <row r="20" spans="1:175" ht="30" customHeight="1" x14ac:dyDescent="0.25">
      <c r="A20" s="20">
        <v>53409</v>
      </c>
      <c r="B20" s="23" t="s">
        <v>6</v>
      </c>
      <c r="C20" s="30"/>
      <c r="D20" s="52">
        <v>67</v>
      </c>
      <c r="E20" s="19">
        <f>O19</f>
        <v>126240.48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f>E20</f>
        <v>126240.48</v>
      </c>
      <c r="R20" s="19">
        <v>247500</v>
      </c>
      <c r="S20" s="25" t="s">
        <v>84</v>
      </c>
      <c r="T20" s="11"/>
    </row>
    <row r="21" spans="1:175" ht="30" customHeight="1" x14ac:dyDescent="0.25">
      <c r="A21" s="18"/>
      <c r="B21" s="23"/>
      <c r="C21" s="30"/>
      <c r="D21" s="5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5"/>
      <c r="T21" s="11"/>
    </row>
    <row r="22" spans="1:175" s="14" customFormat="1" ht="30" customHeight="1" x14ac:dyDescent="0.25">
      <c r="A22" s="20">
        <v>54445</v>
      </c>
      <c r="B22" s="21"/>
      <c r="C22" s="21"/>
      <c r="D22" s="58"/>
      <c r="E22" s="21"/>
      <c r="F22" s="21"/>
      <c r="G22" s="21"/>
      <c r="H22" s="22"/>
      <c r="I22" s="21"/>
      <c r="J22" s="22"/>
      <c r="K22" s="22"/>
      <c r="L22" s="22"/>
      <c r="M22" s="22"/>
      <c r="N22" s="22"/>
      <c r="O22" s="22"/>
      <c r="P22" s="22"/>
      <c r="Q22" s="21"/>
      <c r="R22" s="21"/>
      <c r="S22" s="21"/>
      <c r="T22" s="13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</row>
    <row r="23" spans="1:175" ht="30" customHeight="1" x14ac:dyDescent="0.25">
      <c r="A23" s="20">
        <v>54445</v>
      </c>
      <c r="B23" s="23" t="s">
        <v>13</v>
      </c>
      <c r="C23" s="24">
        <v>45008</v>
      </c>
      <c r="D23" s="52">
        <v>21</v>
      </c>
      <c r="E23" s="19">
        <v>381000</v>
      </c>
      <c r="F23" s="19"/>
      <c r="G23" s="19">
        <f>E23-F23</f>
        <v>381000</v>
      </c>
      <c r="H23" s="19">
        <f>G23*$H$6</f>
        <v>68580</v>
      </c>
      <c r="I23" s="19">
        <f>G23+H23</f>
        <v>449580</v>
      </c>
      <c r="J23" s="19">
        <f>G23*$J$6</f>
        <v>3810</v>
      </c>
      <c r="K23" s="19">
        <f>G23*15%</f>
        <v>57150</v>
      </c>
      <c r="L23" s="19"/>
      <c r="M23" s="19"/>
      <c r="N23" s="19"/>
      <c r="O23" s="19">
        <f>H23</f>
        <v>68580</v>
      </c>
      <c r="P23" s="19"/>
      <c r="Q23" s="19">
        <f>I23-J23-K23-O23</f>
        <v>320040</v>
      </c>
      <c r="R23" s="19">
        <v>49500</v>
      </c>
      <c r="S23" s="31" t="s">
        <v>14</v>
      </c>
      <c r="T23" s="10"/>
    </row>
    <row r="24" spans="1:175" ht="30" customHeight="1" x14ac:dyDescent="0.25">
      <c r="A24" s="20">
        <v>54445</v>
      </c>
      <c r="B24" s="23" t="s">
        <v>6</v>
      </c>
      <c r="C24" s="24"/>
      <c r="D24" s="52">
        <v>21</v>
      </c>
      <c r="E24" s="19">
        <v>68580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f>E24</f>
        <v>68580</v>
      </c>
      <c r="R24" s="19">
        <v>270540</v>
      </c>
      <c r="S24" s="31" t="s">
        <v>15</v>
      </c>
      <c r="T24" s="10"/>
    </row>
    <row r="25" spans="1:175" ht="30" customHeight="1" x14ac:dyDescent="0.25">
      <c r="A25" s="20">
        <v>54445</v>
      </c>
      <c r="B25" s="23"/>
      <c r="C25" s="30"/>
      <c r="D25" s="5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>
        <v>68580</v>
      </c>
      <c r="S25" s="25" t="s">
        <v>16</v>
      </c>
      <c r="T25" s="11"/>
    </row>
    <row r="26" spans="1:175" s="14" customFormat="1" ht="30" customHeight="1" x14ac:dyDescent="0.25">
      <c r="A26" s="20">
        <v>54446</v>
      </c>
      <c r="B26" s="21"/>
      <c r="C26" s="21"/>
      <c r="D26" s="58"/>
      <c r="E26" s="21"/>
      <c r="F26" s="21"/>
      <c r="G26" s="21"/>
      <c r="H26" s="22"/>
      <c r="I26" s="21"/>
      <c r="J26" s="22"/>
      <c r="K26" s="22"/>
      <c r="L26" s="22"/>
      <c r="M26" s="22"/>
      <c r="N26" s="22"/>
      <c r="O26" s="22"/>
      <c r="P26" s="22"/>
      <c r="Q26" s="21"/>
      <c r="R26" s="21"/>
      <c r="S26" s="21"/>
      <c r="T26" s="13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</row>
    <row r="27" spans="1:175" ht="30" customHeight="1" x14ac:dyDescent="0.25">
      <c r="A27" s="20">
        <v>54446</v>
      </c>
      <c r="B27" s="23" t="s">
        <v>17</v>
      </c>
      <c r="C27" s="24">
        <v>44996</v>
      </c>
      <c r="D27" s="51">
        <v>20</v>
      </c>
      <c r="E27" s="19">
        <f>370000+11000</f>
        <v>381000</v>
      </c>
      <c r="F27" s="19">
        <v>57301</v>
      </c>
      <c r="G27" s="19">
        <f>ROUND(E27-F27,0)</f>
        <v>323699</v>
      </c>
      <c r="H27" s="19">
        <f>ROUND(G27*18%,0)</f>
        <v>58266</v>
      </c>
      <c r="I27" s="19">
        <f>G27+H27</f>
        <v>381965</v>
      </c>
      <c r="J27" s="19">
        <f>ROUND(G27*$J$6,)</f>
        <v>3237</v>
      </c>
      <c r="K27" s="19">
        <f>ROUND(G27*$K$6,0)</f>
        <v>32370</v>
      </c>
      <c r="L27" s="19"/>
      <c r="M27" s="19"/>
      <c r="N27" s="19"/>
      <c r="O27" s="19">
        <f>H27</f>
        <v>58266</v>
      </c>
      <c r="P27" s="19">
        <v>0</v>
      </c>
      <c r="Q27" s="19">
        <f>ROUND(I27-SUM(J27:P27),0)</f>
        <v>288092</v>
      </c>
      <c r="R27" s="19">
        <v>49500</v>
      </c>
      <c r="S27" s="25" t="s">
        <v>18</v>
      </c>
      <c r="T27" s="10"/>
    </row>
    <row r="28" spans="1:175" ht="30" customHeight="1" x14ac:dyDescent="0.25">
      <c r="A28" s="20">
        <v>54446</v>
      </c>
      <c r="B28" s="23" t="s">
        <v>6</v>
      </c>
      <c r="C28" s="24"/>
      <c r="D28" s="51">
        <v>20</v>
      </c>
      <c r="E28" s="19">
        <v>58266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f>E28</f>
        <v>58266</v>
      </c>
      <c r="R28" s="19">
        <v>238592</v>
      </c>
      <c r="S28" s="25" t="s">
        <v>19</v>
      </c>
      <c r="T28" s="10"/>
    </row>
    <row r="29" spans="1:175" ht="30" customHeight="1" x14ac:dyDescent="0.25">
      <c r="A29" s="20">
        <v>54446</v>
      </c>
      <c r="B29" s="23"/>
      <c r="C29" s="30"/>
      <c r="D29" s="5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>
        <v>58266</v>
      </c>
      <c r="S29" s="25" t="s">
        <v>20</v>
      </c>
      <c r="T29" s="11"/>
    </row>
    <row r="30" spans="1:175" s="14" customFormat="1" ht="30" customHeight="1" x14ac:dyDescent="0.25">
      <c r="A30" s="20">
        <v>54601</v>
      </c>
      <c r="B30" s="21"/>
      <c r="C30" s="21"/>
      <c r="D30" s="58"/>
      <c r="E30" s="21"/>
      <c r="F30" s="21"/>
      <c r="G30" s="21"/>
      <c r="H30" s="22"/>
      <c r="I30" s="21"/>
      <c r="J30" s="22"/>
      <c r="K30" s="22"/>
      <c r="L30" s="22"/>
      <c r="M30" s="22"/>
      <c r="N30" s="22"/>
      <c r="O30" s="22"/>
      <c r="P30" s="22"/>
      <c r="Q30" s="21"/>
      <c r="R30" s="21"/>
      <c r="S30" s="21"/>
      <c r="T30" s="13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</row>
    <row r="31" spans="1:175" ht="30" customHeight="1" x14ac:dyDescent="0.25">
      <c r="A31" s="20">
        <v>54601</v>
      </c>
      <c r="B31" s="23" t="s">
        <v>108</v>
      </c>
      <c r="C31" s="24">
        <v>44391</v>
      </c>
      <c r="D31" s="52">
        <v>21</v>
      </c>
      <c r="E31" s="19">
        <v>361000</v>
      </c>
      <c r="F31" s="19">
        <v>54324</v>
      </c>
      <c r="G31" s="19">
        <f>ROUND(E31-F31,0)</f>
        <v>306676</v>
      </c>
      <c r="H31" s="19">
        <f>G31*18%</f>
        <v>55201.68</v>
      </c>
      <c r="I31" s="19">
        <f>G31+H31</f>
        <v>361877.68</v>
      </c>
      <c r="J31" s="19">
        <f>G31*1%</f>
        <v>3066.76</v>
      </c>
      <c r="K31" s="19">
        <f>G31*10%</f>
        <v>30667.600000000002</v>
      </c>
      <c r="L31" s="19"/>
      <c r="M31" s="19"/>
      <c r="N31" s="19">
        <f>G31*$N$8</f>
        <v>0</v>
      </c>
      <c r="O31" s="19">
        <f>H31</f>
        <v>55201.68</v>
      </c>
      <c r="P31" s="19">
        <v>0</v>
      </c>
      <c r="Q31" s="19">
        <f>ROUND(I31-SUM(J31:P31),0)</f>
        <v>272942</v>
      </c>
      <c r="R31" s="19">
        <v>99000</v>
      </c>
      <c r="S31" s="25" t="s">
        <v>21</v>
      </c>
      <c r="T31" s="10"/>
    </row>
    <row r="32" spans="1:175" ht="30" customHeight="1" x14ac:dyDescent="0.25">
      <c r="A32" s="20">
        <v>54601</v>
      </c>
      <c r="B32" s="23" t="s">
        <v>51</v>
      </c>
      <c r="C32" s="24">
        <v>45157</v>
      </c>
      <c r="D32" s="52">
        <v>21</v>
      </c>
      <c r="E32" s="19">
        <v>55201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>
        <f>E32</f>
        <v>55201</v>
      </c>
      <c r="R32" s="19">
        <v>173941</v>
      </c>
      <c r="S32" s="25" t="s">
        <v>62</v>
      </c>
      <c r="T32" s="10"/>
    </row>
    <row r="33" spans="1:175" ht="30" customHeight="1" x14ac:dyDescent="0.25">
      <c r="A33" s="20">
        <v>54601</v>
      </c>
      <c r="B33" s="23"/>
      <c r="C33" s="24">
        <v>45319</v>
      </c>
      <c r="D33" s="52">
        <v>66</v>
      </c>
      <c r="E33" s="19">
        <v>19000</v>
      </c>
      <c r="F33" s="19"/>
      <c r="G33" s="19">
        <f>ROUND(E33-F33,0)</f>
        <v>19000</v>
      </c>
      <c r="H33" s="19">
        <f>G33*18%</f>
        <v>3420</v>
      </c>
      <c r="I33" s="19">
        <f>G33+H33</f>
        <v>22420</v>
      </c>
      <c r="J33" s="19">
        <f>G33*1%</f>
        <v>190</v>
      </c>
      <c r="K33" s="19">
        <f>G33*10%</f>
        <v>1900</v>
      </c>
      <c r="L33" s="19"/>
      <c r="M33" s="19"/>
      <c r="N33" s="19">
        <f>G33*$N$8</f>
        <v>0</v>
      </c>
      <c r="O33" s="19">
        <f>H33</f>
        <v>3420</v>
      </c>
      <c r="P33" s="19">
        <v>16910</v>
      </c>
      <c r="Q33" s="19">
        <f>ROUND(I33-SUM(J33:P33),0)</f>
        <v>0</v>
      </c>
      <c r="R33" s="19">
        <v>55202</v>
      </c>
      <c r="S33" s="25" t="s">
        <v>75</v>
      </c>
      <c r="T33" s="10"/>
    </row>
    <row r="34" spans="1:175" ht="30" customHeight="1" x14ac:dyDescent="0.25">
      <c r="A34" s="18"/>
      <c r="B34" s="23"/>
      <c r="C34" s="24"/>
      <c r="D34" s="5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5"/>
      <c r="T34" s="10"/>
    </row>
    <row r="35" spans="1:175" ht="30" customHeight="1" x14ac:dyDescent="0.25">
      <c r="A35" s="18"/>
      <c r="B35" s="23"/>
      <c r="C35" s="24"/>
      <c r="D35" s="5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5"/>
      <c r="T35" s="10"/>
    </row>
    <row r="36" spans="1:175" ht="30" customHeight="1" x14ac:dyDescent="0.25">
      <c r="A36" s="18"/>
      <c r="B36" s="23"/>
      <c r="C36" s="24"/>
      <c r="D36" s="5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5"/>
      <c r="T36" s="11"/>
    </row>
    <row r="37" spans="1:175" s="14" customFormat="1" ht="30" customHeight="1" x14ac:dyDescent="0.25">
      <c r="A37" s="20">
        <v>54603</v>
      </c>
      <c r="B37" s="21"/>
      <c r="C37" s="21"/>
      <c r="D37" s="58"/>
      <c r="E37" s="21"/>
      <c r="F37" s="21"/>
      <c r="G37" s="21"/>
      <c r="H37" s="22"/>
      <c r="I37" s="21"/>
      <c r="J37" s="22"/>
      <c r="K37" s="22"/>
      <c r="L37" s="22"/>
      <c r="M37" s="22"/>
      <c r="N37" s="22"/>
      <c r="O37" s="22"/>
      <c r="P37" s="22"/>
      <c r="Q37" s="21"/>
      <c r="R37" s="21"/>
      <c r="S37" s="21"/>
      <c r="T37" s="1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</row>
    <row r="38" spans="1:175" ht="30" customHeight="1" x14ac:dyDescent="0.25">
      <c r="A38" s="20">
        <v>54603</v>
      </c>
      <c r="B38" s="23" t="s">
        <v>22</v>
      </c>
      <c r="C38" s="24">
        <v>45022</v>
      </c>
      <c r="D38" s="52">
        <v>1</v>
      </c>
      <c r="E38" s="19">
        <v>210000</v>
      </c>
      <c r="F38" s="19">
        <v>54270</v>
      </c>
      <c r="G38" s="19">
        <f>E38-F38</f>
        <v>155730</v>
      </c>
      <c r="H38" s="19">
        <f>G38*$H$6</f>
        <v>28031.399999999998</v>
      </c>
      <c r="I38" s="19">
        <f>G38+H38</f>
        <v>183761.4</v>
      </c>
      <c r="J38" s="19">
        <f>G38*$J$6</f>
        <v>1557.3</v>
      </c>
      <c r="K38" s="19">
        <f>G38*$K$6</f>
        <v>15573</v>
      </c>
      <c r="L38" s="19"/>
      <c r="M38" s="19"/>
      <c r="N38" s="19"/>
      <c r="O38" s="19">
        <f>H38</f>
        <v>28031.399999999998</v>
      </c>
      <c r="P38" s="19"/>
      <c r="Q38" s="32">
        <f>I38-J38-K38-O38-P38</f>
        <v>138599.70000000001</v>
      </c>
      <c r="R38" s="19">
        <v>138600</v>
      </c>
      <c r="S38" s="31" t="s">
        <v>23</v>
      </c>
      <c r="T38" s="10"/>
    </row>
    <row r="39" spans="1:175" ht="30" customHeight="1" x14ac:dyDescent="0.25">
      <c r="A39" s="20">
        <v>54603</v>
      </c>
      <c r="B39" s="23" t="s">
        <v>6</v>
      </c>
      <c r="C39" s="24"/>
      <c r="D39" s="52">
        <v>1</v>
      </c>
      <c r="E39" s="19">
        <v>28031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32">
        <f>E39</f>
        <v>28031</v>
      </c>
      <c r="R39" s="19">
        <v>28031</v>
      </c>
      <c r="S39" s="31" t="s">
        <v>24</v>
      </c>
      <c r="T39" s="10"/>
    </row>
    <row r="40" spans="1:175" ht="30" customHeight="1" x14ac:dyDescent="0.25">
      <c r="A40" s="20">
        <v>54603</v>
      </c>
      <c r="B40" s="23" t="s">
        <v>22</v>
      </c>
      <c r="C40" s="24">
        <v>45073</v>
      </c>
      <c r="D40" s="52">
        <v>11</v>
      </c>
      <c r="E40" s="19">
        <v>151000</v>
      </c>
      <c r="F40" s="19">
        <v>0</v>
      </c>
      <c r="G40" s="19">
        <f>E40-F40</f>
        <v>151000</v>
      </c>
      <c r="H40" s="19">
        <f>G40*$H$6</f>
        <v>27180</v>
      </c>
      <c r="I40" s="19">
        <f>G40+H40</f>
        <v>178180</v>
      </c>
      <c r="J40" s="19">
        <f>G40*$J$6</f>
        <v>1510</v>
      </c>
      <c r="K40" s="19">
        <f>G40*$K$6</f>
        <v>15100</v>
      </c>
      <c r="L40" s="19"/>
      <c r="M40" s="19"/>
      <c r="N40" s="19"/>
      <c r="O40" s="19">
        <f>H40</f>
        <v>27180</v>
      </c>
      <c r="P40" s="19"/>
      <c r="Q40" s="32">
        <f>I40-J40-K40-O40-P40</f>
        <v>134390</v>
      </c>
      <c r="R40" s="19">
        <v>27180</v>
      </c>
      <c r="S40" s="25" t="s">
        <v>25</v>
      </c>
      <c r="T40" s="10"/>
    </row>
    <row r="41" spans="1:175" ht="30" customHeight="1" x14ac:dyDescent="0.25">
      <c r="A41" s="20">
        <v>54603</v>
      </c>
      <c r="B41" s="23" t="s">
        <v>6</v>
      </c>
      <c r="C41" s="24"/>
      <c r="D41" s="52">
        <v>11</v>
      </c>
      <c r="E41" s="19">
        <v>27180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32">
        <f>E41</f>
        <v>27180</v>
      </c>
      <c r="R41" s="19">
        <v>134390</v>
      </c>
      <c r="S41" s="25" t="s">
        <v>26</v>
      </c>
      <c r="T41" s="11"/>
    </row>
    <row r="42" spans="1:175" s="14" customFormat="1" ht="30" customHeight="1" x14ac:dyDescent="0.25">
      <c r="A42" s="20">
        <v>55188</v>
      </c>
      <c r="B42" s="21"/>
      <c r="C42" s="21"/>
      <c r="D42" s="58"/>
      <c r="E42" s="21"/>
      <c r="F42" s="21"/>
      <c r="G42" s="21"/>
      <c r="H42" s="22"/>
      <c r="I42" s="21"/>
      <c r="J42" s="22"/>
      <c r="K42" s="22"/>
      <c r="L42" s="22"/>
      <c r="M42" s="22"/>
      <c r="N42" s="22"/>
      <c r="O42" s="22"/>
      <c r="P42" s="22"/>
      <c r="Q42" s="21"/>
      <c r="R42" s="21"/>
      <c r="S42" s="21"/>
      <c r="T42" s="1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</row>
    <row r="43" spans="1:175" ht="30" customHeight="1" x14ac:dyDescent="0.25">
      <c r="A43" s="20">
        <v>55188</v>
      </c>
      <c r="B43" s="23" t="s">
        <v>109</v>
      </c>
      <c r="C43" s="24">
        <v>45022</v>
      </c>
      <c r="D43" s="52">
        <v>1</v>
      </c>
      <c r="E43" s="19">
        <v>250110</v>
      </c>
      <c r="F43" s="19">
        <v>34200</v>
      </c>
      <c r="G43" s="19">
        <f>E43-F43</f>
        <v>215910</v>
      </c>
      <c r="H43" s="19">
        <f>G43*$H$6</f>
        <v>38863.799999999996</v>
      </c>
      <c r="I43" s="19">
        <f>G43+H43</f>
        <v>254773.8</v>
      </c>
      <c r="J43" s="19">
        <f>G43*$J$6</f>
        <v>2159.1</v>
      </c>
      <c r="K43" s="19">
        <f>G43*5%</f>
        <v>10795.5</v>
      </c>
      <c r="L43" s="19"/>
      <c r="M43" s="19"/>
      <c r="N43" s="19"/>
      <c r="O43" s="19">
        <f>H43</f>
        <v>38863.799999999996</v>
      </c>
      <c r="P43" s="19"/>
      <c r="Q43" s="32">
        <f>I43-J43-K43-O43-P43</f>
        <v>202955.4</v>
      </c>
      <c r="R43" s="19">
        <v>202955</v>
      </c>
      <c r="S43" s="31" t="s">
        <v>27</v>
      </c>
      <c r="T43" s="10"/>
    </row>
    <row r="44" spans="1:175" ht="30" customHeight="1" x14ac:dyDescent="0.25">
      <c r="A44" s="20">
        <v>55188</v>
      </c>
      <c r="B44" s="23" t="s">
        <v>6</v>
      </c>
      <c r="C44" s="24"/>
      <c r="D44" s="52">
        <v>1</v>
      </c>
      <c r="E44" s="19">
        <v>38863.800000000003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>
        <f>E44</f>
        <v>38863.800000000003</v>
      </c>
      <c r="R44" s="19">
        <v>38864</v>
      </c>
      <c r="S44" s="31" t="s">
        <v>28</v>
      </c>
      <c r="T44" s="11"/>
    </row>
    <row r="45" spans="1:175" s="14" customFormat="1" ht="30" customHeight="1" x14ac:dyDescent="0.25">
      <c r="A45" s="20">
        <v>55244</v>
      </c>
      <c r="B45" s="21"/>
      <c r="C45" s="21"/>
      <c r="D45" s="58"/>
      <c r="E45" s="21"/>
      <c r="F45" s="21"/>
      <c r="G45" s="21"/>
      <c r="H45" s="22"/>
      <c r="I45" s="21"/>
      <c r="J45" s="22"/>
      <c r="K45" s="22"/>
      <c r="L45" s="22"/>
      <c r="M45" s="22"/>
      <c r="N45" s="22"/>
      <c r="O45" s="22"/>
      <c r="P45" s="22"/>
      <c r="Q45" s="21"/>
      <c r="R45" s="21"/>
      <c r="S45" s="21"/>
      <c r="T45" s="1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</row>
    <row r="46" spans="1:175" ht="30" customHeight="1" x14ac:dyDescent="0.25">
      <c r="A46" s="20">
        <v>55244</v>
      </c>
      <c r="B46" s="23" t="s">
        <v>29</v>
      </c>
      <c r="C46" s="24">
        <v>45022</v>
      </c>
      <c r="D46" s="52">
        <v>2</v>
      </c>
      <c r="E46" s="19">
        <v>381000</v>
      </c>
      <c r="F46" s="19">
        <v>22800</v>
      </c>
      <c r="G46" s="19">
        <f>E46-F46</f>
        <v>358200</v>
      </c>
      <c r="H46" s="19">
        <f>ROUND(G46*18%,0)</f>
        <v>64476</v>
      </c>
      <c r="I46" s="19">
        <f>G46+H46</f>
        <v>422676</v>
      </c>
      <c r="J46" s="19">
        <f>ROUND(G46*$J$6,0)</f>
        <v>3582</v>
      </c>
      <c r="K46" s="19">
        <f>ROUND(G46*10%,0)</f>
        <v>35820</v>
      </c>
      <c r="L46" s="19"/>
      <c r="M46" s="19"/>
      <c r="N46" s="19"/>
      <c r="O46" s="19">
        <f>H46</f>
        <v>64476</v>
      </c>
      <c r="P46" s="19">
        <v>0</v>
      </c>
      <c r="Q46" s="19">
        <f>ROUND(I46-SUM(J46:P46),)</f>
        <v>318798</v>
      </c>
      <c r="R46" s="19">
        <v>318798</v>
      </c>
      <c r="S46" s="25" t="s">
        <v>30</v>
      </c>
      <c r="T46" s="10"/>
    </row>
    <row r="47" spans="1:175" ht="30" customHeight="1" x14ac:dyDescent="0.25">
      <c r="A47" s="20">
        <v>55244</v>
      </c>
      <c r="B47" s="23" t="s">
        <v>6</v>
      </c>
      <c r="C47" s="24"/>
      <c r="D47" s="52">
        <v>14</v>
      </c>
      <c r="E47" s="19">
        <v>64476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>
        <f>E47</f>
        <v>64476</v>
      </c>
      <c r="R47" s="19">
        <v>64476</v>
      </c>
      <c r="S47" s="25" t="s">
        <v>31</v>
      </c>
      <c r="T47" s="11"/>
    </row>
    <row r="48" spans="1:175" s="14" customFormat="1" ht="30" customHeight="1" x14ac:dyDescent="0.25">
      <c r="A48" s="20">
        <v>55245</v>
      </c>
      <c r="B48" s="21"/>
      <c r="C48" s="21"/>
      <c r="D48" s="58"/>
      <c r="E48" s="21"/>
      <c r="F48" s="21"/>
      <c r="G48" s="21"/>
      <c r="H48" s="22"/>
      <c r="I48" s="21"/>
      <c r="J48" s="22"/>
      <c r="K48" s="22"/>
      <c r="L48" s="22"/>
      <c r="M48" s="22"/>
      <c r="N48" s="22"/>
      <c r="O48" s="22"/>
      <c r="P48" s="22"/>
      <c r="Q48" s="21"/>
      <c r="R48" s="21"/>
      <c r="S48" s="21"/>
      <c r="T48" s="1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</row>
    <row r="49" spans="1:175" ht="30" customHeight="1" x14ac:dyDescent="0.25">
      <c r="A49" s="20">
        <v>55245</v>
      </c>
      <c r="B49" s="23" t="s">
        <v>32</v>
      </c>
      <c r="C49" s="24">
        <v>45073</v>
      </c>
      <c r="D49" s="51">
        <v>13</v>
      </c>
      <c r="E49" s="19">
        <f>350000*60%</f>
        <v>210000</v>
      </c>
      <c r="F49" s="19">
        <v>53597</v>
      </c>
      <c r="G49" s="19">
        <f>ROUND(E49-F49,0)</f>
        <v>156403</v>
      </c>
      <c r="H49" s="19">
        <f>ROUND(G49*18%,0)</f>
        <v>28153</v>
      </c>
      <c r="I49" s="19">
        <f>G49+H49</f>
        <v>184556</v>
      </c>
      <c r="J49" s="19">
        <f>G49*1%</f>
        <v>1564.03</v>
      </c>
      <c r="K49" s="19">
        <f>G49*10%</f>
        <v>15640.300000000001</v>
      </c>
      <c r="L49" s="19"/>
      <c r="M49" s="19"/>
      <c r="N49" s="19"/>
      <c r="O49" s="19">
        <f>H49</f>
        <v>28153</v>
      </c>
      <c r="P49" s="19"/>
      <c r="Q49" s="19">
        <f>ROUND(I49-SUM(J49:P49),0)</f>
        <v>139199</v>
      </c>
      <c r="R49" s="19">
        <v>139199</v>
      </c>
      <c r="S49" s="31" t="s">
        <v>33</v>
      </c>
      <c r="T49" s="10"/>
    </row>
    <row r="50" spans="1:175" ht="30" customHeight="1" x14ac:dyDescent="0.25">
      <c r="A50" s="20">
        <v>55245</v>
      </c>
      <c r="B50" s="23" t="s">
        <v>6</v>
      </c>
      <c r="C50" s="24"/>
      <c r="D50" s="51">
        <v>13</v>
      </c>
      <c r="E50" s="19">
        <v>28153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>
        <f>E50</f>
        <v>28153</v>
      </c>
      <c r="R50" s="19">
        <v>28152</v>
      </c>
      <c r="S50" s="25" t="s">
        <v>56</v>
      </c>
      <c r="T50" s="10"/>
    </row>
    <row r="51" spans="1:175" ht="30" customHeight="1" x14ac:dyDescent="0.25">
      <c r="A51" s="20">
        <v>55245</v>
      </c>
      <c r="B51" s="23" t="s">
        <v>32</v>
      </c>
      <c r="C51" s="24">
        <v>45306</v>
      </c>
      <c r="D51" s="51">
        <v>63</v>
      </c>
      <c r="E51" s="19">
        <v>132950</v>
      </c>
      <c r="F51" s="19">
        <v>0</v>
      </c>
      <c r="G51" s="19">
        <f>ROUND(E51-F51,0)</f>
        <v>132950</v>
      </c>
      <c r="H51" s="19">
        <f>ROUND(G51*18%,0)</f>
        <v>23931</v>
      </c>
      <c r="I51" s="19">
        <f>G51+H51</f>
        <v>156881</v>
      </c>
      <c r="J51" s="19">
        <f>G51*1%</f>
        <v>1329.5</v>
      </c>
      <c r="K51" s="19">
        <f>G51*10%</f>
        <v>13295</v>
      </c>
      <c r="L51" s="19"/>
      <c r="M51" s="19"/>
      <c r="N51" s="19"/>
      <c r="O51" s="19">
        <f>H51</f>
        <v>23931</v>
      </c>
      <c r="P51" s="19"/>
      <c r="Q51" s="19">
        <f>ROUND(I51-SUM(J51:P51),0)</f>
        <v>118326</v>
      </c>
      <c r="R51" s="19">
        <v>118325</v>
      </c>
      <c r="S51" s="25" t="s">
        <v>73</v>
      </c>
      <c r="T51" s="11"/>
    </row>
    <row r="52" spans="1:175" ht="30" customHeight="1" x14ac:dyDescent="0.25">
      <c r="A52" s="20">
        <v>55245</v>
      </c>
      <c r="B52" s="23"/>
      <c r="C52" s="24">
        <v>45323</v>
      </c>
      <c r="D52" s="51">
        <v>67</v>
      </c>
      <c r="E52" s="19">
        <v>18050</v>
      </c>
      <c r="F52" s="19"/>
      <c r="G52" s="19">
        <f>ROUND(E52-F52,0)</f>
        <v>18050</v>
      </c>
      <c r="H52" s="19">
        <f>ROUND(G52*18%,0)</f>
        <v>3249</v>
      </c>
      <c r="I52" s="19">
        <f>G52+H52</f>
        <v>21299</v>
      </c>
      <c r="J52" s="19">
        <f>G52*1%</f>
        <v>180.5</v>
      </c>
      <c r="K52" s="19">
        <f>G52*10%</f>
        <v>1805</v>
      </c>
      <c r="L52" s="19"/>
      <c r="M52" s="19"/>
      <c r="N52" s="19"/>
      <c r="O52" s="19">
        <f>H52</f>
        <v>3249</v>
      </c>
      <c r="P52" s="19"/>
      <c r="Q52" s="19">
        <f>ROUND(I52-SUM(J52:P52),0)</f>
        <v>16065</v>
      </c>
      <c r="R52" s="19"/>
      <c r="S52" s="25"/>
      <c r="T52" s="11"/>
    </row>
    <row r="53" spans="1:175" ht="30" customHeight="1" x14ac:dyDescent="0.25">
      <c r="A53" s="18"/>
      <c r="B53" s="23"/>
      <c r="C53" s="24"/>
      <c r="D53" s="51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5"/>
      <c r="T53" s="11"/>
    </row>
    <row r="54" spans="1:175" ht="30" customHeight="1" x14ac:dyDescent="0.25">
      <c r="A54" s="18"/>
      <c r="B54" s="23"/>
      <c r="C54" s="24"/>
      <c r="D54" s="51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5"/>
      <c r="T54" s="11"/>
    </row>
    <row r="55" spans="1:175" s="14" customFormat="1" ht="30" customHeight="1" x14ac:dyDescent="0.25">
      <c r="A55" s="20">
        <v>55308</v>
      </c>
      <c r="B55" s="21"/>
      <c r="C55" s="21"/>
      <c r="D55" s="58"/>
      <c r="E55" s="21"/>
      <c r="F55" s="21"/>
      <c r="G55" s="21"/>
      <c r="H55" s="22"/>
      <c r="I55" s="21"/>
      <c r="J55" s="22"/>
      <c r="K55" s="22"/>
      <c r="L55" s="22"/>
      <c r="M55" s="22"/>
      <c r="N55" s="22"/>
      <c r="O55" s="22"/>
      <c r="P55" s="22"/>
      <c r="Q55" s="21"/>
      <c r="R55" s="21"/>
      <c r="S55" s="21"/>
      <c r="T55" s="1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</row>
    <row r="56" spans="1:175" ht="30" customHeight="1" x14ac:dyDescent="0.25">
      <c r="A56" s="20">
        <v>55308</v>
      </c>
      <c r="B56" s="23" t="s">
        <v>34</v>
      </c>
      <c r="C56" s="24">
        <v>45075</v>
      </c>
      <c r="D56" s="52">
        <v>14</v>
      </c>
      <c r="E56" s="19">
        <v>342440</v>
      </c>
      <c r="F56" s="19">
        <v>38000</v>
      </c>
      <c r="G56" s="19">
        <f>E56-F56</f>
        <v>304440</v>
      </c>
      <c r="H56" s="19">
        <f>ROUND(G56*18%,0)</f>
        <v>54799</v>
      </c>
      <c r="I56" s="19">
        <f>G56+H56</f>
        <v>359239</v>
      </c>
      <c r="J56" s="19">
        <f>ROUND(G56*$J$6,0)</f>
        <v>3044</v>
      </c>
      <c r="K56" s="19">
        <f>ROUND(G56*5%,0)</f>
        <v>15222</v>
      </c>
      <c r="L56" s="19"/>
      <c r="M56" s="19"/>
      <c r="N56" s="19"/>
      <c r="O56" s="19">
        <f>H56</f>
        <v>54799</v>
      </c>
      <c r="P56" s="19">
        <v>6440</v>
      </c>
      <c r="Q56" s="19">
        <f>ROUND(I56-SUM(J56:P56),)</f>
        <v>279734</v>
      </c>
      <c r="R56" s="19">
        <v>54799</v>
      </c>
      <c r="S56" s="25" t="s">
        <v>35</v>
      </c>
      <c r="T56" s="10"/>
    </row>
    <row r="57" spans="1:175" ht="30" customHeight="1" x14ac:dyDescent="0.25">
      <c r="A57" s="20">
        <v>55308</v>
      </c>
      <c r="B57" s="23" t="s">
        <v>6</v>
      </c>
      <c r="C57" s="24"/>
      <c r="D57" s="52">
        <v>14</v>
      </c>
      <c r="E57" s="19">
        <v>54799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>
        <f>E57</f>
        <v>54799</v>
      </c>
      <c r="R57" s="19">
        <v>279734</v>
      </c>
      <c r="S57" s="25" t="s">
        <v>36</v>
      </c>
      <c r="T57" s="10"/>
    </row>
    <row r="58" spans="1:175" ht="30" customHeight="1" x14ac:dyDescent="0.25">
      <c r="A58" s="20">
        <v>55308</v>
      </c>
      <c r="B58" s="23" t="s">
        <v>34</v>
      </c>
      <c r="C58" s="24">
        <v>45680</v>
      </c>
      <c r="D58" s="52">
        <v>16</v>
      </c>
      <c r="E58" s="19">
        <v>74410</v>
      </c>
      <c r="F58" s="19">
        <v>0</v>
      </c>
      <c r="G58" s="19">
        <f>E58-F58</f>
        <v>74410</v>
      </c>
      <c r="H58" s="19">
        <f>ROUND(G58*18%,0)</f>
        <v>13394</v>
      </c>
      <c r="I58" s="19">
        <f>G58+H58</f>
        <v>87804</v>
      </c>
      <c r="J58" s="19">
        <f>ROUND(G58*$J$6,0)</f>
        <v>744</v>
      </c>
      <c r="K58" s="19">
        <f>ROUND(G58*10%,0)</f>
        <v>7441</v>
      </c>
      <c r="L58" s="19"/>
      <c r="M58" s="19"/>
      <c r="N58" s="19"/>
      <c r="O58" s="19">
        <f>H58</f>
        <v>13394</v>
      </c>
      <c r="P58" s="19">
        <v>1610</v>
      </c>
      <c r="Q58" s="19">
        <f>ROUND(I58-SUM(J58:P58),)</f>
        <v>64615</v>
      </c>
      <c r="R58" s="19"/>
      <c r="S58" s="25"/>
      <c r="T58" s="11"/>
    </row>
    <row r="59" spans="1:175" ht="30" customHeight="1" x14ac:dyDescent="0.25">
      <c r="A59" s="18"/>
      <c r="B59" s="23"/>
      <c r="C59" s="24"/>
      <c r="D59" s="52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5"/>
      <c r="T59" s="11"/>
    </row>
    <row r="60" spans="1:175" s="14" customFormat="1" ht="30" customHeight="1" x14ac:dyDescent="0.25">
      <c r="A60" s="20">
        <v>55567</v>
      </c>
      <c r="B60" s="21"/>
      <c r="C60" s="21"/>
      <c r="D60" s="58"/>
      <c r="E60" s="21"/>
      <c r="F60" s="21"/>
      <c r="G60" s="21"/>
      <c r="H60" s="22"/>
      <c r="I60" s="21"/>
      <c r="J60" s="22"/>
      <c r="K60" s="22"/>
      <c r="L60" s="22"/>
      <c r="M60" s="22"/>
      <c r="N60" s="22"/>
      <c r="O60" s="22"/>
      <c r="P60" s="22"/>
      <c r="Q60" s="21"/>
      <c r="R60" s="21"/>
      <c r="S60" s="21"/>
      <c r="T60" s="1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</row>
    <row r="61" spans="1:175" ht="30" customHeight="1" x14ac:dyDescent="0.25">
      <c r="A61" s="20">
        <v>55567</v>
      </c>
      <c r="B61" s="23" t="s">
        <v>37</v>
      </c>
      <c r="C61" s="24">
        <v>45091</v>
      </c>
      <c r="D61" s="52">
        <v>16</v>
      </c>
      <c r="E61" s="19">
        <v>322420</v>
      </c>
      <c r="F61" s="19">
        <v>30400</v>
      </c>
      <c r="G61" s="19">
        <f>E61-F61</f>
        <v>292020</v>
      </c>
      <c r="H61" s="19">
        <f>ROUND(G61*18%,0)</f>
        <v>52564</v>
      </c>
      <c r="I61" s="19">
        <f>G61+H61</f>
        <v>344584</v>
      </c>
      <c r="J61" s="19">
        <f>ROUND(G61*$J$6,0)</f>
        <v>2920</v>
      </c>
      <c r="K61" s="19">
        <f>ROUND(G61*5%,0)</f>
        <v>14601</v>
      </c>
      <c r="L61" s="19"/>
      <c r="M61" s="19"/>
      <c r="N61" s="19"/>
      <c r="O61" s="19">
        <f>H61</f>
        <v>52564</v>
      </c>
      <c r="P61" s="19">
        <v>0</v>
      </c>
      <c r="Q61" s="19">
        <f>ROUND(I61-SUM(J61:P61),)</f>
        <v>274499</v>
      </c>
      <c r="R61" s="19">
        <v>274499</v>
      </c>
      <c r="S61" s="25" t="s">
        <v>38</v>
      </c>
      <c r="T61" s="10"/>
    </row>
    <row r="62" spans="1:175" ht="30" customHeight="1" x14ac:dyDescent="0.25">
      <c r="A62" s="20">
        <v>55567</v>
      </c>
      <c r="B62" s="23" t="s">
        <v>6</v>
      </c>
      <c r="C62" s="24"/>
      <c r="D62" s="52"/>
      <c r="E62" s="19">
        <v>52564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>
        <v>52564</v>
      </c>
      <c r="R62" s="19">
        <v>52564</v>
      </c>
      <c r="S62" s="25" t="s">
        <v>57</v>
      </c>
      <c r="T62" s="11"/>
    </row>
    <row r="63" spans="1:175" s="14" customFormat="1" ht="30" customHeight="1" x14ac:dyDescent="0.25">
      <c r="A63" s="20">
        <v>55568</v>
      </c>
      <c r="B63" s="21"/>
      <c r="C63" s="21"/>
      <c r="D63" s="58"/>
      <c r="E63" s="21"/>
      <c r="F63" s="21"/>
      <c r="G63" s="21"/>
      <c r="H63" s="22"/>
      <c r="I63" s="21"/>
      <c r="J63" s="22"/>
      <c r="K63" s="22"/>
      <c r="L63" s="22"/>
      <c r="M63" s="22"/>
      <c r="N63" s="22"/>
      <c r="O63" s="22"/>
      <c r="P63" s="22"/>
      <c r="Q63" s="21"/>
      <c r="R63" s="21"/>
      <c r="S63" s="21"/>
      <c r="T63" s="13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</row>
    <row r="64" spans="1:175" ht="30" customHeight="1" x14ac:dyDescent="0.25">
      <c r="A64" s="20">
        <v>55568</v>
      </c>
      <c r="B64" s="23" t="s">
        <v>50</v>
      </c>
      <c r="C64" s="24">
        <v>45168</v>
      </c>
      <c r="D64" s="52">
        <v>30</v>
      </c>
      <c r="E64" s="19">
        <v>356020</v>
      </c>
      <c r="F64" s="19">
        <v>30400</v>
      </c>
      <c r="G64" s="19">
        <f>E64-F64</f>
        <v>325620</v>
      </c>
      <c r="H64" s="19">
        <f>ROUND(G64*18%,0)</f>
        <v>58612</v>
      </c>
      <c r="I64" s="19">
        <f>G64+H64</f>
        <v>384232</v>
      </c>
      <c r="J64" s="19">
        <f>ROUND(G64*$J$6,0)</f>
        <v>3256</v>
      </c>
      <c r="K64" s="19">
        <f>G64*5%</f>
        <v>16281</v>
      </c>
      <c r="L64" s="19"/>
      <c r="M64" s="19"/>
      <c r="N64" s="19">
        <v>0</v>
      </c>
      <c r="O64" s="19">
        <v>58612</v>
      </c>
      <c r="P64" s="19">
        <v>25025</v>
      </c>
      <c r="Q64" s="19">
        <f>ROUND(I64-SUM(J64:P64),)</f>
        <v>281058</v>
      </c>
      <c r="R64" s="19">
        <v>281058</v>
      </c>
      <c r="S64" s="25" t="s">
        <v>65</v>
      </c>
      <c r="T64" s="10"/>
    </row>
    <row r="65" spans="1:175" ht="30" customHeight="1" x14ac:dyDescent="0.25">
      <c r="A65" s="20">
        <v>55568</v>
      </c>
      <c r="B65" s="23" t="s">
        <v>51</v>
      </c>
      <c r="C65" s="24">
        <v>45198</v>
      </c>
      <c r="D65" s="52">
        <v>30</v>
      </c>
      <c r="E65" s="19">
        <v>58612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>
        <f>E65</f>
        <v>58612</v>
      </c>
      <c r="R65" s="19">
        <v>58612</v>
      </c>
      <c r="S65" s="25" t="s">
        <v>66</v>
      </c>
      <c r="T65" s="10"/>
    </row>
    <row r="66" spans="1:175" ht="30" customHeight="1" x14ac:dyDescent="0.25">
      <c r="A66" s="18"/>
      <c r="B66" s="23"/>
      <c r="C66" s="24"/>
      <c r="D66" s="52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5"/>
      <c r="T66" s="11"/>
    </row>
    <row r="67" spans="1:175" s="14" customFormat="1" ht="30" customHeight="1" x14ac:dyDescent="0.25">
      <c r="A67" s="20">
        <v>55569</v>
      </c>
      <c r="B67" s="21"/>
      <c r="C67" s="21"/>
      <c r="D67" s="58"/>
      <c r="E67" s="21"/>
      <c r="F67" s="21"/>
      <c r="G67" s="21"/>
      <c r="H67" s="22"/>
      <c r="I67" s="21"/>
      <c r="J67" s="22"/>
      <c r="K67" s="22"/>
      <c r="L67" s="22"/>
      <c r="M67" s="22"/>
      <c r="N67" s="22"/>
      <c r="O67" s="22"/>
      <c r="P67" s="22"/>
      <c r="Q67" s="21"/>
      <c r="R67" s="21"/>
      <c r="S67" s="21"/>
      <c r="T67" s="13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</row>
    <row r="68" spans="1:175" ht="30" customHeight="1" x14ac:dyDescent="0.25">
      <c r="A68" s="20">
        <v>55569</v>
      </c>
      <c r="B68" s="23" t="s">
        <v>39</v>
      </c>
      <c r="C68" s="24">
        <v>45091</v>
      </c>
      <c r="D68" s="52">
        <v>17</v>
      </c>
      <c r="E68" s="19">
        <v>337820</v>
      </c>
      <c r="F68" s="19">
        <v>30400</v>
      </c>
      <c r="G68" s="19">
        <f>E68-F68</f>
        <v>307420</v>
      </c>
      <c r="H68" s="19">
        <f>ROUND(G68*18%,0)</f>
        <v>55336</v>
      </c>
      <c r="I68" s="19">
        <f>G68+H68</f>
        <v>362756</v>
      </c>
      <c r="J68" s="19">
        <f>ROUND(G68*$J$6,0)</f>
        <v>3074</v>
      </c>
      <c r="K68" s="19">
        <f>ROUND(G68*5%,0)</f>
        <v>15371</v>
      </c>
      <c r="L68" s="19"/>
      <c r="M68" s="19"/>
      <c r="N68" s="19"/>
      <c r="O68" s="19">
        <f>H68</f>
        <v>55336</v>
      </c>
      <c r="P68" s="19">
        <v>2275</v>
      </c>
      <c r="Q68" s="19">
        <f>ROUND(I68-SUM(J68:P68),)</f>
        <v>286700</v>
      </c>
      <c r="R68" s="19">
        <v>286700</v>
      </c>
      <c r="S68" s="25" t="s">
        <v>40</v>
      </c>
      <c r="T68" s="10"/>
    </row>
    <row r="69" spans="1:175" ht="30" customHeight="1" x14ac:dyDescent="0.25">
      <c r="A69" s="20">
        <v>55569</v>
      </c>
      <c r="B69" s="23" t="s">
        <v>6</v>
      </c>
      <c r="C69" s="24"/>
      <c r="D69" s="52"/>
      <c r="E69" s="19">
        <v>55336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>
        <v>55336</v>
      </c>
      <c r="R69" s="19">
        <v>55336</v>
      </c>
      <c r="S69" s="25" t="s">
        <v>58</v>
      </c>
      <c r="T69" s="11"/>
    </row>
    <row r="70" spans="1:175" s="14" customFormat="1" ht="30" customHeight="1" x14ac:dyDescent="0.25">
      <c r="A70" s="20">
        <v>57089</v>
      </c>
      <c r="B70" s="21"/>
      <c r="C70" s="21"/>
      <c r="D70" s="58"/>
      <c r="E70" s="21"/>
      <c r="F70" s="21"/>
      <c r="G70" s="21"/>
      <c r="H70" s="22"/>
      <c r="I70" s="21"/>
      <c r="J70" s="22"/>
      <c r="K70" s="22"/>
      <c r="L70" s="22"/>
      <c r="M70" s="22"/>
      <c r="N70" s="22"/>
      <c r="O70" s="22"/>
      <c r="P70" s="22"/>
      <c r="Q70" s="21"/>
      <c r="R70" s="21"/>
      <c r="S70" s="21"/>
      <c r="T70" s="13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</row>
    <row r="71" spans="1:175" ht="30" customHeight="1" x14ac:dyDescent="0.25">
      <c r="A71" s="20">
        <v>57089</v>
      </c>
      <c r="B71" s="23" t="s">
        <v>41</v>
      </c>
      <c r="C71" s="24">
        <v>45036</v>
      </c>
      <c r="D71" s="52">
        <v>4</v>
      </c>
      <c r="E71" s="19">
        <v>420000</v>
      </c>
      <c r="F71" s="19">
        <v>38000</v>
      </c>
      <c r="G71" s="19">
        <f>E71-F71</f>
        <v>382000</v>
      </c>
      <c r="H71" s="19">
        <f>ROUND(G71*18%,0)</f>
        <v>68760</v>
      </c>
      <c r="I71" s="19">
        <f>G71+H71</f>
        <v>450760</v>
      </c>
      <c r="J71" s="19">
        <f>ROUND(G71*$J$6,0)</f>
        <v>3820</v>
      </c>
      <c r="K71" s="19">
        <f>ROUND(G71*25%,0)</f>
        <v>95500</v>
      </c>
      <c r="L71" s="19"/>
      <c r="M71" s="19"/>
      <c r="N71" s="19"/>
      <c r="O71" s="19">
        <f>H71</f>
        <v>68760</v>
      </c>
      <c r="P71" s="19">
        <v>0</v>
      </c>
      <c r="Q71" s="19">
        <f>ROUND(I71-SUM(J71:P71),)</f>
        <v>282680</v>
      </c>
      <c r="R71" s="19">
        <v>282680</v>
      </c>
      <c r="S71" s="25" t="s">
        <v>42</v>
      </c>
      <c r="T71" s="10"/>
    </row>
    <row r="72" spans="1:175" ht="30" customHeight="1" x14ac:dyDescent="0.25">
      <c r="A72" s="20">
        <v>57089</v>
      </c>
      <c r="B72" s="23" t="s">
        <v>6</v>
      </c>
      <c r="C72" s="24"/>
      <c r="D72" s="52">
        <v>12</v>
      </c>
      <c r="E72" s="19">
        <v>68760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>
        <f>E72</f>
        <v>68760</v>
      </c>
      <c r="R72" s="19">
        <v>68760</v>
      </c>
      <c r="S72" s="25" t="s">
        <v>43</v>
      </c>
      <c r="T72" s="11"/>
    </row>
    <row r="73" spans="1:175" s="14" customFormat="1" ht="30" customHeight="1" x14ac:dyDescent="0.25">
      <c r="A73" s="20">
        <v>57601</v>
      </c>
      <c r="B73" s="21"/>
      <c r="C73" s="21"/>
      <c r="D73" s="58"/>
      <c r="E73" s="21"/>
      <c r="F73" s="21"/>
      <c r="G73" s="21"/>
      <c r="H73" s="22"/>
      <c r="I73" s="21"/>
      <c r="J73" s="22"/>
      <c r="K73" s="22"/>
      <c r="L73" s="22"/>
      <c r="M73" s="22"/>
      <c r="N73" s="22"/>
      <c r="O73" s="22"/>
      <c r="P73" s="22"/>
      <c r="Q73" s="21"/>
      <c r="R73" s="21"/>
      <c r="S73" s="21"/>
      <c r="T73" s="13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</row>
    <row r="74" spans="1:175" ht="30" customHeight="1" x14ac:dyDescent="0.25">
      <c r="A74" s="20">
        <v>57601</v>
      </c>
      <c r="B74" s="23" t="s">
        <v>44</v>
      </c>
      <c r="C74" s="24">
        <v>45073</v>
      </c>
      <c r="D74" s="52">
        <v>12</v>
      </c>
      <c r="E74" s="19">
        <f>(113*3500)*80%</f>
        <v>316400</v>
      </c>
      <c r="F74" s="19">
        <v>38000</v>
      </c>
      <c r="G74" s="19">
        <f>E74-F74</f>
        <v>278400</v>
      </c>
      <c r="H74" s="19">
        <f>ROUND(G74*18%,0)</f>
        <v>50112</v>
      </c>
      <c r="I74" s="19">
        <f>G74+H74</f>
        <v>328512</v>
      </c>
      <c r="J74" s="19">
        <f>ROUND(G74*$J$6,0)</f>
        <v>2784</v>
      </c>
      <c r="K74" s="19">
        <f>ROUND(G74*5%,0)</f>
        <v>13920</v>
      </c>
      <c r="L74" s="19"/>
      <c r="M74" s="19"/>
      <c r="N74" s="19"/>
      <c r="O74" s="19">
        <f>H74</f>
        <v>50112</v>
      </c>
      <c r="P74" s="19">
        <v>0</v>
      </c>
      <c r="Q74" s="19">
        <f>ROUND(I74-SUM(J74:P74),)</f>
        <v>261696</v>
      </c>
      <c r="R74" s="19">
        <v>261696</v>
      </c>
      <c r="S74" s="25" t="s">
        <v>45</v>
      </c>
      <c r="T74" s="10"/>
    </row>
    <row r="75" spans="1:175" ht="30" customHeight="1" x14ac:dyDescent="0.25">
      <c r="A75" s="20">
        <v>57601</v>
      </c>
      <c r="B75" s="23" t="s">
        <v>6</v>
      </c>
      <c r="C75" s="24"/>
      <c r="D75" s="52">
        <v>12</v>
      </c>
      <c r="E75" s="19">
        <v>50112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>
        <f>E75</f>
        <v>50112</v>
      </c>
      <c r="R75" s="19">
        <v>50112</v>
      </c>
      <c r="S75" s="25" t="s">
        <v>59</v>
      </c>
      <c r="T75" s="11"/>
    </row>
    <row r="76" spans="1:175" s="14" customFormat="1" ht="30" customHeight="1" x14ac:dyDescent="0.25">
      <c r="A76" s="20">
        <v>57606</v>
      </c>
      <c r="B76" s="21"/>
      <c r="C76" s="21"/>
      <c r="D76" s="58"/>
      <c r="E76" s="21"/>
      <c r="F76" s="21"/>
      <c r="G76" s="21"/>
      <c r="H76" s="22"/>
      <c r="I76" s="21"/>
      <c r="J76" s="22"/>
      <c r="K76" s="22"/>
      <c r="L76" s="22"/>
      <c r="M76" s="22"/>
      <c r="N76" s="22"/>
      <c r="O76" s="22"/>
      <c r="P76" s="22"/>
      <c r="Q76" s="21"/>
      <c r="R76" s="21"/>
      <c r="S76" s="21"/>
      <c r="T76" s="13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</row>
    <row r="77" spans="1:175" ht="30" customHeight="1" x14ac:dyDescent="0.25">
      <c r="A77" s="20">
        <v>57606</v>
      </c>
      <c r="B77" s="23" t="s">
        <v>46</v>
      </c>
      <c r="C77" s="24">
        <v>45073</v>
      </c>
      <c r="D77" s="52">
        <v>10</v>
      </c>
      <c r="E77" s="19">
        <f>(127.6*3500)*80%</f>
        <v>357280</v>
      </c>
      <c r="F77" s="19">
        <v>57000</v>
      </c>
      <c r="G77" s="19">
        <f>E77-F77</f>
        <v>300280</v>
      </c>
      <c r="H77" s="19">
        <f>ROUND(G77*18%,0)</f>
        <v>54050</v>
      </c>
      <c r="I77" s="19">
        <f>G77+H77</f>
        <v>354330</v>
      </c>
      <c r="J77" s="19">
        <f>ROUND(G77*$J$6,0)</f>
        <v>3003</v>
      </c>
      <c r="K77" s="19">
        <f>ROUND(G77*5%,0)</f>
        <v>15014</v>
      </c>
      <c r="L77" s="19"/>
      <c r="M77" s="19"/>
      <c r="N77" s="19"/>
      <c r="O77" s="19">
        <f>H77</f>
        <v>54050</v>
      </c>
      <c r="P77" s="19">
        <f>((127.6-120)*3500)*80%</f>
        <v>21279.999999999985</v>
      </c>
      <c r="Q77" s="19">
        <f>ROUND(I77-SUM(J77:P77),)</f>
        <v>260983</v>
      </c>
      <c r="R77" s="19">
        <v>260983</v>
      </c>
      <c r="S77" s="25" t="s">
        <v>47</v>
      </c>
      <c r="T77" s="10"/>
    </row>
    <row r="78" spans="1:175" ht="30" customHeight="1" x14ac:dyDescent="0.25">
      <c r="A78" s="20">
        <v>57606</v>
      </c>
      <c r="B78" s="23" t="s">
        <v>6</v>
      </c>
      <c r="C78" s="24"/>
      <c r="D78" s="52">
        <v>10</v>
      </c>
      <c r="E78" s="19">
        <v>54050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>
        <f>E78</f>
        <v>54050</v>
      </c>
      <c r="R78" s="19">
        <v>54050</v>
      </c>
      <c r="S78" s="25" t="s">
        <v>60</v>
      </c>
      <c r="T78" s="11"/>
    </row>
    <row r="79" spans="1:175" s="14" customFormat="1" ht="30" customHeight="1" x14ac:dyDescent="0.25">
      <c r="A79" s="20">
        <v>58232</v>
      </c>
      <c r="B79" s="21"/>
      <c r="C79" s="21"/>
      <c r="D79" s="58"/>
      <c r="E79" s="21"/>
      <c r="F79" s="21"/>
      <c r="G79" s="21"/>
      <c r="H79" s="22"/>
      <c r="I79" s="21"/>
      <c r="J79" s="22"/>
      <c r="K79" s="22"/>
      <c r="L79" s="22"/>
      <c r="M79" s="22"/>
      <c r="N79" s="22"/>
      <c r="O79" s="22"/>
      <c r="P79" s="22"/>
      <c r="Q79" s="21"/>
      <c r="R79" s="21"/>
      <c r="S79" s="21"/>
      <c r="T79" s="15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</row>
    <row r="80" spans="1:175" ht="30" customHeight="1" x14ac:dyDescent="0.25">
      <c r="A80" s="20">
        <v>58232</v>
      </c>
      <c r="B80" s="19" t="s">
        <v>110</v>
      </c>
      <c r="C80" s="24">
        <v>45105</v>
      </c>
      <c r="D80" s="52">
        <v>18</v>
      </c>
      <c r="E80" s="19">
        <v>394520</v>
      </c>
      <c r="F80" s="19">
        <v>38000</v>
      </c>
      <c r="G80" s="19">
        <f>E80-F80</f>
        <v>356520</v>
      </c>
      <c r="H80" s="19">
        <f>ROUND(G80*18%,0)</f>
        <v>64174</v>
      </c>
      <c r="I80" s="19">
        <f>G80+H80</f>
        <v>420694</v>
      </c>
      <c r="J80" s="19">
        <f>ROUND(G80*$J$6,0)</f>
        <v>3565</v>
      </c>
      <c r="K80" s="19">
        <f>ROUND(G80*5%,0)</f>
        <v>17826</v>
      </c>
      <c r="L80" s="19"/>
      <c r="M80" s="19"/>
      <c r="N80" s="19">
        <v>0</v>
      </c>
      <c r="O80" s="19">
        <f>H80</f>
        <v>64174</v>
      </c>
      <c r="P80" s="19">
        <f>73150+71304</f>
        <v>144454</v>
      </c>
      <c r="Q80" s="19">
        <f>ROUND(I80-SUM(J80:P80),)</f>
        <v>190675</v>
      </c>
      <c r="R80" s="19">
        <v>190675</v>
      </c>
      <c r="S80" s="25" t="s">
        <v>69</v>
      </c>
      <c r="T80" s="11"/>
    </row>
    <row r="81" spans="1:175" ht="30" customHeight="1" x14ac:dyDescent="0.25">
      <c r="A81" s="20">
        <v>58232</v>
      </c>
      <c r="B81" s="23" t="s">
        <v>6</v>
      </c>
      <c r="C81" s="24"/>
      <c r="D81" s="52">
        <v>18</v>
      </c>
      <c r="E81" s="19">
        <f>O80</f>
        <v>64174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>
        <f>E81</f>
        <v>64174</v>
      </c>
      <c r="R81" s="19">
        <v>64174</v>
      </c>
      <c r="S81" s="25" t="s">
        <v>74</v>
      </c>
      <c r="T81" s="11"/>
    </row>
    <row r="82" spans="1:175" ht="30" customHeight="1" x14ac:dyDescent="0.25">
      <c r="A82" s="20">
        <v>58232</v>
      </c>
      <c r="B82" s="19" t="s">
        <v>111</v>
      </c>
      <c r="C82" s="24">
        <v>45680</v>
      </c>
      <c r="D82" s="52">
        <v>17</v>
      </c>
      <c r="E82" s="19">
        <v>98630</v>
      </c>
      <c r="F82" s="19">
        <v>0</v>
      </c>
      <c r="G82" s="19">
        <f>E82-F82</f>
        <v>98630</v>
      </c>
      <c r="H82" s="19">
        <f>ROUND(G82*18%,0)</f>
        <v>17753</v>
      </c>
      <c r="I82" s="19">
        <f>G82+H82</f>
        <v>116383</v>
      </c>
      <c r="J82" s="19">
        <f>ROUND(G82*$J$6,0)</f>
        <v>986</v>
      </c>
      <c r="K82" s="19">
        <f>ROUND(G82*5%,0)</f>
        <v>4932</v>
      </c>
      <c r="L82" s="19"/>
      <c r="M82" s="19"/>
      <c r="N82" s="19">
        <v>0</v>
      </c>
      <c r="O82" s="19">
        <f>H82</f>
        <v>17753</v>
      </c>
      <c r="P82" s="19">
        <v>0</v>
      </c>
      <c r="Q82" s="19">
        <f>ROUND(I82-SUM(J82:P82),)</f>
        <v>92712</v>
      </c>
      <c r="R82" s="19"/>
      <c r="S82" s="25"/>
      <c r="T82" s="11"/>
    </row>
    <row r="83" spans="1:175" ht="30" customHeight="1" x14ac:dyDescent="0.25">
      <c r="A83" s="18"/>
      <c r="B83" s="19"/>
      <c r="C83" s="24"/>
      <c r="D83" s="52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5"/>
      <c r="T83" s="11"/>
    </row>
    <row r="84" spans="1:175" s="14" customFormat="1" ht="30" customHeight="1" x14ac:dyDescent="0.25">
      <c r="A84" s="20">
        <v>58884</v>
      </c>
      <c r="B84" s="21"/>
      <c r="C84" s="21"/>
      <c r="D84" s="58"/>
      <c r="E84" s="21"/>
      <c r="F84" s="21"/>
      <c r="G84" s="21"/>
      <c r="H84" s="22"/>
      <c r="I84" s="21"/>
      <c r="J84" s="22"/>
      <c r="K84" s="22"/>
      <c r="L84" s="22"/>
      <c r="M84" s="22"/>
      <c r="N84" s="22"/>
      <c r="O84" s="22"/>
      <c r="P84" s="22"/>
      <c r="Q84" s="21"/>
      <c r="R84" s="21"/>
      <c r="S84" s="21"/>
      <c r="T84" s="15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</row>
    <row r="85" spans="1:175" ht="30" customHeight="1" x14ac:dyDescent="0.25">
      <c r="A85" s="20">
        <v>58884</v>
      </c>
      <c r="B85" s="23" t="s">
        <v>77</v>
      </c>
      <c r="C85" s="24"/>
      <c r="D85" s="23" t="s">
        <v>78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>
        <v>218415</v>
      </c>
      <c r="R85" s="19">
        <v>26568</v>
      </c>
      <c r="S85" s="64" t="s">
        <v>79</v>
      </c>
      <c r="T85" s="11"/>
    </row>
    <row r="86" spans="1:175" ht="30" customHeight="1" x14ac:dyDescent="0.25">
      <c r="A86" s="20">
        <v>58884</v>
      </c>
      <c r="B86" s="23"/>
      <c r="C86" s="24"/>
      <c r="D86" s="52">
        <v>1</v>
      </c>
      <c r="E86" s="19"/>
      <c r="F86" s="19"/>
      <c r="G86" s="19">
        <v>22515</v>
      </c>
      <c r="H86" s="19">
        <f>G86*18%</f>
        <v>4052.7</v>
      </c>
      <c r="I86" s="19">
        <f>G86+H86</f>
        <v>26567.7</v>
      </c>
      <c r="J86" s="19"/>
      <c r="K86" s="19"/>
      <c r="L86" s="19"/>
      <c r="M86" s="19"/>
      <c r="N86" s="19"/>
      <c r="O86" s="19"/>
      <c r="P86" s="19"/>
      <c r="Q86" s="19">
        <f>I86</f>
        <v>26567.7</v>
      </c>
      <c r="R86" s="19">
        <v>218415</v>
      </c>
      <c r="S86" s="25" t="s">
        <v>80</v>
      </c>
      <c r="T86" s="11"/>
    </row>
    <row r="87" spans="1:175" ht="30" customHeight="1" x14ac:dyDescent="0.25">
      <c r="A87" s="18"/>
      <c r="B87" s="23"/>
      <c r="C87" s="24"/>
      <c r="D87" s="52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5"/>
      <c r="T87" s="11"/>
    </row>
    <row r="88" spans="1:175" s="14" customFormat="1" ht="30" customHeight="1" x14ac:dyDescent="0.25">
      <c r="A88" s="20">
        <v>59196</v>
      </c>
      <c r="B88" s="21"/>
      <c r="C88" s="21"/>
      <c r="D88" s="58"/>
      <c r="E88" s="21"/>
      <c r="F88" s="21"/>
      <c r="G88" s="21"/>
      <c r="H88" s="22"/>
      <c r="I88" s="21"/>
      <c r="J88" s="22"/>
      <c r="K88" s="22"/>
      <c r="L88" s="22"/>
      <c r="M88" s="22"/>
      <c r="N88" s="22"/>
      <c r="O88" s="22"/>
      <c r="P88" s="22"/>
      <c r="Q88" s="21"/>
      <c r="R88" s="21"/>
      <c r="S88" s="21"/>
      <c r="T88" s="13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</row>
    <row r="89" spans="1:175" ht="30" customHeight="1" x14ac:dyDescent="0.25">
      <c r="A89" s="20">
        <v>59196</v>
      </c>
      <c r="B89" s="23" t="s">
        <v>49</v>
      </c>
      <c r="C89" s="24">
        <v>45174</v>
      </c>
      <c r="D89" s="51">
        <v>31</v>
      </c>
      <c r="E89" s="19">
        <f>350000*60%</f>
        <v>210000</v>
      </c>
      <c r="F89" s="19">
        <v>36680.480000000003</v>
      </c>
      <c r="G89" s="19">
        <f>ROUND(E89-F89,0)</f>
        <v>173320</v>
      </c>
      <c r="H89" s="19">
        <f>G89*1%</f>
        <v>1733.2</v>
      </c>
      <c r="I89" s="19">
        <f>G89+H89</f>
        <v>175053.2</v>
      </c>
      <c r="J89" s="19">
        <f>G89*$J$6</f>
        <v>1733.2</v>
      </c>
      <c r="K89" s="19">
        <f>G89*$K$6</f>
        <v>17332</v>
      </c>
      <c r="L89" s="19"/>
      <c r="M89" s="19"/>
      <c r="N89" s="19">
        <v>0</v>
      </c>
      <c r="O89" s="19">
        <f>H89</f>
        <v>1733.2</v>
      </c>
      <c r="P89" s="19"/>
      <c r="Q89" s="19">
        <f>ROUND(I89-SUM(J89:P89),0)</f>
        <v>154255</v>
      </c>
      <c r="R89" s="19">
        <v>154254</v>
      </c>
      <c r="S89" s="33" t="s">
        <v>61</v>
      </c>
      <c r="T89" s="10"/>
    </row>
    <row r="90" spans="1:175" ht="30" customHeight="1" x14ac:dyDescent="0.25">
      <c r="A90" s="20">
        <v>59196</v>
      </c>
      <c r="B90" s="23" t="s">
        <v>6</v>
      </c>
      <c r="C90" s="24">
        <v>45222</v>
      </c>
      <c r="D90" s="52">
        <v>31</v>
      </c>
      <c r="E90" s="19">
        <v>31198</v>
      </c>
      <c r="F90" s="19"/>
      <c r="G90" s="19">
        <f>E90-F90</f>
        <v>31198</v>
      </c>
      <c r="H90" s="19">
        <v>0</v>
      </c>
      <c r="I90" s="19">
        <f>G90+H90</f>
        <v>31198</v>
      </c>
      <c r="J90" s="19">
        <v>0</v>
      </c>
      <c r="K90" s="19">
        <v>0</v>
      </c>
      <c r="L90" s="19"/>
      <c r="M90" s="19"/>
      <c r="N90" s="19"/>
      <c r="O90" s="19">
        <v>0</v>
      </c>
      <c r="P90" s="19"/>
      <c r="Q90" s="19">
        <f>I90-SUM(J90:O90)</f>
        <v>31198</v>
      </c>
      <c r="R90" s="19">
        <v>31198</v>
      </c>
      <c r="S90" s="33" t="s">
        <v>67</v>
      </c>
      <c r="T90" s="10"/>
    </row>
    <row r="91" spans="1:175" ht="30" customHeight="1" x14ac:dyDescent="0.15">
      <c r="A91" s="20">
        <v>59196</v>
      </c>
      <c r="B91" s="23"/>
      <c r="C91" s="24">
        <v>45229</v>
      </c>
      <c r="D91" s="51">
        <v>44</v>
      </c>
      <c r="E91" s="19">
        <v>151000</v>
      </c>
      <c r="F91" s="19"/>
      <c r="G91" s="19">
        <f>ROUND(E91-F91,0)</f>
        <v>151000</v>
      </c>
      <c r="H91" s="19">
        <f>G91*1%</f>
        <v>1510</v>
      </c>
      <c r="I91" s="19">
        <f>G91+H91</f>
        <v>152510</v>
      </c>
      <c r="J91" s="19">
        <f>G91*$J$6</f>
        <v>1510</v>
      </c>
      <c r="K91" s="19">
        <f>G91*$K$6</f>
        <v>15100</v>
      </c>
      <c r="L91" s="19"/>
      <c r="M91" s="19"/>
      <c r="N91" s="19">
        <v>0</v>
      </c>
      <c r="O91" s="19">
        <f>H91</f>
        <v>1510</v>
      </c>
      <c r="P91" s="19"/>
      <c r="Q91" s="19">
        <f>ROUND(I91-SUM(J91:P91),0)</f>
        <v>134390</v>
      </c>
      <c r="R91" s="19">
        <v>134390</v>
      </c>
      <c r="S91" s="69" t="s">
        <v>86</v>
      </c>
      <c r="T91" s="11"/>
    </row>
    <row r="92" spans="1:175" s="14" customFormat="1" ht="30" customHeight="1" x14ac:dyDescent="0.25">
      <c r="A92" s="20">
        <v>59472</v>
      </c>
      <c r="B92" s="21"/>
      <c r="C92" s="21"/>
      <c r="D92" s="58"/>
      <c r="E92" s="21"/>
      <c r="F92" s="21"/>
      <c r="G92" s="21"/>
      <c r="H92" s="22"/>
      <c r="I92" s="21"/>
      <c r="J92" s="22"/>
      <c r="K92" s="22"/>
      <c r="L92" s="22"/>
      <c r="M92" s="22"/>
      <c r="N92" s="22"/>
      <c r="O92" s="22"/>
      <c r="P92" s="22"/>
      <c r="Q92" s="21"/>
      <c r="R92" s="21"/>
      <c r="S92" s="21"/>
      <c r="T92" s="13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</row>
    <row r="93" spans="1:175" ht="30" customHeight="1" x14ac:dyDescent="0.25">
      <c r="A93" s="20">
        <v>59472</v>
      </c>
      <c r="B93" s="23" t="s">
        <v>52</v>
      </c>
      <c r="C93" s="24">
        <v>45194</v>
      </c>
      <c r="D93" s="51">
        <v>32</v>
      </c>
      <c r="E93" s="19">
        <f>(140*3500)*80%</f>
        <v>392000</v>
      </c>
      <c r="F93" s="19">
        <v>94250</v>
      </c>
      <c r="G93" s="19">
        <f>ROUND(E93-F93,0)</f>
        <v>297750</v>
      </c>
      <c r="H93" s="19">
        <f>G93*18%</f>
        <v>53595</v>
      </c>
      <c r="I93" s="19">
        <f>G93+H93</f>
        <v>351345</v>
      </c>
      <c r="J93" s="19">
        <f>G93*1%</f>
        <v>2977.5</v>
      </c>
      <c r="K93" s="19">
        <f>G93*5%</f>
        <v>14887.5</v>
      </c>
      <c r="L93" s="19"/>
      <c r="M93" s="19"/>
      <c r="N93" s="19">
        <f>G93*$N$8</f>
        <v>0</v>
      </c>
      <c r="O93" s="19">
        <f>H93</f>
        <v>53595</v>
      </c>
      <c r="P93" s="19">
        <v>70000</v>
      </c>
      <c r="Q93" s="19">
        <f>ROUND(I93-SUM(J93:P93),0)</f>
        <v>209885</v>
      </c>
      <c r="R93" s="19">
        <v>209884</v>
      </c>
      <c r="S93" s="25" t="s">
        <v>63</v>
      </c>
      <c r="T93" s="10"/>
    </row>
    <row r="94" spans="1:175" ht="30" customHeight="1" x14ac:dyDescent="0.25">
      <c r="A94" s="20">
        <v>59472</v>
      </c>
      <c r="B94" s="23" t="s">
        <v>6</v>
      </c>
      <c r="C94" s="24">
        <v>45222</v>
      </c>
      <c r="D94" s="52">
        <v>32</v>
      </c>
      <c r="E94" s="19">
        <v>53595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>
        <f>E94</f>
        <v>53595</v>
      </c>
      <c r="R94" s="19">
        <v>53595</v>
      </c>
      <c r="S94" s="25" t="s">
        <v>64</v>
      </c>
      <c r="T94" s="10"/>
    </row>
    <row r="95" spans="1:175" ht="30" customHeight="1" x14ac:dyDescent="0.25">
      <c r="A95" s="20">
        <v>59472</v>
      </c>
      <c r="B95" s="19"/>
      <c r="C95" s="24">
        <v>45273</v>
      </c>
      <c r="D95" s="52">
        <v>58</v>
      </c>
      <c r="E95" s="19">
        <v>98000</v>
      </c>
      <c r="F95" s="19"/>
      <c r="G95" s="19">
        <f>ROUND(E95-F95,0)</f>
        <v>98000</v>
      </c>
      <c r="H95" s="19">
        <f>G95*18%</f>
        <v>17640</v>
      </c>
      <c r="I95" s="19">
        <f>G95+H95</f>
        <v>115640</v>
      </c>
      <c r="J95" s="19">
        <f>G95*1%</f>
        <v>980</v>
      </c>
      <c r="K95" s="19">
        <f>G95*5%</f>
        <v>4900</v>
      </c>
      <c r="L95" s="19"/>
      <c r="M95" s="19"/>
      <c r="N95" s="19">
        <f>G95*$N$8</f>
        <v>0</v>
      </c>
      <c r="O95" s="19">
        <f>H95</f>
        <v>17640</v>
      </c>
      <c r="P95" s="19">
        <f>G95*10%</f>
        <v>9800</v>
      </c>
      <c r="Q95" s="19">
        <f>ROUND(I95-SUM(J95:P95),0)</f>
        <v>82320</v>
      </c>
      <c r="R95" s="19"/>
      <c r="S95" s="25"/>
      <c r="T95" s="10"/>
    </row>
    <row r="96" spans="1:175" ht="30" customHeight="1" x14ac:dyDescent="0.25">
      <c r="A96" s="18"/>
      <c r="B96" s="19"/>
      <c r="C96" s="24"/>
      <c r="D96" s="52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5"/>
      <c r="T96" s="10"/>
    </row>
    <row r="97" spans="1:175" ht="30" customHeight="1" x14ac:dyDescent="0.25">
      <c r="A97" s="18"/>
      <c r="B97" s="19"/>
      <c r="C97" s="24"/>
      <c r="D97" s="52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5"/>
      <c r="T97" s="11"/>
    </row>
    <row r="98" spans="1:175" s="14" customFormat="1" ht="30" customHeight="1" x14ac:dyDescent="0.25">
      <c r="A98" s="20">
        <v>59473</v>
      </c>
      <c r="B98" s="21"/>
      <c r="C98" s="21"/>
      <c r="D98" s="58"/>
      <c r="E98" s="21"/>
      <c r="F98" s="21"/>
      <c r="G98" s="21"/>
      <c r="H98" s="22"/>
      <c r="I98" s="21"/>
      <c r="J98" s="22"/>
      <c r="K98" s="22"/>
      <c r="L98" s="22"/>
      <c r="M98" s="22"/>
      <c r="N98" s="22"/>
      <c r="O98" s="22"/>
      <c r="P98" s="22"/>
      <c r="Q98" s="21"/>
      <c r="R98" s="21"/>
      <c r="S98" s="21"/>
      <c r="T98" s="15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</row>
    <row r="99" spans="1:175" ht="30" customHeight="1" x14ac:dyDescent="0.25">
      <c r="A99" s="20">
        <v>59473</v>
      </c>
      <c r="B99" s="23" t="s">
        <v>112</v>
      </c>
      <c r="C99" s="24">
        <v>45200</v>
      </c>
      <c r="D99" s="51">
        <v>38</v>
      </c>
      <c r="E99" s="19">
        <v>317800</v>
      </c>
      <c r="F99" s="19">
        <v>95000</v>
      </c>
      <c r="G99" s="19">
        <f>ROUND(E99-F99,0)</f>
        <v>222800</v>
      </c>
      <c r="H99" s="19">
        <f>G99*18%</f>
        <v>40104</v>
      </c>
      <c r="I99" s="19">
        <f>G99+H99</f>
        <v>262904</v>
      </c>
      <c r="J99" s="19">
        <f>G99*1%</f>
        <v>2228</v>
      </c>
      <c r="K99" s="19">
        <f>G99*5%</f>
        <v>11140</v>
      </c>
      <c r="L99" s="19"/>
      <c r="M99" s="19"/>
      <c r="N99" s="19">
        <f>G99*$N$8</f>
        <v>0</v>
      </c>
      <c r="O99" s="19">
        <f>H99</f>
        <v>40104</v>
      </c>
      <c r="P99" s="19">
        <v>0</v>
      </c>
      <c r="Q99" s="19">
        <f>ROUND(I99-SUM(J99:P99),0)</f>
        <v>209432</v>
      </c>
      <c r="R99" s="19">
        <v>74682</v>
      </c>
      <c r="S99" s="25" t="s">
        <v>70</v>
      </c>
      <c r="T99" s="11"/>
    </row>
    <row r="100" spans="1:175" ht="30" customHeight="1" x14ac:dyDescent="0.25">
      <c r="A100" s="20">
        <v>59473</v>
      </c>
      <c r="B100" s="34" t="s">
        <v>113</v>
      </c>
      <c r="C100" s="24">
        <v>45273</v>
      </c>
      <c r="D100" s="51">
        <v>57</v>
      </c>
      <c r="E100" s="19">
        <v>79450</v>
      </c>
      <c r="F100" s="19">
        <v>0</v>
      </c>
      <c r="G100" s="19">
        <f>ROUND(E100-F100,0)</f>
        <v>79450</v>
      </c>
      <c r="H100" s="19">
        <f>G100*18%</f>
        <v>14301</v>
      </c>
      <c r="I100" s="19">
        <f>G100+H100</f>
        <v>93751</v>
      </c>
      <c r="J100" s="19">
        <f>G100*1%</f>
        <v>794.5</v>
      </c>
      <c r="K100" s="19">
        <f>G100*5%</f>
        <v>3972.5</v>
      </c>
      <c r="L100" s="19"/>
      <c r="M100" s="19"/>
      <c r="N100" s="19">
        <f>G100*$N$8</f>
        <v>0</v>
      </c>
      <c r="O100" s="19">
        <f>H100</f>
        <v>14301</v>
      </c>
      <c r="P100" s="19">
        <v>0</v>
      </c>
      <c r="Q100" s="19">
        <f>ROUND(I100-SUM(J100:P100),0)</f>
        <v>74683</v>
      </c>
      <c r="R100" s="19">
        <v>209432</v>
      </c>
      <c r="S100" s="25" t="s">
        <v>71</v>
      </c>
      <c r="T100" s="11"/>
    </row>
    <row r="101" spans="1:175" ht="30" customHeight="1" x14ac:dyDescent="0.25">
      <c r="A101" s="20">
        <v>59473</v>
      </c>
      <c r="B101" s="23" t="s">
        <v>6</v>
      </c>
      <c r="C101" s="24"/>
      <c r="D101" s="52" t="s">
        <v>72</v>
      </c>
      <c r="E101" s="19">
        <f>O99+O100</f>
        <v>54405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>
        <f>E101</f>
        <v>54405</v>
      </c>
      <c r="R101" s="19">
        <v>54405</v>
      </c>
      <c r="S101" s="25" t="s">
        <v>76</v>
      </c>
      <c r="T101" s="11"/>
    </row>
    <row r="102" spans="1:175" ht="30" customHeight="1" x14ac:dyDescent="0.25">
      <c r="A102" s="20">
        <v>60130</v>
      </c>
      <c r="B102" s="21"/>
      <c r="C102" s="21"/>
      <c r="D102" s="58"/>
      <c r="E102" s="21"/>
      <c r="F102" s="21"/>
      <c r="G102" s="21"/>
      <c r="H102" s="22"/>
      <c r="I102" s="21"/>
      <c r="J102" s="22"/>
      <c r="K102" s="22"/>
      <c r="L102" s="22"/>
      <c r="M102" s="22"/>
      <c r="N102" s="22"/>
      <c r="O102" s="22"/>
      <c r="P102" s="22"/>
      <c r="Q102" s="21"/>
      <c r="R102" s="21"/>
      <c r="S102" s="21"/>
      <c r="T102" s="13"/>
    </row>
    <row r="103" spans="1:175" ht="30" customHeight="1" x14ac:dyDescent="0.25">
      <c r="A103" s="20">
        <v>60130</v>
      </c>
      <c r="B103" s="36" t="s">
        <v>114</v>
      </c>
      <c r="C103" s="30">
        <v>45603</v>
      </c>
      <c r="D103" s="54">
        <v>47</v>
      </c>
      <c r="E103" s="19">
        <v>187483</v>
      </c>
      <c r="F103" s="19"/>
      <c r="G103" s="19">
        <f>ROUND(E103-F103,0)</f>
        <v>187483</v>
      </c>
      <c r="H103" s="19">
        <f>G103*18%</f>
        <v>33746.94</v>
      </c>
      <c r="I103" s="19">
        <f>G103+H103</f>
        <v>221229.94</v>
      </c>
      <c r="J103" s="19">
        <f>G103*1%</f>
        <v>1874.83</v>
      </c>
      <c r="K103" s="19">
        <f>G103*5%</f>
        <v>9374.15</v>
      </c>
      <c r="L103" s="19">
        <f>G103*10%</f>
        <v>18748.3</v>
      </c>
      <c r="M103" s="19">
        <f>G103*10%</f>
        <v>18748.3</v>
      </c>
      <c r="N103" s="19">
        <f>G103*$N$8</f>
        <v>0</v>
      </c>
      <c r="O103" s="19">
        <f>H103</f>
        <v>33746.94</v>
      </c>
      <c r="P103" s="19">
        <v>0</v>
      </c>
      <c r="Q103" s="19">
        <f>ROUND(I103-SUM(J103:P103),0)</f>
        <v>138737</v>
      </c>
      <c r="R103" s="19"/>
      <c r="S103" s="19"/>
      <c r="T103" s="11"/>
    </row>
    <row r="104" spans="1:175" ht="30" customHeight="1" x14ac:dyDescent="0.25">
      <c r="A104" s="35"/>
      <c r="B104" s="36"/>
      <c r="C104" s="19"/>
      <c r="D104" s="54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1"/>
    </row>
    <row r="105" spans="1:175" ht="30" customHeight="1" x14ac:dyDescent="0.25">
      <c r="A105" s="35"/>
      <c r="B105" s="36"/>
      <c r="C105" s="19"/>
      <c r="D105" s="54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1"/>
    </row>
    <row r="106" spans="1:175" ht="30" customHeight="1" x14ac:dyDescent="0.25">
      <c r="A106" s="20">
        <v>62148</v>
      </c>
      <c r="B106" s="21"/>
      <c r="C106" s="21"/>
      <c r="D106" s="58"/>
      <c r="E106" s="21"/>
      <c r="F106" s="21"/>
      <c r="G106" s="21"/>
      <c r="H106" s="22"/>
      <c r="I106" s="21"/>
      <c r="J106" s="22"/>
      <c r="K106" s="22"/>
      <c r="L106" s="22"/>
      <c r="M106" s="22"/>
      <c r="N106" s="22"/>
      <c r="O106" s="22"/>
      <c r="P106" s="22"/>
      <c r="Q106" s="21"/>
      <c r="R106" s="21"/>
      <c r="S106" s="21"/>
      <c r="T106" s="13"/>
    </row>
    <row r="107" spans="1:175" ht="30" customHeight="1" x14ac:dyDescent="0.25">
      <c r="A107" s="20">
        <v>62148</v>
      </c>
      <c r="B107" s="88" t="s">
        <v>115</v>
      </c>
      <c r="C107" s="30">
        <v>45301</v>
      </c>
      <c r="D107" s="54">
        <v>59</v>
      </c>
      <c r="E107" s="19">
        <v>40000</v>
      </c>
      <c r="F107" s="19">
        <v>0</v>
      </c>
      <c r="G107" s="19">
        <f>ROUND(E107-F107,0)</f>
        <v>40000</v>
      </c>
      <c r="H107" s="19">
        <f>G107*18%</f>
        <v>7200</v>
      </c>
      <c r="I107" s="19">
        <f>G107+H107</f>
        <v>47200</v>
      </c>
      <c r="J107" s="19">
        <f>G107*1%</f>
        <v>400</v>
      </c>
      <c r="K107" s="19">
        <f>G107*5%</f>
        <v>2000</v>
      </c>
      <c r="L107" s="19">
        <v>0</v>
      </c>
      <c r="M107" s="19">
        <v>0</v>
      </c>
      <c r="N107" s="19">
        <f>G107*$N$8</f>
        <v>0</v>
      </c>
      <c r="O107" s="19">
        <f>H107</f>
        <v>7200</v>
      </c>
      <c r="P107" s="19">
        <v>0</v>
      </c>
      <c r="Q107" s="19">
        <f>ROUND(I107-SUM(J107:P107),0)</f>
        <v>37600</v>
      </c>
      <c r="R107" s="19"/>
      <c r="S107" s="19"/>
      <c r="T107" s="10"/>
    </row>
    <row r="108" spans="1:175" ht="30" customHeight="1" x14ac:dyDescent="0.25">
      <c r="A108" s="20">
        <v>62148</v>
      </c>
      <c r="B108" s="88"/>
      <c r="C108" s="30">
        <v>45360</v>
      </c>
      <c r="D108" s="54">
        <v>74</v>
      </c>
      <c r="E108" s="19">
        <v>80000</v>
      </c>
      <c r="F108" s="19">
        <v>0</v>
      </c>
      <c r="G108" s="19">
        <f>ROUND(E108-F108,0)</f>
        <v>80000</v>
      </c>
      <c r="H108" s="19">
        <f>G108*18%</f>
        <v>14400</v>
      </c>
      <c r="I108" s="19">
        <f>G108+H108</f>
        <v>94400</v>
      </c>
      <c r="J108" s="19">
        <f>G108*1%</f>
        <v>800</v>
      </c>
      <c r="K108" s="19">
        <f>G108*5%</f>
        <v>4000</v>
      </c>
      <c r="L108" s="19">
        <v>0</v>
      </c>
      <c r="M108" s="19">
        <v>0</v>
      </c>
      <c r="N108" s="19">
        <f>G108*$N$8</f>
        <v>0</v>
      </c>
      <c r="O108" s="19">
        <f>H108</f>
        <v>14400</v>
      </c>
      <c r="P108" s="19">
        <v>0</v>
      </c>
      <c r="Q108" s="19">
        <f>ROUND(I108-SUM(J108:P108),0)</f>
        <v>75200</v>
      </c>
      <c r="R108" s="19"/>
      <c r="S108" s="19"/>
      <c r="T108" s="10"/>
    </row>
    <row r="109" spans="1:175" ht="30" customHeight="1" x14ac:dyDescent="0.25">
      <c r="A109" s="20">
        <v>62148</v>
      </c>
      <c r="B109" s="36"/>
      <c r="C109" s="30">
        <v>45367</v>
      </c>
      <c r="D109" s="54">
        <v>76</v>
      </c>
      <c r="E109" s="19">
        <v>40000</v>
      </c>
      <c r="F109" s="19"/>
      <c r="G109" s="19">
        <f>ROUND(E109-F109,0)</f>
        <v>40000</v>
      </c>
      <c r="H109" s="19">
        <f>G109*18%</f>
        <v>7200</v>
      </c>
      <c r="I109" s="19">
        <f>G109+H109</f>
        <v>47200</v>
      </c>
      <c r="J109" s="19">
        <f>G109*1%</f>
        <v>400</v>
      </c>
      <c r="K109" s="19">
        <f>G109*5%</f>
        <v>2000</v>
      </c>
      <c r="L109" s="19">
        <v>0</v>
      </c>
      <c r="M109" s="19">
        <v>0</v>
      </c>
      <c r="N109" s="19">
        <f>G109*$N$8</f>
        <v>0</v>
      </c>
      <c r="O109" s="19">
        <f>H109</f>
        <v>7200</v>
      </c>
      <c r="P109" s="19"/>
      <c r="Q109" s="19">
        <f>ROUND(I109-SUM(J109:P109),0)</f>
        <v>37600</v>
      </c>
      <c r="R109" s="19"/>
      <c r="S109" s="19"/>
      <c r="T109" s="11"/>
    </row>
    <row r="110" spans="1:175" ht="30" customHeight="1" x14ac:dyDescent="0.25">
      <c r="A110" s="35"/>
      <c r="B110" s="36"/>
      <c r="C110" s="30"/>
      <c r="D110" s="54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1"/>
    </row>
    <row r="111" spans="1:175" ht="30" customHeight="1" x14ac:dyDescent="0.25">
      <c r="A111" s="20">
        <v>65411</v>
      </c>
      <c r="B111" s="21"/>
      <c r="C111" s="21"/>
      <c r="D111" s="58"/>
      <c r="E111" s="21"/>
      <c r="F111" s="21"/>
      <c r="G111" s="21"/>
      <c r="H111" s="22"/>
      <c r="I111" s="21"/>
      <c r="J111" s="22"/>
      <c r="K111" s="22"/>
      <c r="L111" s="22"/>
      <c r="M111" s="22"/>
      <c r="N111" s="22"/>
      <c r="O111" s="22"/>
      <c r="P111" s="22"/>
      <c r="Q111" s="21"/>
      <c r="R111" s="21"/>
      <c r="S111" s="21"/>
      <c r="T111" s="13"/>
    </row>
    <row r="112" spans="1:175" ht="30" customHeight="1" x14ac:dyDescent="0.25">
      <c r="A112" s="20">
        <v>65411</v>
      </c>
      <c r="B112" s="89" t="s">
        <v>116</v>
      </c>
      <c r="C112" s="30">
        <v>45474</v>
      </c>
      <c r="D112" s="54">
        <v>2</v>
      </c>
      <c r="E112" s="19">
        <v>387728</v>
      </c>
      <c r="F112" s="19">
        <v>0</v>
      </c>
      <c r="G112" s="19">
        <f>ROUND(E112-F112,0)</f>
        <v>387728</v>
      </c>
      <c r="H112" s="19">
        <f>G112*18%</f>
        <v>69791.039999999994</v>
      </c>
      <c r="I112" s="19">
        <f>G112+H112</f>
        <v>457519.04</v>
      </c>
      <c r="J112" s="19">
        <f>G112*1%</f>
        <v>3877.28</v>
      </c>
      <c r="K112" s="19">
        <f>G112*5%</f>
        <v>19386.400000000001</v>
      </c>
      <c r="L112" s="19">
        <v>0</v>
      </c>
      <c r="M112" s="19">
        <v>0</v>
      </c>
      <c r="N112" s="19">
        <f>G112*$N$8</f>
        <v>0</v>
      </c>
      <c r="O112" s="19">
        <f>H112</f>
        <v>69791.039999999994</v>
      </c>
      <c r="P112" s="19">
        <v>0</v>
      </c>
      <c r="Q112" s="19">
        <f>ROUND(I112-SUM(J112:P112),0)</f>
        <v>364464</v>
      </c>
      <c r="R112" s="19">
        <v>364465</v>
      </c>
      <c r="S112" s="19" t="s">
        <v>83</v>
      </c>
      <c r="T112" s="10"/>
    </row>
    <row r="113" spans="1:20" ht="30" customHeight="1" x14ac:dyDescent="0.25">
      <c r="A113" s="20">
        <v>65411</v>
      </c>
      <c r="B113" s="90"/>
      <c r="C113" s="30">
        <v>45474</v>
      </c>
      <c r="D113" s="54">
        <v>3</v>
      </c>
      <c r="E113" s="19">
        <v>13300</v>
      </c>
      <c r="F113" s="19">
        <v>0</v>
      </c>
      <c r="G113" s="19">
        <f>ROUND(E113-F113,0)</f>
        <v>13300</v>
      </c>
      <c r="H113" s="19">
        <f>G113*18%</f>
        <v>2394</v>
      </c>
      <c r="I113" s="19">
        <f>G113+H113</f>
        <v>15694</v>
      </c>
      <c r="J113" s="19">
        <f>G113*1%</f>
        <v>133</v>
      </c>
      <c r="K113" s="19">
        <f>G113*5%</f>
        <v>665</v>
      </c>
      <c r="L113" s="19">
        <v>0</v>
      </c>
      <c r="M113" s="19">
        <v>0</v>
      </c>
      <c r="N113" s="19">
        <f>G113*$N$8</f>
        <v>0</v>
      </c>
      <c r="O113" s="19">
        <f>H113</f>
        <v>2394</v>
      </c>
      <c r="P113" s="19">
        <v>0</v>
      </c>
      <c r="Q113" s="19">
        <f>ROUND(I113-SUM(J113:P113),0)</f>
        <v>12502</v>
      </c>
      <c r="R113" s="19"/>
      <c r="S113" s="19"/>
      <c r="T113" s="11"/>
    </row>
    <row r="114" spans="1:20" ht="30" customHeight="1" x14ac:dyDescent="0.25">
      <c r="A114" s="35"/>
      <c r="B114" s="36"/>
      <c r="C114" s="30"/>
      <c r="D114" s="54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1"/>
    </row>
    <row r="115" spans="1:20" ht="30" customHeight="1" x14ac:dyDescent="0.25">
      <c r="A115" s="20">
        <v>66447</v>
      </c>
      <c r="B115" s="21"/>
      <c r="C115" s="21"/>
      <c r="D115" s="58"/>
      <c r="E115" s="21"/>
      <c r="F115" s="21"/>
      <c r="G115" s="21"/>
      <c r="H115" s="22"/>
      <c r="I115" s="21"/>
      <c r="J115" s="22"/>
      <c r="K115" s="22"/>
      <c r="L115" s="22"/>
      <c r="M115" s="22"/>
      <c r="N115" s="22"/>
      <c r="O115" s="22"/>
      <c r="P115" s="22"/>
      <c r="Q115" s="21"/>
      <c r="R115" s="21"/>
      <c r="S115" s="21"/>
      <c r="T115" s="13"/>
    </row>
    <row r="116" spans="1:20" ht="30" customHeight="1" x14ac:dyDescent="0.25">
      <c r="A116" s="20">
        <v>66447</v>
      </c>
      <c r="B116" s="88" t="s">
        <v>117</v>
      </c>
      <c r="C116" s="30">
        <v>45586</v>
      </c>
      <c r="D116" s="54">
        <v>10</v>
      </c>
      <c r="E116" s="19">
        <v>249900</v>
      </c>
      <c r="F116" s="19">
        <v>0</v>
      </c>
      <c r="G116" s="19">
        <f>ROUND(E116-F116,0)</f>
        <v>249900</v>
      </c>
      <c r="H116" s="19">
        <f>G116*18%</f>
        <v>44982</v>
      </c>
      <c r="I116" s="19">
        <f>G116+H116</f>
        <v>294882</v>
      </c>
      <c r="J116" s="19">
        <f>G116*1%</f>
        <v>2499</v>
      </c>
      <c r="K116" s="19">
        <f>G116*5%</f>
        <v>12495</v>
      </c>
      <c r="L116" s="19">
        <v>0</v>
      </c>
      <c r="M116" s="19">
        <v>0</v>
      </c>
      <c r="N116" s="19">
        <f>G116*$N$8</f>
        <v>0</v>
      </c>
      <c r="O116" s="19">
        <f>H116</f>
        <v>44982</v>
      </c>
      <c r="P116" s="19">
        <v>0</v>
      </c>
      <c r="Q116" s="19">
        <f>ROUND(I116-SUM(J116:P116),0)</f>
        <v>234906</v>
      </c>
      <c r="R116" s="19">
        <v>150000</v>
      </c>
      <c r="S116" s="19" t="s">
        <v>85</v>
      </c>
      <c r="T116" s="10"/>
    </row>
    <row r="117" spans="1:20" ht="30" customHeight="1" x14ac:dyDescent="0.25">
      <c r="A117" s="20">
        <v>66447</v>
      </c>
      <c r="B117" s="88"/>
      <c r="C117" s="30"/>
      <c r="D117" s="54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1"/>
    </row>
    <row r="118" spans="1:20" ht="30" customHeight="1" x14ac:dyDescent="0.25">
      <c r="A118" s="20">
        <v>68353</v>
      </c>
      <c r="B118" s="21"/>
      <c r="C118" s="21"/>
      <c r="D118" s="58"/>
      <c r="E118" s="21"/>
      <c r="F118" s="21"/>
      <c r="G118" s="21"/>
      <c r="H118" s="22"/>
      <c r="I118" s="21"/>
      <c r="J118" s="22"/>
      <c r="K118" s="22"/>
      <c r="L118" s="22"/>
      <c r="M118" s="22"/>
      <c r="N118" s="22"/>
      <c r="O118" s="22"/>
      <c r="P118" s="22"/>
      <c r="Q118" s="21"/>
      <c r="R118" s="21"/>
      <c r="S118" s="21"/>
      <c r="T118" s="13"/>
    </row>
    <row r="119" spans="1:20" ht="30" customHeight="1" x14ac:dyDescent="0.15">
      <c r="A119" s="20">
        <v>68353</v>
      </c>
      <c r="B119" s="88" t="s">
        <v>118</v>
      </c>
      <c r="C119" s="30">
        <v>45608</v>
      </c>
      <c r="D119" s="54">
        <v>12</v>
      </c>
      <c r="E119" s="19">
        <v>429380</v>
      </c>
      <c r="F119" s="19">
        <v>0</v>
      </c>
      <c r="G119" s="19">
        <f>ROUND(E119-F119,0)</f>
        <v>429380</v>
      </c>
      <c r="H119" s="19">
        <f>G119*18%</f>
        <v>77288.399999999994</v>
      </c>
      <c r="I119" s="19">
        <f>G119+H119</f>
        <v>506668.4</v>
      </c>
      <c r="J119" s="19">
        <f>G119*1%</f>
        <v>4293.8</v>
      </c>
      <c r="K119" s="19">
        <f>G119*5%</f>
        <v>21469</v>
      </c>
      <c r="L119" s="19">
        <v>0</v>
      </c>
      <c r="M119" s="19">
        <v>0</v>
      </c>
      <c r="N119" s="19">
        <f>G119*$N$8</f>
        <v>0</v>
      </c>
      <c r="O119" s="19">
        <f>H119</f>
        <v>77288.399999999994</v>
      </c>
      <c r="P119" s="19">
        <v>9380</v>
      </c>
      <c r="Q119" s="19">
        <f>ROUND(I119-SUM(J119:P119),0)</f>
        <v>394237</v>
      </c>
      <c r="R119" s="19"/>
      <c r="S119" s="69"/>
      <c r="T119" s="10"/>
    </row>
    <row r="120" spans="1:20" ht="30" customHeight="1" x14ac:dyDescent="0.25">
      <c r="A120" s="20">
        <v>68353</v>
      </c>
      <c r="B120" s="88"/>
      <c r="C120" s="30"/>
      <c r="D120" s="54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0"/>
    </row>
    <row r="121" spans="1:20" ht="30" customHeight="1" x14ac:dyDescent="0.25">
      <c r="A121" s="39"/>
      <c r="B121" s="40"/>
      <c r="C121" s="62"/>
      <c r="D121" s="59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2"/>
    </row>
    <row r="122" spans="1:20" ht="30" customHeight="1" thickBot="1" x14ac:dyDescent="0.3">
      <c r="A122" s="39"/>
      <c r="B122" s="40"/>
      <c r="C122" s="41"/>
      <c r="D122" s="59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11"/>
    </row>
    <row r="123" spans="1:20" ht="30" customHeight="1" x14ac:dyDescent="0.25">
      <c r="A123" s="43"/>
      <c r="B123" s="44"/>
      <c r="C123" s="44"/>
      <c r="D123" s="60"/>
      <c r="E123" s="44"/>
      <c r="F123" s="44"/>
      <c r="G123" s="44"/>
      <c r="H123" s="44"/>
      <c r="I123" s="44"/>
      <c r="J123" s="44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spans="1:20" ht="30" customHeight="1" x14ac:dyDescent="0.25">
      <c r="A124" s="35"/>
      <c r="B124" s="19"/>
      <c r="C124" s="19"/>
      <c r="D124" s="54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0"/>
    </row>
    <row r="125" spans="1:20" ht="30" customHeight="1" thickBot="1" x14ac:dyDescent="0.3">
      <c r="A125" s="37"/>
      <c r="B125" s="38"/>
      <c r="C125" s="38"/>
      <c r="D125" s="56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7"/>
      <c r="S125" s="37"/>
      <c r="T125" s="12"/>
    </row>
    <row r="126" spans="1:20" ht="30" customHeight="1" x14ac:dyDescent="0.25">
      <c r="A126" s="9"/>
      <c r="B126" s="5"/>
      <c r="C126" s="5"/>
      <c r="D126" s="6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20" ht="30" customHeight="1" thickBot="1" x14ac:dyDescent="0.3"/>
    <row r="128" spans="1:20" ht="30" customHeight="1" thickBot="1" x14ac:dyDescent="0.3">
      <c r="L128" s="82"/>
      <c r="M128" s="83"/>
      <c r="N128" s="83"/>
      <c r="O128" s="84"/>
      <c r="Q128" s="71"/>
    </row>
    <row r="129" spans="12:18" ht="30" customHeight="1" thickBot="1" x14ac:dyDescent="0.3">
      <c r="L129" s="85"/>
      <c r="M129" s="86"/>
      <c r="N129" s="86"/>
      <c r="O129" s="87"/>
      <c r="Q129" s="70"/>
    </row>
    <row r="130" spans="12:18" ht="30" customHeight="1" x14ac:dyDescent="0.25">
      <c r="L130" s="91"/>
      <c r="M130" s="92"/>
      <c r="N130" s="93"/>
      <c r="O130" s="92"/>
      <c r="Q130" s="67"/>
      <c r="R130" s="65"/>
    </row>
    <row r="131" spans="12:18" ht="30" customHeight="1" x14ac:dyDescent="0.25">
      <c r="L131" s="91"/>
      <c r="M131" s="92"/>
      <c r="N131" s="93"/>
      <c r="O131" s="92"/>
      <c r="Q131" s="67"/>
      <c r="R131" s="65"/>
    </row>
    <row r="132" spans="12:18" ht="30" customHeight="1" x14ac:dyDescent="0.25">
      <c r="L132" s="91"/>
      <c r="M132" s="92"/>
      <c r="N132" s="93"/>
      <c r="O132" s="92"/>
      <c r="Q132" s="67"/>
      <c r="R132" s="65"/>
    </row>
    <row r="133" spans="12:18" ht="30" customHeight="1" thickBot="1" x14ac:dyDescent="0.3">
      <c r="L133" s="91"/>
      <c r="M133" s="92"/>
      <c r="N133" s="93"/>
      <c r="O133" s="92"/>
      <c r="Q133" s="68"/>
      <c r="R133" s="65"/>
    </row>
  </sheetData>
  <mergeCells count="16">
    <mergeCell ref="L133:M133"/>
    <mergeCell ref="N133:O133"/>
    <mergeCell ref="L130:M130"/>
    <mergeCell ref="L132:M132"/>
    <mergeCell ref="N130:O130"/>
    <mergeCell ref="N132:O132"/>
    <mergeCell ref="L131:M131"/>
    <mergeCell ref="N131:O131"/>
    <mergeCell ref="T12:T14"/>
    <mergeCell ref="T5:T6"/>
    <mergeCell ref="L128:O128"/>
    <mergeCell ref="L129:O129"/>
    <mergeCell ref="B107:B108"/>
    <mergeCell ref="B112:B113"/>
    <mergeCell ref="B116:B117"/>
    <mergeCell ref="B119:B1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2025-05-27T18:43:08Z</dcterms:modified>
</cp:coreProperties>
</file>