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D48752B5-2656-4EBE-9F15-E158240A8B0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G8" i="1" l="1"/>
  <c r="M8" i="1" s="1"/>
  <c r="G35" i="1"/>
  <c r="K35" i="1" s="1"/>
  <c r="H8" i="1" l="1"/>
  <c r="N8" i="1" s="1"/>
  <c r="J8" i="1"/>
  <c r="L8" i="1"/>
  <c r="I8" i="1"/>
  <c r="K8" i="1"/>
  <c r="H35" i="1"/>
  <c r="I35" i="1" s="1"/>
  <c r="J35" i="1"/>
  <c r="L35" i="1"/>
  <c r="M35" i="1"/>
  <c r="N35" i="1"/>
  <c r="E36" i="1" s="1"/>
  <c r="P36" i="1" s="1"/>
  <c r="P8" i="1" l="1"/>
  <c r="P35" i="1"/>
  <c r="G26" i="1" l="1"/>
  <c r="K26" i="1" s="1"/>
  <c r="G64" i="1"/>
  <c r="K64" i="1" s="1"/>
  <c r="H26" i="1" l="1"/>
  <c r="N26" i="1" s="1"/>
  <c r="E27" i="1" s="1"/>
  <c r="P27" i="1" s="1"/>
  <c r="J26" i="1"/>
  <c r="L26" i="1"/>
  <c r="M26" i="1"/>
  <c r="H64" i="1"/>
  <c r="N64" i="1" s="1"/>
  <c r="E65" i="1" s="1"/>
  <c r="P65" i="1" s="1"/>
  <c r="J64" i="1"/>
  <c r="U43" i="1"/>
  <c r="U44" i="1"/>
  <c r="T45" i="1"/>
  <c r="U45" i="1" s="1"/>
  <c r="I26" i="1" l="1"/>
  <c r="P26" i="1" s="1"/>
  <c r="I64" i="1"/>
  <c r="P64" i="1"/>
  <c r="W64" i="1" s="1"/>
  <c r="E12" i="2"/>
  <c r="U17" i="1"/>
  <c r="U15" i="1"/>
  <c r="T14" i="1"/>
  <c r="U14" i="1" s="1"/>
  <c r="N57" i="1"/>
  <c r="U57" i="1"/>
  <c r="U58" i="1"/>
  <c r="T59" i="1"/>
  <c r="U59" i="1" s="1"/>
  <c r="G14" i="1"/>
  <c r="L14" i="1" s="1"/>
  <c r="G15" i="1"/>
  <c r="K15" i="1" s="1"/>
  <c r="T16" i="1"/>
  <c r="U16" i="1" s="1"/>
  <c r="M15" i="1" l="1"/>
  <c r="J15" i="1"/>
  <c r="L15" i="1"/>
  <c r="J14" i="1"/>
  <c r="M14" i="1"/>
  <c r="K14" i="1"/>
  <c r="H15" i="1"/>
  <c r="H14" i="1"/>
  <c r="Q22" i="1"/>
  <c r="Q30" i="1"/>
  <c r="Q40" i="1"/>
  <c r="Q46" i="1"/>
  <c r="Q50" i="1"/>
  <c r="G32" i="1"/>
  <c r="N32" i="1" s="1"/>
  <c r="E34" i="1" s="1"/>
  <c r="P34" i="1" s="1"/>
  <c r="G53" i="1"/>
  <c r="J53" i="1" s="1"/>
  <c r="Q63" i="1"/>
  <c r="G24" i="1"/>
  <c r="M24" i="1" s="1"/>
  <c r="P14" i="1" l="1"/>
  <c r="P15" i="1"/>
  <c r="K32" i="1"/>
  <c r="L32" i="1"/>
  <c r="M32" i="1"/>
  <c r="I15" i="1"/>
  <c r="N15" i="1"/>
  <c r="E17" i="1" s="1"/>
  <c r="P17" i="1" s="1"/>
  <c r="I14" i="1"/>
  <c r="N14" i="1"/>
  <c r="E16" i="1" s="1"/>
  <c r="G16" i="1" s="1"/>
  <c r="J32" i="1"/>
  <c r="K53" i="1"/>
  <c r="L53" i="1"/>
  <c r="H24" i="1"/>
  <c r="N24" i="1" s="1"/>
  <c r="M53" i="1"/>
  <c r="L24" i="1"/>
  <c r="J24" i="1"/>
  <c r="H32" i="1"/>
  <c r="I32" i="1" s="1"/>
  <c r="H53" i="1"/>
  <c r="N53" i="1" s="1"/>
  <c r="E54" i="1" s="1"/>
  <c r="P54" i="1" s="1"/>
  <c r="K24" i="1"/>
  <c r="P32" i="1" l="1"/>
  <c r="P16" i="1"/>
  <c r="I16" i="1"/>
  <c r="I24" i="1"/>
  <c r="P24" i="1" s="1"/>
  <c r="P53" i="1"/>
  <c r="I53" i="1"/>
  <c r="G31" i="1" l="1"/>
  <c r="H31" i="1" s="1"/>
  <c r="N31" i="1" l="1"/>
  <c r="E33" i="1" s="1"/>
  <c r="P33" i="1" s="1"/>
  <c r="I31" i="1"/>
  <c r="M31" i="1" l="1"/>
  <c r="L31" i="1"/>
  <c r="J31" i="1"/>
  <c r="K31" i="1"/>
  <c r="G52" i="1"/>
  <c r="N52" i="1" s="1"/>
  <c r="G13" i="1"/>
  <c r="P52" i="1" l="1"/>
  <c r="I52" i="1"/>
  <c r="I13" i="1"/>
  <c r="O56" i="1"/>
  <c r="O71" i="1" l="1"/>
  <c r="J79" i="1" s="1"/>
  <c r="P13" i="1"/>
  <c r="T56" i="1"/>
  <c r="U56" i="1" s="1"/>
  <c r="Q55" i="1"/>
  <c r="G56" i="1"/>
  <c r="M56" i="1" s="1"/>
  <c r="G51" i="1"/>
  <c r="K51" i="1" s="1"/>
  <c r="J51" i="1" l="1"/>
  <c r="L51" i="1"/>
  <c r="J56" i="1"/>
  <c r="L56" i="1"/>
  <c r="M51" i="1"/>
  <c r="H56" i="1"/>
  <c r="N56" i="1" s="1"/>
  <c r="E57" i="1" s="1"/>
  <c r="G57" i="1" s="1"/>
  <c r="K56" i="1"/>
  <c r="H51" i="1"/>
  <c r="N51" i="1" s="1"/>
  <c r="U47" i="1"/>
  <c r="T48" i="1"/>
  <c r="U48" i="1" s="1"/>
  <c r="G48" i="1"/>
  <c r="I48" i="1" s="1"/>
  <c r="P48" i="1" s="1"/>
  <c r="G47" i="1"/>
  <c r="T42" i="1"/>
  <c r="U42" i="1" s="1"/>
  <c r="T41" i="1"/>
  <c r="U41" i="1" s="1"/>
  <c r="H47" i="1" l="1"/>
  <c r="N47" i="1" s="1"/>
  <c r="K47" i="1"/>
  <c r="J47" i="1"/>
  <c r="I47" i="1"/>
  <c r="P47" i="1" s="1"/>
  <c r="I51" i="1"/>
  <c r="I56" i="1"/>
  <c r="P56" i="1" s="1"/>
  <c r="P57" i="1"/>
  <c r="I57" i="1"/>
  <c r="P51" i="1"/>
  <c r="W51" i="1" s="1"/>
  <c r="G41" i="1"/>
  <c r="J41" i="1" s="1"/>
  <c r="G12" i="1"/>
  <c r="M12" i="1" s="1"/>
  <c r="T13" i="1"/>
  <c r="U13" i="1" s="1"/>
  <c r="T12" i="1"/>
  <c r="U12" i="1" s="1"/>
  <c r="T24" i="1"/>
  <c r="U24" i="1" s="1"/>
  <c r="T31" i="1"/>
  <c r="U31" i="1" s="1"/>
  <c r="W31" i="1" s="1"/>
  <c r="T8" i="1"/>
  <c r="U8" i="1" s="1"/>
  <c r="T9" i="1"/>
  <c r="U9" i="1" s="1"/>
  <c r="T10" i="1"/>
  <c r="U10" i="1" s="1"/>
  <c r="T11" i="1"/>
  <c r="U11" i="1" s="1"/>
  <c r="T23" i="1"/>
  <c r="W56" i="1" l="1"/>
  <c r="N12" i="1"/>
  <c r="K41" i="1"/>
  <c r="T32" i="1"/>
  <c r="T33" i="1" s="1"/>
  <c r="K12" i="1"/>
  <c r="L41" i="1"/>
  <c r="W47" i="1"/>
  <c r="J12" i="1"/>
  <c r="H12" i="1"/>
  <c r="I12" i="1" s="1"/>
  <c r="L12" i="1"/>
  <c r="M41" i="1"/>
  <c r="H41" i="1"/>
  <c r="N41" i="1" s="1"/>
  <c r="E42" i="1" s="1"/>
  <c r="P42" i="1" s="1"/>
  <c r="U23" i="1"/>
  <c r="U71" i="1" s="1"/>
  <c r="G23" i="1"/>
  <c r="P12" i="1" l="1"/>
  <c r="I41" i="1"/>
  <c r="P41" i="1" s="1"/>
  <c r="H23" i="1"/>
  <c r="L23" i="1"/>
  <c r="L71" i="1" s="1"/>
  <c r="J23" i="1"/>
  <c r="M23" i="1"/>
  <c r="M71" i="1" s="1"/>
  <c r="K23" i="1"/>
  <c r="K71" i="1" s="1"/>
  <c r="W8" i="1" l="1"/>
  <c r="W41" i="1"/>
  <c r="J78" i="1"/>
  <c r="N23" i="1"/>
  <c r="N71" i="1" s="1"/>
  <c r="I23" i="1"/>
  <c r="E25" i="1" l="1"/>
  <c r="P25" i="1" s="1"/>
  <c r="J82" i="1" s="1"/>
  <c r="P23" i="1"/>
  <c r="P71" i="1" s="1"/>
  <c r="U73" i="1" l="1"/>
  <c r="J80" i="1" s="1"/>
  <c r="W23" i="1"/>
  <c r="W71" i="1"/>
</calcChain>
</file>

<file path=xl/sharedStrings.xml><?xml version="1.0" encoding="utf-8"?>
<sst xmlns="http://schemas.openxmlformats.org/spreadsheetml/2006/main" count="160" uniqueCount="126">
  <si>
    <t>Amount</t>
  </si>
  <si>
    <t>PAYMENT NOTE No.</t>
  </si>
  <si>
    <t>UTR</t>
  </si>
  <si>
    <t xml:space="preserve">Debit </t>
  </si>
  <si>
    <t>21-03-2023 NEFT/AXISP00373201701/RIUP22/2684/S S INFRASTRUCT 99000.00</t>
  </si>
  <si>
    <t>RIUP22/2684</t>
  </si>
  <si>
    <t>Bhaneruhha Village Pipeline laying work</t>
  </si>
  <si>
    <t>06-03-2023 NEFT/AXISP00369190884/RIUP22/2488/S S INFRASTRUCT 198000.00</t>
  </si>
  <si>
    <t>RIUP22/2488</t>
  </si>
  <si>
    <t>RIUP23/522</t>
  </si>
  <si>
    <t>05-06-2023 NEFT/AXISP00395669172/RIUP23/522/S S INFRASTRUCTU 198000.00</t>
  </si>
  <si>
    <t>Khanapur Village Pipeline laying work</t>
  </si>
  <si>
    <t>RIUP22/1945</t>
  </si>
  <si>
    <t>23-01-2023 NEFT/AXISP00356620224/RIUP22/1945/S S INFRASTRUCT ₹ 2,97,000.00</t>
  </si>
  <si>
    <t>GST Release Note</t>
  </si>
  <si>
    <t>RIUP22/2213</t>
  </si>
  <si>
    <t>17-02-2023 NEFT/AXISP00364121240/RIUP22/2213/S S INFRASTRUCT 148500.00</t>
  </si>
  <si>
    <t>RIUP22/2487</t>
  </si>
  <si>
    <t>06-03-2023 NEFT/AXISP00369190883/RIUP22/2487/S S INFRASTRUCT 99000.00</t>
  </si>
  <si>
    <t>RIUP22/2683</t>
  </si>
  <si>
    <t>21-03-2023 NEFT/AXISP00373201700/RIUP22/2683/S S INFRASTRUCT 99000.00</t>
  </si>
  <si>
    <t>29-05-2023 NEFT/AXISP00393085070/RIUP23/431/S S INFRASTRUCTU 198000.00</t>
  </si>
  <si>
    <t>04-09-2023 NEFT/AXISP00421618338/RIUP23/1838/S S INFRASTRUCTURE/198000.00</t>
  </si>
  <si>
    <t>RIUP22/1838</t>
  </si>
  <si>
    <t>Sakauti Village Pipeline laying work</t>
  </si>
  <si>
    <t>21-06-2023 NEFT/AXISP00399842966/RIUP23/759/S S INFRASTRUCTU 99000.00</t>
  </si>
  <si>
    <t>RIUP22/1839</t>
  </si>
  <si>
    <t>15-07-2023 NEFT/AXISP00407218707/RIUP23/1091/S S INFRASTRUCT 99000.00</t>
  </si>
  <si>
    <t>KAMALPUR Village</t>
  </si>
  <si>
    <t>RIUP23/1053</t>
  </si>
  <si>
    <t>15-07-2023 NEFT/AXISP00407207174/RIUP23/1053/S S INFRASTRUCT 171940.00</t>
  </si>
  <si>
    <t>RIUP23/1565</t>
  </si>
  <si>
    <t>18-08-2023 NEFT/AXISP00416756583/RIUP23/1565/S S INFRASTRUCT 33688.00</t>
  </si>
  <si>
    <t>15-06-2023 NEFT/AXISP00398841899/RIUP23/683/S S INFRASTRUCTU 99000.00</t>
  </si>
  <si>
    <t>RIUP23/683</t>
  </si>
  <si>
    <t>Sanpala Village Pipe laying and Restoration work</t>
  </si>
  <si>
    <t>GST</t>
  </si>
  <si>
    <t>18-09-2023 NEFT/AXISP00425658728/RIUP23/2076/S S INFRASTRUCTURE/HDFC0004496 100392.00</t>
  </si>
  <si>
    <t>18-10-2023 NEFT/AXISP00435468779/RIUP23/2749/S S INFRASTRUCTURE/HDFC0004496 33177.00</t>
  </si>
  <si>
    <t>26-10-2023 NEFT/AXISP00437127779/RIUP23/2904/S S INFRASTRUCTURE/HDFC0004496 ₹ 36,000.00</t>
  </si>
  <si>
    <t>10-10-2023 NEFT/AXISP00432944788/RIUP23/2615/S S INFRASTRUCTURE/HDFC0004496 99000.00</t>
  </si>
  <si>
    <t>23-10-2023 NEFT/AXISP00436449470/RIUP23/2748/S S INFRASTRUCTURE/HDFC0004496 41583.00</t>
  </si>
  <si>
    <t>RIUP23/2615</t>
  </si>
  <si>
    <t>RIUP232748</t>
  </si>
  <si>
    <t>05-08-2023 NEFT/AXISP00412924935/RIUP23/1309/S S INFRASTRUCT 83531.00</t>
  </si>
  <si>
    <t>18-08-2023 NEFT/AXISP00416756582/RIUP23/1566/S S INFRASTRUCT 120596.00</t>
  </si>
  <si>
    <t>RIUP23/1309</t>
  </si>
  <si>
    <t>RIUP23/1566</t>
  </si>
  <si>
    <t xml:space="preserve">Paltheri Village </t>
  </si>
  <si>
    <t>05-08-2023 NEFT/AXISP00412921332/RIUP23/1310/S S INFRASTRUCT ₹ 2,50,877.00</t>
  </si>
  <si>
    <t>18-08-2023 NEFT/AXISP00416756584/RIUP23/1564/S S INFRASTRUCT 209459.00</t>
  </si>
  <si>
    <t>07-09-2023 NEFT/AXISP00416458563/RIUP23/1899/S S INFRASTRUCT 148500.00</t>
  </si>
  <si>
    <t>RIUP23/1310</t>
  </si>
  <si>
    <t>RIUP23/1564</t>
  </si>
  <si>
    <t>RIUP23/1899</t>
  </si>
  <si>
    <t>12-09-2023 NEFT/AXISP00423960526/RIUP23/1950/S S INFRASTRUCTURE/HDFC0004496 148175.00</t>
  </si>
  <si>
    <t>23-10-2023 NEFT/AXISP00436449469/RIUP23/2747/S S INFRASTRUCTURE/HDFC0004496 84205.00</t>
  </si>
  <si>
    <t>RIUP23/1950</t>
  </si>
  <si>
    <t>RIUP23/2747</t>
  </si>
  <si>
    <t>13-11-2023 NEFT/AXISP00416756856/RIUP23/3278/S S INFRASTRUCT 99000.00</t>
  </si>
  <si>
    <t>10-11-2023 NEFT/AXISP00443237229/RIUP23/3230/S S INFRASTRUCTURE/HDFC0004496 99000.00</t>
  </si>
  <si>
    <t>RIUP23/3230</t>
  </si>
  <si>
    <t>30-11-2023 NEFT/AXISP00447586139/RIUP23/3519/S S INFRASTRUCTURE/HDFC0004496 49500.00</t>
  </si>
  <si>
    <t>17-10-2023 NEFT/AXISP00435088308/RIUP23/2471/S S INFRASTRUCTURE/HDFC0004496 10008.00</t>
  </si>
  <si>
    <t>23-10-2023 NEFT/AXISP00436449468/RIUP23/2750/S S INFRASTRUCTURE/HDFC0004496 53709.00</t>
  </si>
  <si>
    <t>30-11-2023 NEFT/AXISP00447586138/RIUP23/3520/S S INFRASTRUCTURE/HDFC0004496 49500.00</t>
  </si>
  <si>
    <t>RIUP23/2471</t>
  </si>
  <si>
    <t>RIUP23/2750</t>
  </si>
  <si>
    <t>RIUP23/3520</t>
  </si>
  <si>
    <t>Advance / Surplus</t>
  </si>
  <si>
    <t>19-01-2024 NEFT/AXISP00463568261/RIUP23/4358/S S INFRASTRUCTURE/HDFC0004496 74985.00</t>
  </si>
  <si>
    <t>RIUP23/4358</t>
  </si>
  <si>
    <t>Advance</t>
  </si>
  <si>
    <t>PMC Issue No.</t>
  </si>
  <si>
    <t>Village Name</t>
  </si>
  <si>
    <t>S.No</t>
  </si>
  <si>
    <t>Advance ( Minus Sign Shows Advance &amp; Vice Versa )</t>
  </si>
  <si>
    <t>Total</t>
  </si>
  <si>
    <t>RIUP23/3519</t>
  </si>
  <si>
    <t>24-04-2024 NEFT/AXISP00493457019/RIUP24/085/S S INFRASTRUCTURE/HDFC0004496 63464.00</t>
  </si>
  <si>
    <t>RIUP24/085</t>
  </si>
  <si>
    <t>17-02-2024 NEFT/AXISP00472256564/RIUP23/4755/S S INFRASTRUCTURE/HDFC0004496 ₹ 69,300.00</t>
  </si>
  <si>
    <t>12 &amp; 15</t>
  </si>
  <si>
    <t>30-04-2024</t>
  </si>
  <si>
    <t>Hold Amount  ( SD+ OC+ HT )</t>
  </si>
  <si>
    <t xml:space="preserve">DPR Excess Hold Amount </t>
  </si>
  <si>
    <t>GST Remaining</t>
  </si>
  <si>
    <t>14-06-2024 NEFT/AXISP00509460930/RIUP24/0860/S S INFRASTRUCTURE/HDFC0004496 39600.00</t>
  </si>
  <si>
    <t>RIUP23/3278</t>
  </si>
  <si>
    <t>RIUP23/4755</t>
  </si>
  <si>
    <t>RIUP24/0860</t>
  </si>
  <si>
    <t>01-06-2024 NEFT/AXISP00505107000/RIUP24/0375/S S INFRASTRUCTURE/HDFC0004496 58020.00</t>
  </si>
  <si>
    <t>14-06-2024 NEFT/AXISP00509460928/RIUP24/0858/S S INFRASTRUCTURE/HDFC0004496 99000.00</t>
  </si>
  <si>
    <t>14-06-2024 NEFT/AXISP00509460927/RIUP24/0857/S S INFRASTRUCTURE/HDFC0004496 49500.00</t>
  </si>
  <si>
    <t>01-08-2024 NEFT/AXISP00523993807/RIUP24/1310/S S INFRASTRUCTURE/HDFC0004496 198000.00</t>
  </si>
  <si>
    <t>Total paid</t>
  </si>
  <si>
    <t>Balance Payable</t>
  </si>
  <si>
    <t>14-06-2024 NEFT/AXISP00509460929/RIUP24/0859/S S INFRASTRUCTURE/HDFC0004496 99000.00</t>
  </si>
  <si>
    <t>14-06-2024 NEFT/AXISP00509460926/RIUP24/0856/S S INFRASTRUCTURE/HDFC0004496 9900.00</t>
  </si>
  <si>
    <t>S S Infrastructure - Shamli</t>
  </si>
  <si>
    <t>Subcontractor:</t>
  </si>
  <si>
    <t>State:</t>
  </si>
  <si>
    <t>District:</t>
  </si>
  <si>
    <t>Block:</t>
  </si>
  <si>
    <t xml:space="preserve">Kadargarh village  - RR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</si>
  <si>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</si>
  <si>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</si>
  <si>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</si>
  <si>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</si>
  <si>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</si>
  <si>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</si>
  <si>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</si>
  <si>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</si>
  <si>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</si>
  <si>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</si>
  <si>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</si>
  <si>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</si>
  <si>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</si>
  <si>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</si>
  <si>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</si>
  <si>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</si>
  <si>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</si>
  <si>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</si>
  <si>
    <t>Uttar Pradesh</t>
  </si>
  <si>
    <t>Shamli</t>
  </si>
  <si>
    <t>s s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</si>
</sst>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2" fillId="3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165" fontId="4" fillId="2" borderId="0" xfId="0" applyNumberFormat="1" applyFont="1" applyFill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9" fontId="2" fillId="3" borderId="2" xfId="1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5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2" fillId="2" borderId="2" xfId="1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165" fontId="0" fillId="0" borderId="18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9" fillId="0" borderId="2" xfId="0" applyFont="1" applyBorder="1"/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15" fontId="2" fillId="2" borderId="21" xfId="0" applyNumberFormat="1" applyFont="1" applyFill="1" applyBorder="1" applyAlignment="1">
      <alignment horizontal="center" vertical="center"/>
    </xf>
    <xf numFmtId="164" fontId="2" fillId="2" borderId="21" xfId="1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5" fontId="3" fillId="2" borderId="7" xfId="0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5" fontId="3" fillId="2" borderId="2" xfId="0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164" fontId="11" fillId="5" borderId="2" xfId="1" applyNumberFormat="1" applyFont="1" applyFill="1" applyBorder="1" applyAlignment="1">
      <alignment vertical="center"/>
    </xf>
    <xf numFmtId="164" fontId="10" fillId="5" borderId="2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12" fillId="2" borderId="7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Border="1" applyAlignment="1">
      <alignment vertical="center"/>
    </xf>
    <xf numFmtId="164" fontId="14" fillId="0" borderId="0" xfId="1" applyNumberFormat="1" applyFont="1" applyFill="1" applyBorder="1" applyAlignment="1">
      <alignment vertical="center"/>
    </xf>
    <xf numFmtId="164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0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164" fontId="8" fillId="2" borderId="15" xfId="1" applyNumberFormat="1" applyFont="1" applyFill="1" applyBorder="1" applyAlignment="1">
      <alignment horizontal="center" vertical="center"/>
    </xf>
    <xf numFmtId="164" fontId="8" fillId="2" borderId="16" xfId="1" applyNumberFormat="1" applyFont="1" applyFill="1" applyBorder="1" applyAlignment="1">
      <alignment horizontal="center" vertical="center"/>
    </xf>
    <xf numFmtId="164" fontId="8" fillId="2" borderId="17" xfId="1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4" fontId="8" fillId="2" borderId="8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164" fontId="8" fillId="2" borderId="1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82"/>
  <sheetViews>
    <sheetView tabSelected="1" zoomScaleNormal="100" workbookViewId="0">
      <pane ySplit="5" topLeftCell="A21" activePane="bottomLeft" state="frozen"/>
      <selection pane="bottomLeft" activeCell="D28" sqref="D28"/>
    </sheetView>
  </sheetViews>
  <sheetFormatPr defaultColWidth="9" defaultRowHeight="20.100000000000001" customHeight="1" x14ac:dyDescent="0.3"/>
  <cols>
    <col min="1" max="1" width="11.5546875" style="4" bestFit="1" customWidth="1"/>
    <col min="2" max="2" width="30" style="4" customWidth="1"/>
    <col min="3" max="3" width="15.5546875" style="4" customWidth="1"/>
    <col min="4" max="4" width="11.5546875" style="4" bestFit="1" customWidth="1"/>
    <col min="5" max="5" width="13.33203125" style="4" bestFit="1" customWidth="1"/>
    <col min="6" max="7" width="13.33203125" style="4" customWidth="1"/>
    <col min="8" max="8" width="18.88671875" style="6" bestFit="1" customWidth="1"/>
    <col min="9" max="9" width="14.33203125" style="6" customWidth="1"/>
    <col min="10" max="10" width="16.33203125" style="4" customWidth="1"/>
    <col min="11" max="11" width="17.6640625" style="4" bestFit="1" customWidth="1"/>
    <col min="12" max="14" width="16.33203125" style="4" customWidth="1"/>
    <col min="15" max="15" width="14.88671875" style="4" customWidth="1"/>
    <col min="16" max="16" width="19.33203125" style="4" bestFit="1" customWidth="1"/>
    <col min="17" max="17" width="9.109375" style="4" customWidth="1"/>
    <col min="18" max="18" width="11.44140625" style="4" customWidth="1"/>
    <col min="19" max="19" width="12.33203125" style="4" customWidth="1"/>
    <col min="20" max="20" width="16.33203125" style="4" customWidth="1"/>
    <col min="21" max="21" width="18.88671875" style="4" bestFit="1" customWidth="1"/>
    <col min="22" max="22" width="92.44140625" style="4" customWidth="1"/>
    <col min="23" max="23" width="18.88671875" style="4" bestFit="1" customWidth="1"/>
    <col min="24" max="16384" width="9" style="4"/>
  </cols>
  <sheetData>
    <row r="1" spans="1:99" s="71" customFormat="1" ht="20.100000000000001" customHeight="1" x14ac:dyDescent="0.3">
      <c r="A1" s="78" t="s">
        <v>100</v>
      </c>
      <c r="B1" s="79" t="s">
        <v>125</v>
      </c>
      <c r="H1" s="72"/>
      <c r="I1" s="72"/>
    </row>
    <row r="2" spans="1:99" s="71" customFormat="1" ht="20.100000000000001" customHeight="1" x14ac:dyDescent="0.3">
      <c r="A2" s="78" t="s">
        <v>101</v>
      </c>
      <c r="B2" s="77" t="s">
        <v>123</v>
      </c>
      <c r="C2" s="73"/>
      <c r="D2" s="73"/>
      <c r="H2" s="74"/>
      <c r="I2" s="74"/>
      <c r="J2" s="75"/>
      <c r="K2" s="75"/>
      <c r="L2" s="75"/>
      <c r="M2" s="75"/>
      <c r="N2" s="75"/>
      <c r="O2" s="75"/>
      <c r="P2" s="76"/>
      <c r="Q2" s="75"/>
      <c r="R2" s="75"/>
      <c r="S2" s="75"/>
      <c r="T2" s="75"/>
    </row>
    <row r="3" spans="1:99" s="71" customFormat="1" ht="20.100000000000001" customHeight="1" x14ac:dyDescent="0.3">
      <c r="A3" s="78" t="s">
        <v>102</v>
      </c>
      <c r="B3" s="77" t="s">
        <v>124</v>
      </c>
      <c r="C3" s="73"/>
      <c r="D3" s="73"/>
      <c r="H3" s="74"/>
      <c r="I3" s="74"/>
      <c r="J3" s="75"/>
      <c r="K3" s="75"/>
      <c r="L3" s="75"/>
      <c r="M3" s="75"/>
      <c r="N3" s="75"/>
      <c r="O3" s="75"/>
      <c r="P3" s="76"/>
      <c r="Q3" s="75"/>
      <c r="R3" s="75"/>
      <c r="S3" s="75"/>
      <c r="T3" s="75"/>
    </row>
    <row r="4" spans="1:99" s="71" customFormat="1" ht="20.100000000000001" customHeight="1" thickBot="1" x14ac:dyDescent="0.35">
      <c r="A4" s="78" t="s">
        <v>103</v>
      </c>
      <c r="B4" s="77" t="s">
        <v>124</v>
      </c>
      <c r="C4" s="75"/>
      <c r="D4" s="75"/>
      <c r="E4" s="75"/>
      <c r="F4" s="75"/>
      <c r="G4" s="75"/>
      <c r="H4" s="73"/>
      <c r="I4" s="73"/>
      <c r="J4" s="75"/>
      <c r="K4" s="75"/>
      <c r="L4" s="75"/>
      <c r="M4" s="75"/>
      <c r="R4" s="75"/>
      <c r="S4" s="75"/>
      <c r="T4" s="75"/>
      <c r="U4" s="75"/>
      <c r="V4" s="75"/>
      <c r="W4" s="75"/>
    </row>
    <row r="5" spans="1:99" ht="39.75" customHeight="1" thickBot="1" x14ac:dyDescent="0.35">
      <c r="A5" s="65" t="s">
        <v>105</v>
      </c>
      <c r="B5" s="66" t="s">
        <v>106</v>
      </c>
      <c r="C5" s="67" t="s">
        <v>107</v>
      </c>
      <c r="D5" s="68" t="s">
        <v>108</v>
      </c>
      <c r="E5" s="66" t="s">
        <v>109</v>
      </c>
      <c r="F5" s="66" t="s">
        <v>110</v>
      </c>
      <c r="G5" s="68" t="s">
        <v>111</v>
      </c>
      <c r="H5" s="69" t="s">
        <v>112</v>
      </c>
      <c r="I5" s="70" t="s">
        <v>0</v>
      </c>
      <c r="J5" s="66" t="s">
        <v>113</v>
      </c>
      <c r="K5" s="66" t="s">
        <v>114</v>
      </c>
      <c r="L5" s="66" t="s">
        <v>115</v>
      </c>
      <c r="M5" s="66" t="s">
        <v>116</v>
      </c>
      <c r="N5" s="13" t="s">
        <v>117</v>
      </c>
      <c r="O5" s="13" t="s">
        <v>118</v>
      </c>
      <c r="P5" s="13" t="s">
        <v>119</v>
      </c>
      <c r="Q5" s="1"/>
      <c r="R5" s="12" t="s">
        <v>1</v>
      </c>
      <c r="S5" s="66" t="s">
        <v>120</v>
      </c>
      <c r="T5" s="66" t="s">
        <v>121</v>
      </c>
      <c r="U5" s="66" t="s">
        <v>122</v>
      </c>
      <c r="V5" s="66" t="s">
        <v>2</v>
      </c>
      <c r="W5" s="12" t="s">
        <v>72</v>
      </c>
    </row>
    <row r="6" spans="1:99" ht="20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5">
        <v>0.01</v>
      </c>
      <c r="K6" s="15">
        <v>0.05</v>
      </c>
      <c r="L6" s="15">
        <v>0.1</v>
      </c>
      <c r="M6" s="15">
        <v>0.1</v>
      </c>
      <c r="N6" s="15">
        <v>0.18</v>
      </c>
      <c r="O6" s="14"/>
      <c r="P6" s="14"/>
      <c r="Q6" s="16"/>
      <c r="R6" s="14"/>
      <c r="S6" s="14"/>
      <c r="T6" s="15">
        <v>0.01</v>
      </c>
      <c r="U6" s="14"/>
      <c r="V6" s="14"/>
      <c r="W6" s="14"/>
    </row>
    <row r="7" spans="1:99" s="7" customFormat="1" ht="20.100000000000001" customHeight="1" x14ac:dyDescent="0.3">
      <c r="A7" s="25"/>
      <c r="B7" s="24"/>
      <c r="C7" s="8"/>
      <c r="D7" s="2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8">
        <f>A8</f>
        <v>53547</v>
      </c>
      <c r="R7" s="11"/>
      <c r="S7" s="11"/>
      <c r="T7" s="26"/>
      <c r="U7" s="26"/>
      <c r="V7" s="26"/>
      <c r="W7" s="2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spans="1:99" ht="20.100000000000001" customHeight="1" x14ac:dyDescent="0.3">
      <c r="A8" s="20">
        <v>53547</v>
      </c>
      <c r="B8" s="19" t="s">
        <v>11</v>
      </c>
      <c r="C8" s="2">
        <v>44932</v>
      </c>
      <c r="D8" s="20">
        <v>11</v>
      </c>
      <c r="E8" s="5">
        <v>769225</v>
      </c>
      <c r="F8" s="5">
        <v>54042</v>
      </c>
      <c r="G8" s="5">
        <f>E8-F8</f>
        <v>715183</v>
      </c>
      <c r="H8" s="5">
        <f>G8*18%</f>
        <v>128732.94</v>
      </c>
      <c r="I8" s="5">
        <f>G8+H8</f>
        <v>843915.94</v>
      </c>
      <c r="J8" s="5">
        <f>G8*1%</f>
        <v>7151.83</v>
      </c>
      <c r="K8" s="5">
        <f>G8*5%</f>
        <v>35759.15</v>
      </c>
      <c r="L8" s="5">
        <f>G8*10%</f>
        <v>71518.3</v>
      </c>
      <c r="M8" s="5">
        <f>G8*10%</f>
        <v>71518.3</v>
      </c>
      <c r="N8" s="63">
        <f>H8</f>
        <v>128732.94</v>
      </c>
      <c r="O8" s="5">
        <v>76567</v>
      </c>
      <c r="P8" s="5">
        <f>G8-J8-K8-L8-M8-O8</f>
        <v>452668.41999999993</v>
      </c>
      <c r="Q8" s="21"/>
      <c r="R8" s="5" t="s">
        <v>12</v>
      </c>
      <c r="S8" s="5">
        <v>300000</v>
      </c>
      <c r="T8" s="5">
        <f>S8*T6</f>
        <v>3000</v>
      </c>
      <c r="U8" s="5">
        <f t="shared" ref="U8:U13" si="0">S8-T8</f>
        <v>297000</v>
      </c>
      <c r="V8" s="22" t="s">
        <v>13</v>
      </c>
      <c r="W8" s="5">
        <f>SUM(P8:P21)-SUM(U8:U21)</f>
        <v>-211564.94000000018</v>
      </c>
    </row>
    <row r="9" spans="1:99" ht="20.100000000000001" customHeight="1" x14ac:dyDescent="0.3">
      <c r="A9" s="20">
        <v>53547</v>
      </c>
      <c r="B9" s="19" t="s">
        <v>14</v>
      </c>
      <c r="C9" s="2">
        <v>44987</v>
      </c>
      <c r="D9" s="20">
        <v>11</v>
      </c>
      <c r="E9" s="5">
        <v>128733</v>
      </c>
      <c r="F9" s="5"/>
      <c r="G9" s="5"/>
      <c r="H9" s="5"/>
      <c r="I9" s="5"/>
      <c r="J9" s="5"/>
      <c r="K9" s="5"/>
      <c r="L9" s="5"/>
      <c r="M9" s="5"/>
      <c r="N9" s="5"/>
      <c r="O9" s="5"/>
      <c r="P9" s="63">
        <v>128733</v>
      </c>
      <c r="Q9" s="21"/>
      <c r="R9" s="5" t="s">
        <v>15</v>
      </c>
      <c r="S9" s="5">
        <v>150000</v>
      </c>
      <c r="T9" s="5">
        <f>S9*T6</f>
        <v>1500</v>
      </c>
      <c r="U9" s="5">
        <f t="shared" si="0"/>
        <v>148500</v>
      </c>
      <c r="V9" s="22" t="s">
        <v>16</v>
      </c>
      <c r="W9" s="5"/>
    </row>
    <row r="10" spans="1:99" ht="20.100000000000001" customHeight="1" x14ac:dyDescent="0.3">
      <c r="A10" s="20">
        <v>53547</v>
      </c>
      <c r="B10" s="19" t="s">
        <v>11</v>
      </c>
      <c r="C10" s="2">
        <v>45051</v>
      </c>
      <c r="D10" s="20">
        <v>10</v>
      </c>
      <c r="E10" s="5">
        <v>414204.25</v>
      </c>
      <c r="F10" s="5">
        <v>91871</v>
      </c>
      <c r="G10" s="5">
        <v>322333.25</v>
      </c>
      <c r="H10" s="5">
        <v>58020</v>
      </c>
      <c r="I10" s="5">
        <v>380353.25</v>
      </c>
      <c r="J10" s="5">
        <v>3223.3325</v>
      </c>
      <c r="K10" s="5">
        <v>16116.6625</v>
      </c>
      <c r="L10" s="5">
        <v>32233.325000000001</v>
      </c>
      <c r="M10" s="5">
        <v>32233.325000000001</v>
      </c>
      <c r="N10" s="63">
        <v>58020</v>
      </c>
      <c r="O10" s="5">
        <v>166795.5</v>
      </c>
      <c r="P10" s="5">
        <v>71731</v>
      </c>
      <c r="Q10" s="21"/>
      <c r="R10" s="5" t="s">
        <v>17</v>
      </c>
      <c r="S10" s="5">
        <v>100000</v>
      </c>
      <c r="T10" s="5">
        <f>S10*T6</f>
        <v>1000</v>
      </c>
      <c r="U10" s="5">
        <f t="shared" si="0"/>
        <v>99000</v>
      </c>
      <c r="V10" s="22" t="s">
        <v>18</v>
      </c>
      <c r="W10" s="5"/>
    </row>
    <row r="11" spans="1:99" ht="20.100000000000001" customHeight="1" x14ac:dyDescent="0.3">
      <c r="A11" s="20">
        <v>53547</v>
      </c>
      <c r="B11" s="19" t="s">
        <v>14</v>
      </c>
      <c r="C11" s="2"/>
      <c r="D11" s="20">
        <v>10</v>
      </c>
      <c r="E11" s="5">
        <v>58020</v>
      </c>
      <c r="F11" s="5">
        <v>0</v>
      </c>
      <c r="G11" s="5">
        <v>58020</v>
      </c>
      <c r="H11" s="5">
        <v>0</v>
      </c>
      <c r="I11" s="5">
        <v>58020</v>
      </c>
      <c r="J11" s="5">
        <v>0</v>
      </c>
      <c r="K11" s="5">
        <v>0</v>
      </c>
      <c r="L11" s="5"/>
      <c r="M11" s="5"/>
      <c r="N11" s="5">
        <v>0</v>
      </c>
      <c r="O11" s="5"/>
      <c r="P11" s="63">
        <v>58020</v>
      </c>
      <c r="Q11" s="21"/>
      <c r="R11" s="5" t="s">
        <v>19</v>
      </c>
      <c r="S11" s="5">
        <v>100000</v>
      </c>
      <c r="T11" s="5">
        <f>S11*T6</f>
        <v>1000</v>
      </c>
      <c r="U11" s="5">
        <f t="shared" si="0"/>
        <v>99000</v>
      </c>
      <c r="V11" s="22" t="s">
        <v>20</v>
      </c>
      <c r="W11" s="5"/>
    </row>
    <row r="12" spans="1:99" ht="20.100000000000001" customHeight="1" x14ac:dyDescent="0.3">
      <c r="A12" s="20">
        <v>53547</v>
      </c>
      <c r="B12" s="19" t="s">
        <v>11</v>
      </c>
      <c r="C12" s="2">
        <v>45166</v>
      </c>
      <c r="D12" s="20">
        <v>21</v>
      </c>
      <c r="E12" s="5">
        <v>288243</v>
      </c>
      <c r="F12" s="5">
        <v>57225</v>
      </c>
      <c r="G12" s="5">
        <f>E12-F12</f>
        <v>231018</v>
      </c>
      <c r="H12" s="5">
        <f>G12*18%</f>
        <v>41583.24</v>
      </c>
      <c r="I12" s="5">
        <f>G12+H12</f>
        <v>272601.24</v>
      </c>
      <c r="J12" s="5">
        <f>G12*J6</f>
        <v>2310.1799999999998</v>
      </c>
      <c r="K12" s="5">
        <f>G12*K6</f>
        <v>11550.900000000001</v>
      </c>
      <c r="L12" s="5">
        <f>G12*L6</f>
        <v>23101.800000000003</v>
      </c>
      <c r="M12" s="5">
        <f>G12*M6</f>
        <v>23101.800000000003</v>
      </c>
      <c r="N12" s="63">
        <f>G12*N6</f>
        <v>41583.24</v>
      </c>
      <c r="O12" s="5"/>
      <c r="P12" s="5">
        <f>G12-J12-K12-L12-M12</f>
        <v>170953.32</v>
      </c>
      <c r="Q12" s="21"/>
      <c r="R12" s="5" t="s">
        <v>5</v>
      </c>
      <c r="S12" s="5">
        <v>200000</v>
      </c>
      <c r="T12" s="5">
        <f>S12*T6</f>
        <v>2000</v>
      </c>
      <c r="U12" s="5">
        <f t="shared" si="0"/>
        <v>198000</v>
      </c>
      <c r="V12" s="22" t="s">
        <v>21</v>
      </c>
      <c r="W12" s="5"/>
    </row>
    <row r="13" spans="1:99" ht="20.100000000000001" customHeight="1" x14ac:dyDescent="0.3">
      <c r="A13" s="20">
        <v>53547</v>
      </c>
      <c r="B13" s="19" t="s">
        <v>14</v>
      </c>
      <c r="C13" s="2">
        <v>45216</v>
      </c>
      <c r="D13" s="20">
        <v>21</v>
      </c>
      <c r="E13" s="5">
        <v>41583</v>
      </c>
      <c r="F13" s="5">
        <v>0</v>
      </c>
      <c r="G13" s="5">
        <f>E13-F13</f>
        <v>41583</v>
      </c>
      <c r="H13" s="5">
        <v>0</v>
      </c>
      <c r="I13" s="5">
        <f>G13+H13</f>
        <v>41583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  <c r="P13" s="63">
        <f>G13-J13-K13-L13-M13</f>
        <v>41583</v>
      </c>
      <c r="Q13" s="21"/>
      <c r="R13" s="5" t="s">
        <v>23</v>
      </c>
      <c r="S13" s="5">
        <v>200000</v>
      </c>
      <c r="T13" s="5">
        <f>S13*T6</f>
        <v>2000</v>
      </c>
      <c r="U13" s="5">
        <f t="shared" si="0"/>
        <v>198000</v>
      </c>
      <c r="V13" s="27" t="s">
        <v>22</v>
      </c>
      <c r="W13" s="5"/>
    </row>
    <row r="14" spans="1:99" ht="20.100000000000001" customHeight="1" x14ac:dyDescent="0.3">
      <c r="A14" s="20">
        <v>53547</v>
      </c>
      <c r="B14" s="19" t="s">
        <v>11</v>
      </c>
      <c r="C14" s="2">
        <v>45290</v>
      </c>
      <c r="D14" s="20">
        <v>33</v>
      </c>
      <c r="E14" s="5">
        <v>553926</v>
      </c>
      <c r="F14" s="5">
        <v>137340</v>
      </c>
      <c r="G14" s="5">
        <f>E14-F14</f>
        <v>416586</v>
      </c>
      <c r="H14" s="5">
        <f>G14*18%</f>
        <v>74985.48</v>
      </c>
      <c r="I14" s="5">
        <f>G14+H14</f>
        <v>491571.48</v>
      </c>
      <c r="J14" s="5">
        <f>G14*1%</f>
        <v>4165.8599999999997</v>
      </c>
      <c r="K14" s="5">
        <f>G14*K6</f>
        <v>20829.300000000003</v>
      </c>
      <c r="L14" s="5">
        <f>G14*10%</f>
        <v>41658.600000000006</v>
      </c>
      <c r="M14" s="5">
        <f>G14*10%</f>
        <v>41658.600000000006</v>
      </c>
      <c r="N14" s="63">
        <f>H14</f>
        <v>74985.48</v>
      </c>
      <c r="O14" s="5"/>
      <c r="P14" s="5">
        <f>G14-J14-K14-L14-M14</f>
        <v>308273.64</v>
      </c>
      <c r="Q14" s="21"/>
      <c r="R14" s="5" t="s">
        <v>42</v>
      </c>
      <c r="S14" s="5">
        <v>100000</v>
      </c>
      <c r="T14" s="5">
        <f>S14*1%</f>
        <v>1000</v>
      </c>
      <c r="U14" s="5">
        <f t="shared" ref="U14:U16" si="1">S14-T14</f>
        <v>99000</v>
      </c>
      <c r="V14" s="22" t="s">
        <v>40</v>
      </c>
      <c r="W14" s="5"/>
    </row>
    <row r="15" spans="1:99" ht="20.100000000000001" customHeight="1" x14ac:dyDescent="0.3">
      <c r="A15" s="20">
        <v>53547</v>
      </c>
      <c r="B15" s="19" t="s">
        <v>11</v>
      </c>
      <c r="C15" s="2">
        <v>45301</v>
      </c>
      <c r="D15" s="20">
        <v>35</v>
      </c>
      <c r="E15" s="5">
        <v>30914</v>
      </c>
      <c r="F15" s="5">
        <v>30354</v>
      </c>
      <c r="G15" s="5">
        <f>E15-F15</f>
        <v>560</v>
      </c>
      <c r="H15" s="5">
        <f>G15*18%</f>
        <v>100.8</v>
      </c>
      <c r="I15" s="5">
        <f>G15+H15</f>
        <v>660.8</v>
      </c>
      <c r="J15" s="5">
        <f>G15*1%</f>
        <v>5.6000000000000005</v>
      </c>
      <c r="K15" s="5">
        <f>G15*5%</f>
        <v>28</v>
      </c>
      <c r="L15" s="5">
        <f>G15*10%</f>
        <v>56</v>
      </c>
      <c r="M15" s="5">
        <f>G15*10%</f>
        <v>56</v>
      </c>
      <c r="N15" s="63">
        <f>H15</f>
        <v>100.8</v>
      </c>
      <c r="O15" s="5">
        <v>7940</v>
      </c>
      <c r="P15" s="5">
        <f>G15-J15-K15-L15-M15-O15</f>
        <v>-7525.6</v>
      </c>
      <c r="Q15" s="21"/>
      <c r="R15" s="5" t="s">
        <v>43</v>
      </c>
      <c r="S15" s="5">
        <v>41583</v>
      </c>
      <c r="T15" s="5"/>
      <c r="U15" s="5">
        <f t="shared" si="1"/>
        <v>41583</v>
      </c>
      <c r="V15" s="22" t="s">
        <v>41</v>
      </c>
      <c r="W15" s="5"/>
    </row>
    <row r="16" spans="1:99" ht="20.100000000000001" customHeight="1" x14ac:dyDescent="0.3">
      <c r="A16" s="20">
        <v>53547</v>
      </c>
      <c r="B16" s="19" t="s">
        <v>14</v>
      </c>
      <c r="C16" s="2"/>
      <c r="D16" s="20">
        <v>33</v>
      </c>
      <c r="E16" s="5">
        <f>N14</f>
        <v>74985.48</v>
      </c>
      <c r="F16" s="5">
        <v>0</v>
      </c>
      <c r="G16" s="5">
        <f>E16-F16</f>
        <v>74985.48</v>
      </c>
      <c r="H16" s="5">
        <v>0</v>
      </c>
      <c r="I16" s="5">
        <f>G16+H16</f>
        <v>74985.48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/>
      <c r="P16" s="63">
        <f>G16-J16-K16-L16-M16</f>
        <v>74985.48</v>
      </c>
      <c r="Q16" s="21"/>
      <c r="R16" s="5" t="s">
        <v>61</v>
      </c>
      <c r="S16" s="5">
        <v>100000</v>
      </c>
      <c r="T16" s="5">
        <f>S16*1%</f>
        <v>1000</v>
      </c>
      <c r="U16" s="5">
        <f t="shared" si="1"/>
        <v>99000</v>
      </c>
      <c r="V16" s="22" t="s">
        <v>60</v>
      </c>
      <c r="W16" s="5"/>
    </row>
    <row r="17" spans="1:99" ht="20.100000000000001" customHeight="1" x14ac:dyDescent="0.3">
      <c r="A17" s="20">
        <v>53547</v>
      </c>
      <c r="B17" s="19" t="s">
        <v>14</v>
      </c>
      <c r="C17" s="2"/>
      <c r="D17" s="20">
        <v>35</v>
      </c>
      <c r="E17" s="5">
        <f>N15</f>
        <v>100.8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63">
        <f>E17</f>
        <v>100.8</v>
      </c>
      <c r="Q17" s="21"/>
      <c r="R17" s="5" t="s">
        <v>71</v>
      </c>
      <c r="S17" s="5">
        <v>74985</v>
      </c>
      <c r="T17" s="5">
        <v>0</v>
      </c>
      <c r="U17" s="5">
        <f t="shared" ref="U17" si="2">S17-T17</f>
        <v>74985</v>
      </c>
      <c r="V17" s="22" t="s">
        <v>70</v>
      </c>
      <c r="W17" s="5"/>
    </row>
    <row r="18" spans="1:99" ht="20.100000000000001" customHeight="1" x14ac:dyDescent="0.3">
      <c r="A18" s="20">
        <v>53547</v>
      </c>
      <c r="B18" s="19"/>
      <c r="C18" s="2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21"/>
      <c r="R18" s="5"/>
      <c r="S18" s="5"/>
      <c r="T18" s="5"/>
      <c r="U18" s="5">
        <v>58020</v>
      </c>
      <c r="V18" s="22" t="s">
        <v>91</v>
      </c>
      <c r="W18" s="5"/>
    </row>
    <row r="19" spans="1:99" ht="20.100000000000001" customHeight="1" x14ac:dyDescent="0.3">
      <c r="A19" s="20">
        <v>53547</v>
      </c>
      <c r="B19" s="19"/>
      <c r="C19" s="2"/>
      <c r="D19" s="2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1"/>
      <c r="R19" s="5"/>
      <c r="S19" s="5"/>
      <c r="T19" s="5"/>
      <c r="U19" s="5">
        <v>99000</v>
      </c>
      <c r="V19" s="22" t="s">
        <v>92</v>
      </c>
      <c r="W19" s="5"/>
    </row>
    <row r="20" spans="1:99" ht="20.100000000000001" customHeight="1" x14ac:dyDescent="0.3">
      <c r="A20" s="20">
        <v>53547</v>
      </c>
      <c r="B20" s="19"/>
      <c r="C20" s="2"/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1"/>
      <c r="R20" s="5"/>
      <c r="S20" s="5"/>
      <c r="T20" s="5"/>
      <c r="U20" s="5"/>
      <c r="V20" s="22"/>
      <c r="W20" s="5"/>
    </row>
    <row r="21" spans="1:99" ht="20.100000000000001" customHeight="1" x14ac:dyDescent="0.3">
      <c r="A21" s="20">
        <v>53547</v>
      </c>
      <c r="B21" s="19"/>
      <c r="C21" s="2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1"/>
      <c r="R21" s="5"/>
      <c r="S21" s="5"/>
      <c r="T21" s="5"/>
      <c r="U21" s="5"/>
      <c r="V21" s="22"/>
      <c r="W21" s="5"/>
    </row>
    <row r="22" spans="1:99" s="7" customFormat="1" ht="20.100000000000001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7"/>
      <c r="K22" s="17"/>
      <c r="L22" s="17"/>
      <c r="M22" s="17"/>
      <c r="N22" s="17"/>
      <c r="O22" s="11"/>
      <c r="P22" s="11"/>
      <c r="Q22" s="18">
        <f>A23</f>
        <v>55460</v>
      </c>
      <c r="R22" s="11"/>
      <c r="S22" s="11"/>
      <c r="T22" s="17"/>
      <c r="U22" s="11"/>
      <c r="V22" s="11"/>
      <c r="W22" s="1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1:99" ht="20.100000000000001" customHeight="1" x14ac:dyDescent="0.3">
      <c r="A23" s="20">
        <v>55460</v>
      </c>
      <c r="B23" s="19" t="s">
        <v>6</v>
      </c>
      <c r="C23" s="2">
        <v>45108</v>
      </c>
      <c r="D23" s="20">
        <v>12</v>
      </c>
      <c r="E23" s="5">
        <v>802994.91</v>
      </c>
      <c r="F23" s="5">
        <v>374690</v>
      </c>
      <c r="G23" s="5">
        <f>E23-F23</f>
        <v>428304.91000000003</v>
      </c>
      <c r="H23" s="5">
        <f>ROUND(G23*18%,)</f>
        <v>77095</v>
      </c>
      <c r="I23" s="5">
        <f>G23+H23</f>
        <v>505399.91000000003</v>
      </c>
      <c r="J23" s="5">
        <f>G23*$J$6</f>
        <v>4283.0491000000002</v>
      </c>
      <c r="K23" s="5">
        <f>G23*5%</f>
        <v>21415.245500000005</v>
      </c>
      <c r="L23" s="5">
        <f>G23*10%</f>
        <v>42830.491000000009</v>
      </c>
      <c r="M23" s="5">
        <f>G23*10%</f>
        <v>42830.491000000009</v>
      </c>
      <c r="N23" s="63">
        <f>H23</f>
        <v>77095</v>
      </c>
      <c r="O23" s="5">
        <v>155337</v>
      </c>
      <c r="P23" s="5">
        <f>ROUND(I23-SUM(J23:O23),)</f>
        <v>161609</v>
      </c>
      <c r="Q23" s="21"/>
      <c r="R23" s="5" t="s">
        <v>8</v>
      </c>
      <c r="S23" s="5">
        <v>200000</v>
      </c>
      <c r="T23" s="5">
        <f>S23*T6</f>
        <v>2000</v>
      </c>
      <c r="U23" s="5">
        <f t="shared" ref="U23:U31" si="3">S23-T23</f>
        <v>198000</v>
      </c>
      <c r="V23" s="22" t="s">
        <v>7</v>
      </c>
      <c r="W23" s="5">
        <f>SUM(P23:P29)-SUM(U23:U29)</f>
        <v>-88524</v>
      </c>
    </row>
    <row r="24" spans="1:99" ht="20.100000000000001" customHeight="1" x14ac:dyDescent="0.3">
      <c r="A24" s="20">
        <v>55460</v>
      </c>
      <c r="B24" s="19" t="s">
        <v>6</v>
      </c>
      <c r="C24" s="2">
        <v>45128</v>
      </c>
      <c r="D24" s="20">
        <v>15</v>
      </c>
      <c r="E24" s="5">
        <v>769583.65</v>
      </c>
      <c r="F24" s="5">
        <v>34226.6</v>
      </c>
      <c r="G24" s="5">
        <f>E24-F24</f>
        <v>735357.05</v>
      </c>
      <c r="H24" s="5">
        <f>ROUND(G24*18%,)</f>
        <v>132364</v>
      </c>
      <c r="I24" s="5">
        <f>G24+H24</f>
        <v>867721.05</v>
      </c>
      <c r="J24" s="5">
        <f>G24*$J$6</f>
        <v>7353.5705000000007</v>
      </c>
      <c r="K24" s="5">
        <f>G24*5%</f>
        <v>36767.852500000001</v>
      </c>
      <c r="L24" s="5">
        <f>G24*10%</f>
        <v>73535.705000000002</v>
      </c>
      <c r="M24" s="5">
        <f>G24*10%</f>
        <v>73535.705000000002</v>
      </c>
      <c r="N24" s="63">
        <f>H24</f>
        <v>132364</v>
      </c>
      <c r="O24" s="5">
        <v>157893</v>
      </c>
      <c r="P24" s="5">
        <f>ROUND(I24-SUM(J24:O24),)</f>
        <v>386271</v>
      </c>
      <c r="Q24" s="21"/>
      <c r="R24" s="5" t="s">
        <v>5</v>
      </c>
      <c r="S24" s="5">
        <v>100000</v>
      </c>
      <c r="T24" s="5">
        <f>S24*T6</f>
        <v>1000</v>
      </c>
      <c r="U24" s="5">
        <f t="shared" si="3"/>
        <v>99000</v>
      </c>
      <c r="V24" s="22" t="s">
        <v>4</v>
      </c>
      <c r="W24" s="5"/>
    </row>
    <row r="25" spans="1:99" ht="20.100000000000001" customHeight="1" x14ac:dyDescent="0.3">
      <c r="A25" s="20">
        <v>55460</v>
      </c>
      <c r="B25" s="19" t="s">
        <v>14</v>
      </c>
      <c r="C25" s="2"/>
      <c r="D25" s="20" t="s">
        <v>82</v>
      </c>
      <c r="E25" s="5">
        <f>N23+N24</f>
        <v>209459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63">
        <f>E25</f>
        <v>209459</v>
      </c>
      <c r="Q25" s="21"/>
      <c r="R25" s="5" t="s">
        <v>52</v>
      </c>
      <c r="S25" s="5">
        <v>250877</v>
      </c>
      <c r="T25" s="5"/>
      <c r="U25" s="5">
        <v>250877</v>
      </c>
      <c r="V25" s="22" t="s">
        <v>49</v>
      </c>
      <c r="W25" s="5"/>
    </row>
    <row r="26" spans="1:99" ht="20.100000000000001" customHeight="1" x14ac:dyDescent="0.3">
      <c r="A26" s="20">
        <v>55460</v>
      </c>
      <c r="B26" s="19" t="s">
        <v>6</v>
      </c>
      <c r="C26" s="2" t="s">
        <v>83</v>
      </c>
      <c r="D26" s="20">
        <v>6</v>
      </c>
      <c r="E26" s="5">
        <v>253377</v>
      </c>
      <c r="F26" s="5">
        <v>132537</v>
      </c>
      <c r="G26" s="5">
        <f>E26-F26</f>
        <v>120840</v>
      </c>
      <c r="H26" s="5">
        <f>ROUND(G26*18%,)</f>
        <v>21751</v>
      </c>
      <c r="I26" s="5">
        <f>G26+H26</f>
        <v>142591</v>
      </c>
      <c r="J26" s="5">
        <f>G26*$J$6</f>
        <v>1208.4000000000001</v>
      </c>
      <c r="K26" s="5">
        <f>G26*5%</f>
        <v>6042</v>
      </c>
      <c r="L26" s="5">
        <f>G26*10%</f>
        <v>12084</v>
      </c>
      <c r="M26" s="5">
        <f>G26*10%</f>
        <v>12084</v>
      </c>
      <c r="N26" s="63">
        <f>H26</f>
        <v>21751</v>
      </c>
      <c r="O26" s="5">
        <v>1700</v>
      </c>
      <c r="P26" s="5">
        <f>ROUND(I26-SUM(J26:O26),)</f>
        <v>87722</v>
      </c>
      <c r="Q26" s="21"/>
      <c r="R26" s="5" t="s">
        <v>53</v>
      </c>
      <c r="S26" s="5">
        <v>209459</v>
      </c>
      <c r="T26" s="5"/>
      <c r="U26" s="5">
        <v>209459</v>
      </c>
      <c r="V26" s="22" t="s">
        <v>50</v>
      </c>
      <c r="W26" s="5"/>
    </row>
    <row r="27" spans="1:99" ht="20.100000000000001" customHeight="1" x14ac:dyDescent="0.3">
      <c r="A27" s="20">
        <v>55460</v>
      </c>
      <c r="B27" s="19" t="s">
        <v>14</v>
      </c>
      <c r="C27" s="2"/>
      <c r="D27" s="20">
        <v>6</v>
      </c>
      <c r="E27" s="5">
        <f>N26</f>
        <v>21751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63">
        <f>E27</f>
        <v>21751</v>
      </c>
      <c r="Q27" s="21"/>
      <c r="R27" s="5" t="s">
        <v>54</v>
      </c>
      <c r="S27" s="5">
        <v>148500</v>
      </c>
      <c r="T27" s="5"/>
      <c r="U27" s="5">
        <v>148500</v>
      </c>
      <c r="V27" s="22" t="s">
        <v>51</v>
      </c>
      <c r="W27" s="5"/>
    </row>
    <row r="28" spans="1:99" ht="20.100000000000001" customHeight="1" x14ac:dyDescent="0.3">
      <c r="A28" s="20">
        <v>55460</v>
      </c>
      <c r="B28" s="19"/>
      <c r="C28" s="2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21"/>
      <c r="R28" s="5"/>
      <c r="S28" s="5"/>
      <c r="T28" s="5"/>
      <c r="U28" s="5">
        <v>49500</v>
      </c>
      <c r="V28" s="22" t="s">
        <v>93</v>
      </c>
      <c r="W28" s="5"/>
    </row>
    <row r="29" spans="1:99" ht="20.100000000000001" customHeight="1" x14ac:dyDescent="0.3">
      <c r="A29" s="20">
        <v>55460</v>
      </c>
      <c r="B29" s="19"/>
      <c r="C29" s="2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21"/>
      <c r="R29" s="5"/>
      <c r="S29" s="5"/>
      <c r="T29" s="5"/>
      <c r="U29" s="5"/>
      <c r="V29" s="22"/>
      <c r="W29" s="5"/>
    </row>
    <row r="30" spans="1:99" s="7" customFormat="1" ht="20.100000000000001" customHeight="1" x14ac:dyDescent="0.3">
      <c r="A30" s="25"/>
      <c r="B30" s="24"/>
      <c r="C30" s="8"/>
      <c r="D30" s="2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8">
        <f>A31</f>
        <v>55041</v>
      </c>
      <c r="R30" s="11"/>
      <c r="S30" s="11"/>
      <c r="T30" s="26"/>
      <c r="U30" s="26"/>
      <c r="V30" s="26"/>
      <c r="W30" s="2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</row>
    <row r="31" spans="1:99" ht="20.100000000000001" customHeight="1" x14ac:dyDescent="0.3">
      <c r="A31" s="20">
        <v>55041</v>
      </c>
      <c r="B31" s="19" t="s">
        <v>48</v>
      </c>
      <c r="C31" s="2">
        <v>45133</v>
      </c>
      <c r="D31" s="20">
        <v>16</v>
      </c>
      <c r="E31" s="5">
        <v>920371.54</v>
      </c>
      <c r="F31" s="5">
        <v>250394</v>
      </c>
      <c r="G31" s="5">
        <f>E31-F31</f>
        <v>669977.54</v>
      </c>
      <c r="H31" s="5">
        <f>G31*18%</f>
        <v>120595.9572</v>
      </c>
      <c r="I31" s="5">
        <f>G31+H31</f>
        <v>790573.4972000001</v>
      </c>
      <c r="J31" s="5">
        <f>I31*1%</f>
        <v>7905.7349720000011</v>
      </c>
      <c r="K31" s="5">
        <f>I31*5%</f>
        <v>39528.674860000006</v>
      </c>
      <c r="L31" s="5">
        <f>I31*10%</f>
        <v>79057.349720000013</v>
      </c>
      <c r="M31" s="5">
        <f>I31*10%</f>
        <v>79057.349720000013</v>
      </c>
      <c r="N31" s="62">
        <f>G31*18%</f>
        <v>120595.9572</v>
      </c>
      <c r="O31" s="5">
        <v>214250.9</v>
      </c>
      <c r="P31" s="5">
        <v>281532</v>
      </c>
      <c r="Q31" s="21"/>
      <c r="R31" s="5" t="s">
        <v>9</v>
      </c>
      <c r="S31" s="5">
        <v>200000</v>
      </c>
      <c r="T31" s="5">
        <f>S31*T6</f>
        <v>2000</v>
      </c>
      <c r="U31" s="5">
        <f t="shared" si="3"/>
        <v>198000</v>
      </c>
      <c r="V31" s="22" t="s">
        <v>10</v>
      </c>
      <c r="W31" s="5">
        <f>SUM(P31:P37)-SUM(U31:U37)</f>
        <v>5974.3972000000067</v>
      </c>
    </row>
    <row r="32" spans="1:99" ht="20.100000000000001" customHeight="1" x14ac:dyDescent="0.3">
      <c r="A32" s="20">
        <v>55041</v>
      </c>
      <c r="B32" s="19" t="s">
        <v>48</v>
      </c>
      <c r="C32" s="2">
        <v>45301</v>
      </c>
      <c r="D32" s="20">
        <v>34</v>
      </c>
      <c r="E32" s="5">
        <v>54520</v>
      </c>
      <c r="F32" s="5">
        <v>53862</v>
      </c>
      <c r="G32" s="5">
        <f>E32-F32</f>
        <v>658</v>
      </c>
      <c r="H32" s="5">
        <f>G32*18%</f>
        <v>118.44</v>
      </c>
      <c r="I32" s="5">
        <f>G32+H32</f>
        <v>776.44</v>
      </c>
      <c r="J32" s="5">
        <f>G32*1%</f>
        <v>6.58</v>
      </c>
      <c r="K32" s="5">
        <f>G32*5%</f>
        <v>32.9</v>
      </c>
      <c r="L32" s="5">
        <f>G32*10%</f>
        <v>65.8</v>
      </c>
      <c r="M32" s="5">
        <f>G32*10%</f>
        <v>65.8</v>
      </c>
      <c r="N32" s="62">
        <f>G32*18%</f>
        <v>118.44</v>
      </c>
      <c r="O32" s="5">
        <v>2542</v>
      </c>
      <c r="P32" s="5">
        <f>ROUND(I32-SUM(J32:O32),)</f>
        <v>-2055</v>
      </c>
      <c r="Q32" s="21"/>
      <c r="R32" s="5" t="s">
        <v>46</v>
      </c>
      <c r="S32" s="5"/>
      <c r="T32" s="5">
        <f t="shared" ref="T32:T33" si="4">S32*T31</f>
        <v>0</v>
      </c>
      <c r="U32" s="5">
        <v>83531</v>
      </c>
      <c r="V32" s="22" t="s">
        <v>44</v>
      </c>
      <c r="W32" s="5"/>
    </row>
    <row r="33" spans="1:99" ht="20.100000000000001" customHeight="1" x14ac:dyDescent="0.3">
      <c r="A33" s="20">
        <v>55041</v>
      </c>
      <c r="B33" s="19" t="s">
        <v>14</v>
      </c>
      <c r="C33" s="2"/>
      <c r="D33" s="20">
        <v>16</v>
      </c>
      <c r="E33" s="5">
        <f>N31</f>
        <v>120595.9572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62">
        <f>E33</f>
        <v>120595.9572</v>
      </c>
      <c r="Q33" s="21"/>
      <c r="R33" s="5" t="s">
        <v>47</v>
      </c>
      <c r="S33" s="5"/>
      <c r="T33" s="5">
        <f t="shared" si="4"/>
        <v>0</v>
      </c>
      <c r="U33" s="5">
        <v>120596</v>
      </c>
      <c r="V33" s="22" t="s">
        <v>45</v>
      </c>
      <c r="W33" s="5"/>
    </row>
    <row r="34" spans="1:99" ht="20.100000000000001" customHeight="1" x14ac:dyDescent="0.3">
      <c r="A34" s="20">
        <v>55041</v>
      </c>
      <c r="B34" s="19" t="s">
        <v>14</v>
      </c>
      <c r="C34" s="2"/>
      <c r="D34" s="20">
        <v>34</v>
      </c>
      <c r="E34" s="5">
        <f>N32</f>
        <v>118.44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62">
        <f>E34</f>
        <v>118.44</v>
      </c>
      <c r="Q34" s="21"/>
      <c r="R34" s="5" t="s">
        <v>88</v>
      </c>
      <c r="S34" s="5"/>
      <c r="T34" s="5"/>
      <c r="U34" s="5">
        <v>99000</v>
      </c>
      <c r="V34" s="22" t="s">
        <v>59</v>
      </c>
      <c r="W34" s="5"/>
    </row>
    <row r="35" spans="1:99" ht="20.100000000000001" customHeight="1" x14ac:dyDescent="0.3">
      <c r="A35" s="20">
        <v>55041</v>
      </c>
      <c r="B35" s="19" t="s">
        <v>48</v>
      </c>
      <c r="C35" s="2">
        <v>45412</v>
      </c>
      <c r="D35" s="20">
        <v>7</v>
      </c>
      <c r="E35" s="5">
        <v>466200</v>
      </c>
      <c r="F35" s="5">
        <v>0</v>
      </c>
      <c r="G35" s="5">
        <f>E35-F35</f>
        <v>466200</v>
      </c>
      <c r="H35" s="5">
        <f>G35*18%</f>
        <v>83916</v>
      </c>
      <c r="I35" s="5">
        <f>G35+H35</f>
        <v>550116</v>
      </c>
      <c r="J35" s="5">
        <f>G35*1%</f>
        <v>4662</v>
      </c>
      <c r="K35" s="5">
        <f>G35*5%</f>
        <v>23310</v>
      </c>
      <c r="L35" s="5">
        <f>G35*10%</f>
        <v>46620</v>
      </c>
      <c r="M35" s="5">
        <f>G35*10%</f>
        <v>46620</v>
      </c>
      <c r="N35" s="62">
        <f>G35*18%</f>
        <v>83916</v>
      </c>
      <c r="O35" s="5">
        <v>15094</v>
      </c>
      <c r="P35" s="5">
        <f>ROUND(I35-SUM(J35:O35),)</f>
        <v>329894</v>
      </c>
      <c r="Q35" s="21"/>
      <c r="R35" s="5" t="s">
        <v>89</v>
      </c>
      <c r="S35" s="5"/>
      <c r="T35" s="5"/>
      <c r="U35" s="5">
        <v>69300</v>
      </c>
      <c r="V35" s="22" t="s">
        <v>81</v>
      </c>
      <c r="W35" s="5"/>
    </row>
    <row r="36" spans="1:99" ht="20.100000000000001" customHeight="1" x14ac:dyDescent="0.3">
      <c r="A36" s="20">
        <v>55041</v>
      </c>
      <c r="B36" s="19" t="s">
        <v>14</v>
      </c>
      <c r="C36" s="2"/>
      <c r="D36" s="20">
        <v>7</v>
      </c>
      <c r="E36" s="5">
        <f>N35</f>
        <v>83916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62">
        <f>E36</f>
        <v>83916</v>
      </c>
      <c r="Q36" s="21"/>
      <c r="R36" s="5" t="s">
        <v>90</v>
      </c>
      <c r="S36" s="5"/>
      <c r="T36" s="5"/>
      <c r="U36" s="5">
        <v>39600</v>
      </c>
      <c r="V36" s="43" t="s">
        <v>87</v>
      </c>
      <c r="W36" s="5"/>
    </row>
    <row r="37" spans="1:99" ht="20.100000000000001" customHeight="1" x14ac:dyDescent="0.2">
      <c r="A37" s="20">
        <v>55041</v>
      </c>
      <c r="B37" s="19"/>
      <c r="C37" s="2"/>
      <c r="D37" s="2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21"/>
      <c r="R37" s="5"/>
      <c r="S37" s="5"/>
      <c r="T37" s="5"/>
      <c r="U37" s="5">
        <v>198000</v>
      </c>
      <c r="V37" s="23" t="s">
        <v>94</v>
      </c>
      <c r="W37" s="5"/>
    </row>
    <row r="38" spans="1:99" ht="20.100000000000001" customHeight="1" x14ac:dyDescent="0.2">
      <c r="A38" s="20">
        <v>55041</v>
      </c>
      <c r="B38" s="19"/>
      <c r="C38" s="2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1"/>
      <c r="R38" s="5"/>
      <c r="S38" s="5"/>
      <c r="T38" s="5"/>
      <c r="U38" s="5"/>
      <c r="V38" s="23"/>
      <c r="W38" s="5"/>
    </row>
    <row r="39" spans="1:99" ht="20.100000000000001" customHeight="1" x14ac:dyDescent="0.2">
      <c r="A39" s="20">
        <v>55041</v>
      </c>
      <c r="B39" s="19"/>
      <c r="C39" s="2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21"/>
      <c r="R39" s="5"/>
      <c r="S39" s="5"/>
      <c r="T39" s="5"/>
      <c r="U39" s="5"/>
      <c r="V39" s="23"/>
      <c r="W39" s="5"/>
    </row>
    <row r="40" spans="1:99" s="7" customFormat="1" ht="20.100000000000001" customHeight="1" x14ac:dyDescent="0.3">
      <c r="A40" s="25"/>
      <c r="B40" s="24"/>
      <c r="C40" s="8"/>
      <c r="D40" s="2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8">
        <f>A41</f>
        <v>57883</v>
      </c>
      <c r="R40" s="26"/>
      <c r="S40" s="26"/>
      <c r="T40" s="26"/>
      <c r="U40" s="26"/>
      <c r="V40" s="26"/>
      <c r="W40" s="2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</row>
    <row r="41" spans="1:99" ht="20.100000000000001" customHeight="1" x14ac:dyDescent="0.3">
      <c r="A41" s="20">
        <v>57883</v>
      </c>
      <c r="B41" s="19" t="s">
        <v>24</v>
      </c>
      <c r="C41" s="2">
        <v>45166</v>
      </c>
      <c r="D41" s="20">
        <v>20</v>
      </c>
      <c r="E41" s="5">
        <v>631851</v>
      </c>
      <c r="F41" s="5">
        <v>164045</v>
      </c>
      <c r="G41" s="5">
        <f>E41-F41</f>
        <v>467806</v>
      </c>
      <c r="H41" s="5">
        <f>G41*18%</f>
        <v>84205.08</v>
      </c>
      <c r="I41" s="5">
        <f>G41+H41</f>
        <v>552011.07999999996</v>
      </c>
      <c r="J41" s="5">
        <f>G41*J6</f>
        <v>4678.0600000000004</v>
      </c>
      <c r="K41" s="5">
        <f>G41*K6</f>
        <v>23390.300000000003</v>
      </c>
      <c r="L41" s="5">
        <f>G41*L6</f>
        <v>46780.600000000006</v>
      </c>
      <c r="M41" s="5">
        <f>G41*M6</f>
        <v>46780.600000000006</v>
      </c>
      <c r="N41" s="63">
        <f>H41</f>
        <v>84205.08</v>
      </c>
      <c r="O41" s="5"/>
      <c r="P41" s="5">
        <f>I41-J41-K41-L41-M41-N41</f>
        <v>346176.43999999989</v>
      </c>
      <c r="Q41" s="21"/>
      <c r="R41" s="5" t="s">
        <v>23</v>
      </c>
      <c r="S41" s="5">
        <v>100000</v>
      </c>
      <c r="T41" s="5">
        <f>S41*T6</f>
        <v>1000</v>
      </c>
      <c r="U41" s="5">
        <f>S41-T41</f>
        <v>99000</v>
      </c>
      <c r="V41" s="22" t="s">
        <v>25</v>
      </c>
      <c r="W41" s="5">
        <f>SUM(P40:P45)-SUM(U40:U45)</f>
        <v>-49498.480000000098</v>
      </c>
    </row>
    <row r="42" spans="1:99" ht="20.100000000000001" customHeight="1" x14ac:dyDescent="0.3">
      <c r="A42" s="20">
        <v>57883</v>
      </c>
      <c r="B42" s="19" t="s">
        <v>14</v>
      </c>
      <c r="C42" s="2"/>
      <c r="D42" s="20">
        <v>20</v>
      </c>
      <c r="E42" s="5">
        <f>N41</f>
        <v>84205.08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63">
        <f>E42</f>
        <v>84205.08</v>
      </c>
      <c r="Q42" s="21"/>
      <c r="R42" s="5" t="s">
        <v>26</v>
      </c>
      <c r="S42" s="5">
        <v>100000</v>
      </c>
      <c r="T42" s="5">
        <f>S42*T6</f>
        <v>1000</v>
      </c>
      <c r="U42" s="5">
        <f>S42-T42</f>
        <v>99000</v>
      </c>
      <c r="V42" s="22" t="s">
        <v>27</v>
      </c>
      <c r="W42" s="5"/>
    </row>
    <row r="43" spans="1:99" ht="20.100000000000001" customHeight="1" x14ac:dyDescent="0.3">
      <c r="A43" s="20">
        <v>57883</v>
      </c>
      <c r="B43" s="19"/>
      <c r="C43" s="2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1"/>
      <c r="R43" s="5" t="s">
        <v>57</v>
      </c>
      <c r="S43" s="5">
        <v>148175</v>
      </c>
      <c r="T43" s="5"/>
      <c r="U43" s="5">
        <f t="shared" ref="U43:U45" si="5">S43-T43</f>
        <v>148175</v>
      </c>
      <c r="V43" s="22" t="s">
        <v>55</v>
      </c>
      <c r="W43" s="5"/>
    </row>
    <row r="44" spans="1:99" ht="20.100000000000001" customHeight="1" x14ac:dyDescent="0.3">
      <c r="A44" s="20">
        <v>57883</v>
      </c>
      <c r="B44" s="19"/>
      <c r="C44" s="2"/>
      <c r="D44" s="2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1"/>
      <c r="R44" s="5" t="s">
        <v>58</v>
      </c>
      <c r="S44" s="5">
        <v>84205</v>
      </c>
      <c r="T44" s="5"/>
      <c r="U44" s="5">
        <f t="shared" si="5"/>
        <v>84205</v>
      </c>
      <c r="V44" s="22" t="s">
        <v>56</v>
      </c>
      <c r="W44" s="5"/>
    </row>
    <row r="45" spans="1:99" ht="20.100000000000001" customHeight="1" x14ac:dyDescent="0.3">
      <c r="A45" s="20">
        <v>57883</v>
      </c>
      <c r="B45" s="19"/>
      <c r="C45" s="2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1"/>
      <c r="R45" s="5" t="s">
        <v>78</v>
      </c>
      <c r="S45" s="5">
        <v>50000</v>
      </c>
      <c r="T45" s="5">
        <f>S45*1%</f>
        <v>500</v>
      </c>
      <c r="U45" s="5">
        <f t="shared" si="5"/>
        <v>49500</v>
      </c>
      <c r="V45" s="22" t="s">
        <v>62</v>
      </c>
      <c r="W45" s="5"/>
    </row>
    <row r="46" spans="1:99" s="7" customFormat="1" ht="20.100000000000001" customHeight="1" x14ac:dyDescent="0.3">
      <c r="A46" s="25"/>
      <c r="B46" s="24"/>
      <c r="C46" s="8"/>
      <c r="D46" s="2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8">
        <f>A47</f>
        <v>57882</v>
      </c>
      <c r="R46" s="11"/>
      <c r="S46" s="11"/>
      <c r="T46" s="11"/>
      <c r="U46" s="11"/>
      <c r="V46" s="26"/>
      <c r="W46" s="2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</row>
    <row r="47" spans="1:99" ht="20.100000000000001" customHeight="1" x14ac:dyDescent="0.3">
      <c r="A47" s="20">
        <v>57882</v>
      </c>
      <c r="B47" s="19" t="s">
        <v>28</v>
      </c>
      <c r="C47" s="2">
        <v>45112</v>
      </c>
      <c r="D47" s="20">
        <v>13</v>
      </c>
      <c r="E47" s="5">
        <v>187154.72</v>
      </c>
      <c r="F47" s="5">
        <v>0</v>
      </c>
      <c r="G47" s="5">
        <f>E47-F47</f>
        <v>187154.72</v>
      </c>
      <c r="H47" s="5">
        <f>ROUND(G47*18%,0)</f>
        <v>33688</v>
      </c>
      <c r="I47" s="5">
        <f>G47+H47</f>
        <v>220842.72</v>
      </c>
      <c r="J47" s="5">
        <f>G47*J6</f>
        <v>1871.5472</v>
      </c>
      <c r="K47" s="5">
        <f>G47*5%</f>
        <v>9357.7360000000008</v>
      </c>
      <c r="L47" s="5">
        <v>0</v>
      </c>
      <c r="M47" s="5">
        <v>0</v>
      </c>
      <c r="N47" s="63">
        <f>H47</f>
        <v>33688</v>
      </c>
      <c r="O47" s="21">
        <v>3985</v>
      </c>
      <c r="P47" s="5">
        <f>ROUNDUP(I47-SUM(J47:O47),0)</f>
        <v>171941</v>
      </c>
      <c r="Q47" s="27"/>
      <c r="R47" s="5" t="s">
        <v>29</v>
      </c>
      <c r="S47" s="5">
        <v>171940</v>
      </c>
      <c r="T47" s="5">
        <v>0</v>
      </c>
      <c r="U47" s="5">
        <f t="shared" ref="U47:U48" si="6">S47-T47</f>
        <v>171940</v>
      </c>
      <c r="V47" s="5" t="s">
        <v>30</v>
      </c>
      <c r="W47" s="5">
        <f>SUM(P47:P49)-SUM(U47:U49)</f>
        <v>1</v>
      </c>
    </row>
    <row r="48" spans="1:99" ht="20.100000000000001" customHeight="1" x14ac:dyDescent="0.3">
      <c r="A48" s="20">
        <v>57882</v>
      </c>
      <c r="B48" s="20" t="s">
        <v>14</v>
      </c>
      <c r="C48" s="2">
        <v>45149</v>
      </c>
      <c r="D48" s="20">
        <v>13</v>
      </c>
      <c r="E48" s="28">
        <v>33688</v>
      </c>
      <c r="F48" s="28"/>
      <c r="G48" s="5">
        <f>E48-F48</f>
        <v>33688</v>
      </c>
      <c r="H48" s="5"/>
      <c r="I48" s="5">
        <f>G48+H48</f>
        <v>33688</v>
      </c>
      <c r="J48" s="5"/>
      <c r="K48" s="5"/>
      <c r="L48" s="5"/>
      <c r="M48" s="5"/>
      <c r="N48" s="27"/>
      <c r="O48" s="21"/>
      <c r="P48" s="63">
        <f>ROUNDUP(I48-SUM(J48:M48),0)</f>
        <v>33688</v>
      </c>
      <c r="Q48" s="27"/>
      <c r="R48" s="5" t="s">
        <v>31</v>
      </c>
      <c r="S48" s="5">
        <v>33688</v>
      </c>
      <c r="T48" s="5">
        <f>S46*S48</f>
        <v>0</v>
      </c>
      <c r="U48" s="5">
        <f t="shared" si="6"/>
        <v>33688</v>
      </c>
      <c r="V48" s="5" t="s">
        <v>32</v>
      </c>
      <c r="W48" s="5"/>
    </row>
    <row r="49" spans="1:99" ht="20.100000000000001" customHeight="1" x14ac:dyDescent="0.3">
      <c r="A49" s="20">
        <v>57882</v>
      </c>
      <c r="B49" s="19"/>
      <c r="C49" s="2"/>
      <c r="D49" s="2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1"/>
      <c r="R49" s="5"/>
      <c r="S49" s="5"/>
      <c r="T49" s="5"/>
      <c r="U49" s="5"/>
      <c r="V49" s="22"/>
      <c r="W49" s="5"/>
    </row>
    <row r="50" spans="1:99" s="7" customFormat="1" ht="20.100000000000001" customHeight="1" x14ac:dyDescent="0.3">
      <c r="A50" s="25"/>
      <c r="B50" s="24"/>
      <c r="C50" s="8"/>
      <c r="D50" s="2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8">
        <f>A51</f>
        <v>59169</v>
      </c>
      <c r="R50" s="11"/>
      <c r="S50" s="11"/>
      <c r="T50" s="11"/>
      <c r="U50" s="11"/>
      <c r="V50" s="26"/>
      <c r="W50" s="11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</row>
    <row r="51" spans="1:99" ht="20.100000000000001" customHeight="1" x14ac:dyDescent="0.3">
      <c r="A51" s="20">
        <v>59169</v>
      </c>
      <c r="B51" s="19" t="s">
        <v>24</v>
      </c>
      <c r="C51" s="2">
        <v>45176</v>
      </c>
      <c r="D51" s="20">
        <v>22</v>
      </c>
      <c r="E51" s="5">
        <v>233853</v>
      </c>
      <c r="F51" s="5">
        <v>49538</v>
      </c>
      <c r="G51" s="5">
        <f>E51-F51</f>
        <v>184315</v>
      </c>
      <c r="H51" s="5">
        <f>G51*18%</f>
        <v>33176.699999999997</v>
      </c>
      <c r="I51" s="5">
        <f>G51+H51</f>
        <v>217491.7</v>
      </c>
      <c r="J51" s="5">
        <f>G51*J6</f>
        <v>1843.15</v>
      </c>
      <c r="K51" s="5">
        <f>G51*K6</f>
        <v>9215.75</v>
      </c>
      <c r="L51" s="5">
        <f>G51*L6</f>
        <v>18431.5</v>
      </c>
      <c r="M51" s="5">
        <f>G51*M6</f>
        <v>18431.5</v>
      </c>
      <c r="N51" s="63">
        <f>H51</f>
        <v>33176.699999999997</v>
      </c>
      <c r="O51" s="5">
        <v>36000</v>
      </c>
      <c r="P51" s="5">
        <f>G51-J51-K51-L51-M51-O51</f>
        <v>100393.1</v>
      </c>
      <c r="Q51" s="21"/>
      <c r="R51" s="5"/>
      <c r="S51" s="5"/>
      <c r="T51" s="5"/>
      <c r="U51" s="5">
        <v>100392</v>
      </c>
      <c r="V51" s="22" t="s">
        <v>37</v>
      </c>
      <c r="W51" s="5">
        <f>SUM(P51:P54)-SUM(U51:U54)</f>
        <v>-74456.859999999986</v>
      </c>
    </row>
    <row r="52" spans="1:99" ht="20.100000000000001" customHeight="1" x14ac:dyDescent="0.3">
      <c r="A52" s="20">
        <v>59169</v>
      </c>
      <c r="B52" s="19" t="s">
        <v>36</v>
      </c>
      <c r="C52" s="2">
        <v>45216</v>
      </c>
      <c r="D52" s="20">
        <v>22</v>
      </c>
      <c r="E52" s="5">
        <v>33176</v>
      </c>
      <c r="F52" s="5">
        <v>0</v>
      </c>
      <c r="G52" s="5">
        <f>E52-F52</f>
        <v>33176</v>
      </c>
      <c r="H52" s="5">
        <v>0</v>
      </c>
      <c r="I52" s="5">
        <f>G52+H52</f>
        <v>33176</v>
      </c>
      <c r="J52" s="5">
        <v>0</v>
      </c>
      <c r="K52" s="5">
        <v>0</v>
      </c>
      <c r="L52" s="5">
        <v>0</v>
      </c>
      <c r="M52" s="5">
        <v>0</v>
      </c>
      <c r="N52" s="5">
        <f>H52</f>
        <v>0</v>
      </c>
      <c r="O52" s="5">
        <v>0</v>
      </c>
      <c r="P52" s="63">
        <f>G52-J52-K52-L52-M52-O52</f>
        <v>33176</v>
      </c>
      <c r="Q52" s="21"/>
      <c r="R52" s="5"/>
      <c r="S52" s="5"/>
      <c r="T52" s="5"/>
      <c r="U52" s="5">
        <v>33177</v>
      </c>
      <c r="V52" s="22" t="s">
        <v>38</v>
      </c>
      <c r="W52" s="5"/>
    </row>
    <row r="53" spans="1:99" ht="20.100000000000001" customHeight="1" x14ac:dyDescent="0.3">
      <c r="A53" s="20">
        <v>59169</v>
      </c>
      <c r="B53" s="19" t="s">
        <v>24</v>
      </c>
      <c r="C53" s="2">
        <v>45240</v>
      </c>
      <c r="D53" s="20">
        <v>36</v>
      </c>
      <c r="E53" s="5">
        <v>120806</v>
      </c>
      <c r="F53" s="5">
        <v>120694</v>
      </c>
      <c r="G53" s="5">
        <f>E53-F53</f>
        <v>112</v>
      </c>
      <c r="H53" s="5">
        <f>G53*18%</f>
        <v>20.16</v>
      </c>
      <c r="I53" s="5">
        <f>G53+H53</f>
        <v>132.16</v>
      </c>
      <c r="J53" s="5">
        <f>G53*1%</f>
        <v>1.1200000000000001</v>
      </c>
      <c r="K53" s="5">
        <f>G53*5%</f>
        <v>5.6000000000000005</v>
      </c>
      <c r="L53" s="5">
        <f>G53*10%</f>
        <v>11.200000000000001</v>
      </c>
      <c r="M53" s="5">
        <f>G53*10%</f>
        <v>11.200000000000001</v>
      </c>
      <c r="N53" s="63">
        <f>H53</f>
        <v>20.16</v>
      </c>
      <c r="O53" s="5">
        <v>38560</v>
      </c>
      <c r="P53" s="5">
        <f>G53-J53-K53-L53-M53-O53</f>
        <v>-38477.120000000003</v>
      </c>
      <c r="Q53" s="21"/>
      <c r="R53" s="5"/>
      <c r="S53" s="5"/>
      <c r="T53" s="5"/>
      <c r="U53" s="5">
        <v>36000</v>
      </c>
      <c r="V53" s="22" t="s">
        <v>39</v>
      </c>
      <c r="W53" s="5"/>
    </row>
    <row r="54" spans="1:99" ht="20.100000000000001" customHeight="1" x14ac:dyDescent="0.3">
      <c r="A54" s="20">
        <v>59169</v>
      </c>
      <c r="B54" s="19" t="s">
        <v>36</v>
      </c>
      <c r="C54" s="2"/>
      <c r="D54" s="20">
        <v>22</v>
      </c>
      <c r="E54" s="5">
        <f>N53</f>
        <v>20.16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63">
        <f>E54</f>
        <v>20.16</v>
      </c>
      <c r="Q54" s="21"/>
      <c r="R54" s="5"/>
      <c r="S54" s="5"/>
      <c r="T54" s="5"/>
      <c r="U54" s="5"/>
      <c r="V54" s="22"/>
      <c r="W54" s="5"/>
    </row>
    <row r="55" spans="1:99" s="7" customFormat="1" ht="20.100000000000001" customHeight="1" x14ac:dyDescent="0.3">
      <c r="A55" s="25"/>
      <c r="B55" s="24"/>
      <c r="C55" s="8"/>
      <c r="D55" s="2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8">
        <f>A56</f>
        <v>57884</v>
      </c>
      <c r="R55" s="11"/>
      <c r="S55" s="11"/>
      <c r="T55" s="11"/>
      <c r="U55" s="11"/>
      <c r="V55" s="26"/>
      <c r="W55" s="1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</row>
    <row r="56" spans="1:99" ht="27.75" customHeight="1" x14ac:dyDescent="0.3">
      <c r="A56" s="20">
        <v>57884</v>
      </c>
      <c r="B56" s="19" t="s">
        <v>35</v>
      </c>
      <c r="C56" s="2">
        <v>45198</v>
      </c>
      <c r="D56" s="20">
        <v>25</v>
      </c>
      <c r="E56" s="5">
        <v>370870</v>
      </c>
      <c r="F56" s="5">
        <v>72485</v>
      </c>
      <c r="G56" s="5">
        <f>E56-F56</f>
        <v>298385</v>
      </c>
      <c r="H56" s="5">
        <f>ROUND(G56*18%,0)</f>
        <v>53709</v>
      </c>
      <c r="I56" s="5">
        <f>G56+H56</f>
        <v>352094</v>
      </c>
      <c r="J56" s="5">
        <f>J6*G56</f>
        <v>2983.85</v>
      </c>
      <c r="K56" s="5">
        <f>K6*G56</f>
        <v>14919.25</v>
      </c>
      <c r="L56" s="5">
        <f>L6*G56</f>
        <v>29838.5</v>
      </c>
      <c r="M56" s="5">
        <f>M6*G56</f>
        <v>29838.5</v>
      </c>
      <c r="N56" s="64">
        <f>H56</f>
        <v>53709</v>
      </c>
      <c r="O56" s="5">
        <f>111796+99000</f>
        <v>210796</v>
      </c>
      <c r="P56" s="5">
        <f>ROUNDUP(I56-SUM(J56:O56),0)</f>
        <v>10009</v>
      </c>
      <c r="Q56" s="21"/>
      <c r="R56" s="5" t="s">
        <v>34</v>
      </c>
      <c r="S56" s="5">
        <v>100000</v>
      </c>
      <c r="T56" s="5">
        <f>S56*1%</f>
        <v>1000</v>
      </c>
      <c r="U56" s="5">
        <f>S56-T56</f>
        <v>99000</v>
      </c>
      <c r="V56" s="22" t="s">
        <v>33</v>
      </c>
      <c r="W56" s="5">
        <f>SUM(P56:P62)-SUM(U56:U62)</f>
        <v>-247499</v>
      </c>
    </row>
    <row r="57" spans="1:99" ht="20.100000000000001" customHeight="1" x14ac:dyDescent="0.3">
      <c r="A57" s="20">
        <v>57884</v>
      </c>
      <c r="B57" s="19" t="s">
        <v>36</v>
      </c>
      <c r="C57" s="2"/>
      <c r="D57" s="20">
        <v>25</v>
      </c>
      <c r="E57" s="5">
        <f>N56</f>
        <v>53709</v>
      </c>
      <c r="F57" s="5">
        <v>0</v>
      </c>
      <c r="G57" s="5">
        <f>E57-F57</f>
        <v>53709</v>
      </c>
      <c r="H57" s="5">
        <v>0</v>
      </c>
      <c r="I57" s="5">
        <f>G57+H57</f>
        <v>53709</v>
      </c>
      <c r="J57" s="5">
        <v>0</v>
      </c>
      <c r="K57" s="5">
        <v>0</v>
      </c>
      <c r="L57" s="5">
        <v>0</v>
      </c>
      <c r="M57" s="5">
        <v>0</v>
      </c>
      <c r="N57" s="5">
        <f>H57</f>
        <v>0</v>
      </c>
      <c r="O57" s="5">
        <v>0</v>
      </c>
      <c r="P57" s="63">
        <f>G57-J57-K57-L57-M57-O57</f>
        <v>53709</v>
      </c>
      <c r="Q57" s="21"/>
      <c r="R57" s="5" t="s">
        <v>66</v>
      </c>
      <c r="S57" s="5">
        <v>10008</v>
      </c>
      <c r="T57" s="5"/>
      <c r="U57" s="5">
        <f t="shared" ref="U57:U59" si="7">S57-T57</f>
        <v>10008</v>
      </c>
      <c r="V57" s="22" t="s">
        <v>63</v>
      </c>
      <c r="W57" s="5"/>
    </row>
    <row r="58" spans="1:99" ht="20.100000000000001" customHeight="1" x14ac:dyDescent="0.3">
      <c r="A58" s="20">
        <v>57884</v>
      </c>
      <c r="B58" s="19"/>
      <c r="C58" s="2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1"/>
      <c r="R58" s="5" t="s">
        <v>67</v>
      </c>
      <c r="S58" s="5">
        <v>53709</v>
      </c>
      <c r="T58" s="5"/>
      <c r="U58" s="5">
        <f t="shared" si="7"/>
        <v>53709</v>
      </c>
      <c r="V58" s="22" t="s">
        <v>64</v>
      </c>
      <c r="W58" s="5"/>
    </row>
    <row r="59" spans="1:99" ht="20.100000000000001" customHeight="1" x14ac:dyDescent="0.3">
      <c r="A59" s="20">
        <v>57884</v>
      </c>
      <c r="B59" s="19"/>
      <c r="C59" s="2"/>
      <c r="D59" s="2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1"/>
      <c r="R59" s="5" t="s">
        <v>68</v>
      </c>
      <c r="S59" s="5">
        <v>50000</v>
      </c>
      <c r="T59" s="5">
        <f>S59*1%</f>
        <v>500</v>
      </c>
      <c r="U59" s="5">
        <f t="shared" si="7"/>
        <v>49500</v>
      </c>
      <c r="V59" s="22" t="s">
        <v>65</v>
      </c>
      <c r="W59" s="5"/>
    </row>
    <row r="60" spans="1:99" ht="20.100000000000001" customHeight="1" x14ac:dyDescent="0.3">
      <c r="A60" s="20">
        <v>57884</v>
      </c>
      <c r="B60" s="19"/>
      <c r="C60" s="2"/>
      <c r="D60" s="2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1"/>
      <c r="R60" s="5"/>
      <c r="S60" s="5"/>
      <c r="T60" s="5"/>
      <c r="U60" s="5">
        <v>99000</v>
      </c>
      <c r="V60" s="22" t="s">
        <v>97</v>
      </c>
      <c r="W60" s="5"/>
    </row>
    <row r="61" spans="1:99" ht="20.100000000000001" customHeight="1" x14ac:dyDescent="0.3">
      <c r="A61" s="20">
        <v>57884</v>
      </c>
      <c r="B61" s="19"/>
      <c r="C61" s="2"/>
      <c r="D61" s="2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1"/>
      <c r="R61" s="5"/>
      <c r="S61" s="5"/>
      <c r="T61" s="5"/>
      <c r="U61" s="5"/>
      <c r="V61" s="22"/>
      <c r="W61" s="5"/>
    </row>
    <row r="62" spans="1:99" ht="20.100000000000001" customHeight="1" x14ac:dyDescent="0.3">
      <c r="A62" s="20">
        <v>57884</v>
      </c>
      <c r="B62" s="19"/>
      <c r="C62" s="2"/>
      <c r="D62" s="2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1"/>
      <c r="R62" s="5"/>
      <c r="S62" s="5"/>
      <c r="T62" s="5"/>
      <c r="U62" s="5"/>
      <c r="V62" s="22"/>
      <c r="W62" s="5"/>
    </row>
    <row r="63" spans="1:99" ht="20.100000000000001" customHeight="1" x14ac:dyDescent="0.3">
      <c r="A63" s="25"/>
      <c r="B63" s="24"/>
      <c r="C63" s="8"/>
      <c r="D63" s="2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8">
        <f>A64</f>
        <v>62907</v>
      </c>
      <c r="R63" s="11"/>
      <c r="S63" s="11"/>
      <c r="T63" s="11"/>
      <c r="U63" s="11"/>
      <c r="V63" s="26"/>
      <c r="W63" s="11"/>
    </row>
    <row r="64" spans="1:99" ht="24.75" customHeight="1" x14ac:dyDescent="0.3">
      <c r="A64" s="20">
        <v>62907</v>
      </c>
      <c r="B64" s="19" t="s">
        <v>104</v>
      </c>
      <c r="C64" s="2">
        <v>45371</v>
      </c>
      <c r="D64" s="20">
        <v>49</v>
      </c>
      <c r="E64" s="5">
        <v>67515</v>
      </c>
      <c r="F64" s="5"/>
      <c r="G64" s="5">
        <f>E64-F64</f>
        <v>67515</v>
      </c>
      <c r="H64" s="5">
        <f>ROUND(G64*18%,0)</f>
        <v>12153</v>
      </c>
      <c r="I64" s="5">
        <f>G64+H64</f>
        <v>79668</v>
      </c>
      <c r="J64" s="5">
        <f>G64*1%</f>
        <v>675.15</v>
      </c>
      <c r="K64" s="5">
        <f>G64*5%</f>
        <v>3375.75</v>
      </c>
      <c r="L64" s="5">
        <v>0</v>
      </c>
      <c r="M64" s="5">
        <v>0</v>
      </c>
      <c r="N64" s="64">
        <f>H64</f>
        <v>12153</v>
      </c>
      <c r="O64" s="5"/>
      <c r="P64" s="5">
        <f>ROUNDUP(I64-SUM(J64:O64),0)</f>
        <v>63465</v>
      </c>
      <c r="Q64" s="21"/>
      <c r="R64" s="5" t="s">
        <v>80</v>
      </c>
      <c r="S64" s="5"/>
      <c r="T64" s="5"/>
      <c r="U64" s="5">
        <v>63464</v>
      </c>
      <c r="V64" s="22" t="s">
        <v>79</v>
      </c>
      <c r="W64" s="5">
        <f>SUM(P64:P66)-SUM(U64:U66)</f>
        <v>-86846</v>
      </c>
    </row>
    <row r="65" spans="1:23" ht="20.100000000000001" customHeight="1" x14ac:dyDescent="0.3">
      <c r="A65" s="20">
        <v>62907</v>
      </c>
      <c r="B65" s="19" t="s">
        <v>36</v>
      </c>
      <c r="C65" s="2"/>
      <c r="D65" s="20">
        <v>49</v>
      </c>
      <c r="E65" s="5">
        <f>N64</f>
        <v>12153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63">
        <f>E65</f>
        <v>12153</v>
      </c>
      <c r="Q65" s="21"/>
      <c r="R65" s="5"/>
      <c r="S65" s="5"/>
      <c r="T65" s="5"/>
      <c r="U65" s="5">
        <v>99000</v>
      </c>
      <c r="V65" s="22" t="s">
        <v>98</v>
      </c>
      <c r="W65" s="5"/>
    </row>
    <row r="66" spans="1:23" ht="20.100000000000001" customHeight="1" x14ac:dyDescent="0.3">
      <c r="A66" s="20">
        <v>62907</v>
      </c>
      <c r="B66" s="19"/>
      <c r="C66" s="2"/>
      <c r="D66" s="2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1"/>
      <c r="R66" s="5"/>
      <c r="S66" s="5"/>
      <c r="T66" s="5"/>
      <c r="U66" s="5"/>
      <c r="V66" s="22"/>
      <c r="W66" s="5"/>
    </row>
    <row r="67" spans="1:23" ht="20.100000000000001" customHeight="1" x14ac:dyDescent="0.3">
      <c r="A67" s="25"/>
      <c r="B67" s="24"/>
      <c r="C67" s="8"/>
      <c r="D67" s="2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8"/>
      <c r="R67" s="11"/>
      <c r="S67" s="11"/>
      <c r="T67" s="11"/>
      <c r="U67" s="11"/>
      <c r="V67" s="26"/>
      <c r="W67" s="11"/>
    </row>
    <row r="68" spans="1:23" ht="20.100000000000001" customHeight="1" x14ac:dyDescent="0.3">
      <c r="A68" s="20"/>
      <c r="B68" s="19"/>
      <c r="C68" s="2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1"/>
      <c r="R68" s="5"/>
      <c r="S68" s="5"/>
      <c r="T68" s="5"/>
      <c r="U68" s="5"/>
      <c r="V68" s="22"/>
      <c r="W68" s="5"/>
    </row>
    <row r="69" spans="1:23" ht="20.100000000000001" customHeight="1" x14ac:dyDescent="0.3">
      <c r="A69" s="20"/>
      <c r="B69" s="19"/>
      <c r="C69" s="2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1"/>
      <c r="R69" s="5"/>
      <c r="S69" s="5"/>
      <c r="T69" s="5"/>
      <c r="U69" s="5"/>
      <c r="V69" s="22"/>
      <c r="W69" s="5"/>
    </row>
    <row r="70" spans="1:23" ht="20.100000000000001" customHeight="1" thickBot="1" x14ac:dyDescent="0.35">
      <c r="A70" s="44"/>
      <c r="B70" s="45"/>
      <c r="C70" s="46"/>
      <c r="D70" s="44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8"/>
      <c r="R70" s="47"/>
      <c r="S70" s="47"/>
      <c r="T70" s="47"/>
      <c r="U70" s="47"/>
      <c r="V70" s="49"/>
      <c r="W70" s="47"/>
    </row>
    <row r="71" spans="1:23" s="3" customFormat="1" ht="20.100000000000001" customHeight="1" x14ac:dyDescent="0.3">
      <c r="A71" s="53"/>
      <c r="B71" s="16"/>
      <c r="C71" s="54"/>
      <c r="D71" s="53"/>
      <c r="E71" s="55"/>
      <c r="F71" s="55"/>
      <c r="G71" s="55"/>
      <c r="H71" s="55"/>
      <c r="I71" s="55"/>
      <c r="J71" s="55"/>
      <c r="K71" s="55">
        <f>SUM(K8:K67)</f>
        <v>271645.07136</v>
      </c>
      <c r="L71" s="55">
        <f>SUM(L8:L67)</f>
        <v>517823.17071999999</v>
      </c>
      <c r="M71" s="55">
        <f>SUM(M8:M67)</f>
        <v>517823.17071999999</v>
      </c>
      <c r="N71" s="55">
        <f>SUM(N8:N67)</f>
        <v>956214.79719999991</v>
      </c>
      <c r="O71" s="55">
        <f>SUM(O8:O67)</f>
        <v>1087460.3999999999</v>
      </c>
      <c r="P71" s="55">
        <f>SUM(P8:P69)</f>
        <v>3850795.1171999997</v>
      </c>
      <c r="Q71" s="16"/>
      <c r="R71" s="55"/>
      <c r="S71" s="55"/>
      <c r="T71" s="55"/>
      <c r="U71" s="55">
        <f>SUM(U6:U69)</f>
        <v>4603209</v>
      </c>
      <c r="V71" s="50" t="s">
        <v>95</v>
      </c>
      <c r="W71" s="55">
        <f>SUM(W5:W69)</f>
        <v>-752413.88280000025</v>
      </c>
    </row>
    <row r="72" spans="1:23" s="3" customFormat="1" ht="20.100000000000001" customHeight="1" x14ac:dyDescent="0.3">
      <c r="A72" s="56"/>
      <c r="B72" s="21"/>
      <c r="C72" s="57"/>
      <c r="D72" s="56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21"/>
      <c r="R72" s="58"/>
      <c r="S72" s="58"/>
      <c r="T72" s="58"/>
      <c r="U72" s="58"/>
      <c r="V72" s="51"/>
      <c r="W72" s="58"/>
    </row>
    <row r="73" spans="1:23" s="3" customFormat="1" ht="20.100000000000001" customHeight="1" thickBot="1" x14ac:dyDescent="0.35">
      <c r="A73" s="59"/>
      <c r="B73" s="29"/>
      <c r="C73" s="60"/>
      <c r="D73" s="59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29"/>
      <c r="R73" s="61"/>
      <c r="S73" s="61"/>
      <c r="T73" s="61"/>
      <c r="U73" s="61">
        <f>P71-U71</f>
        <v>-752413.88280000025</v>
      </c>
      <c r="V73" s="52" t="s">
        <v>96</v>
      </c>
      <c r="W73" s="61"/>
    </row>
    <row r="75" spans="1:23" ht="20.100000000000001" customHeight="1" thickBot="1" x14ac:dyDescent="0.35">
      <c r="L75" s="3"/>
      <c r="M75" s="10"/>
    </row>
    <row r="76" spans="1:23" ht="20.100000000000001" customHeight="1" thickBot="1" x14ac:dyDescent="0.35">
      <c r="H76" s="83" t="s">
        <v>99</v>
      </c>
      <c r="I76" s="84"/>
      <c r="J76" s="84"/>
      <c r="K76" s="85"/>
      <c r="L76" s="3"/>
      <c r="M76" s="10"/>
    </row>
    <row r="77" spans="1:23" ht="28.5" customHeight="1" thickBot="1" x14ac:dyDescent="0.35">
      <c r="H77" s="86">
        <v>45560</v>
      </c>
      <c r="I77" s="87"/>
      <c r="J77" s="87"/>
      <c r="K77" s="88"/>
      <c r="L77" s="9"/>
      <c r="M77" s="10"/>
    </row>
    <row r="78" spans="1:23" ht="20.100000000000001" customHeight="1" x14ac:dyDescent="0.3">
      <c r="H78" s="89" t="s">
        <v>84</v>
      </c>
      <c r="I78" s="90"/>
      <c r="J78" s="89">
        <f>K71+L71+M71</f>
        <v>1307291.4128</v>
      </c>
      <c r="K78" s="91"/>
    </row>
    <row r="79" spans="1:23" ht="20.100000000000001" customHeight="1" x14ac:dyDescent="0.3">
      <c r="H79" s="89" t="s">
        <v>85</v>
      </c>
      <c r="I79" s="90"/>
      <c r="J79" s="92">
        <f>O71</f>
        <v>1087460.3999999999</v>
      </c>
      <c r="K79" s="94"/>
    </row>
    <row r="80" spans="1:23" ht="20.100000000000001" customHeight="1" x14ac:dyDescent="0.3">
      <c r="H80" s="92" t="s">
        <v>69</v>
      </c>
      <c r="I80" s="93"/>
      <c r="J80" s="92">
        <f>U73</f>
        <v>-752413.88280000025</v>
      </c>
      <c r="K80" s="94"/>
    </row>
    <row r="81" spans="8:11" ht="20.100000000000001" customHeight="1" thickBot="1" x14ac:dyDescent="0.35">
      <c r="H81" s="80" t="s">
        <v>3</v>
      </c>
      <c r="I81" s="81"/>
      <c r="J81" s="80">
        <v>17614</v>
      </c>
      <c r="K81" s="82"/>
    </row>
    <row r="82" spans="8:11" ht="20.100000000000001" customHeight="1" thickBot="1" x14ac:dyDescent="0.35">
      <c r="H82" s="80" t="s">
        <v>86</v>
      </c>
      <c r="I82" s="81"/>
      <c r="J82" s="80">
        <f>N71-P65-P57-P52-P48-P42-P36-P34-P33-P27-P25-P17-P16-P13-P11-P9-P54</f>
        <v>0.88000000009546042</v>
      </c>
      <c r="K82" s="82"/>
    </row>
  </sheetData>
  <mergeCells count="12">
    <mergeCell ref="H82:I82"/>
    <mergeCell ref="J82:K82"/>
    <mergeCell ref="H81:I81"/>
    <mergeCell ref="J81:K81"/>
    <mergeCell ref="H76:K76"/>
    <mergeCell ref="H77:K77"/>
    <mergeCell ref="H78:I78"/>
    <mergeCell ref="J78:K78"/>
    <mergeCell ref="H80:I80"/>
    <mergeCell ref="J80:K80"/>
    <mergeCell ref="H79:I79"/>
    <mergeCell ref="J79:K79"/>
  </mergeCells>
  <phoneticPr fontId="6" type="noConversion"/>
  <pageMargins left="0.7" right="0.7" top="0.75" bottom="0.75" header="0.3" footer="0.3"/>
  <pageSetup orientation="portrait" r:id="rId1"/>
  <ignoredErrors>
    <ignoredError sqref="T24 T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2"/>
  <sheetViews>
    <sheetView workbookViewId="0">
      <selection activeCell="L14" sqref="L14"/>
    </sheetView>
  </sheetViews>
  <sheetFormatPr defaultRowHeight="14.4" x14ac:dyDescent="0.3"/>
  <cols>
    <col min="3" max="3" width="45" customWidth="1"/>
    <col min="4" max="4" width="10.5546875" customWidth="1"/>
    <col min="5" max="5" width="19.33203125" customWidth="1"/>
  </cols>
  <sheetData>
    <row r="3" spans="2:5" ht="15" thickBot="1" x14ac:dyDescent="0.35"/>
    <row r="4" spans="2:5" ht="43.8" thickBot="1" x14ac:dyDescent="0.35">
      <c r="B4" s="31" t="s">
        <v>75</v>
      </c>
      <c r="C4" s="30" t="s">
        <v>74</v>
      </c>
      <c r="D4" s="30" t="s">
        <v>73</v>
      </c>
      <c r="E4" s="30" t="s">
        <v>76</v>
      </c>
    </row>
    <row r="5" spans="2:5" ht="20.25" customHeight="1" x14ac:dyDescent="0.3">
      <c r="B5" s="36">
        <v>1</v>
      </c>
      <c r="C5" s="32" t="s">
        <v>6</v>
      </c>
      <c r="D5" s="32">
        <v>55460</v>
      </c>
      <c r="E5" s="40">
        <v>-357956</v>
      </c>
    </row>
    <row r="6" spans="2:5" ht="20.25" customHeight="1" x14ac:dyDescent="0.3">
      <c r="B6" s="37">
        <v>2</v>
      </c>
      <c r="C6" s="33" t="s">
        <v>48</v>
      </c>
      <c r="D6" s="33">
        <v>55041</v>
      </c>
      <c r="E6" s="41">
        <v>-221502</v>
      </c>
    </row>
    <row r="7" spans="2:5" ht="20.25" customHeight="1" x14ac:dyDescent="0.3">
      <c r="B7" s="36">
        <v>3</v>
      </c>
      <c r="C7" s="33" t="s">
        <v>11</v>
      </c>
      <c r="D7" s="33">
        <v>53547</v>
      </c>
      <c r="E7" s="41">
        <v>-54646.160000000149</v>
      </c>
    </row>
    <row r="8" spans="2:5" ht="20.25" customHeight="1" x14ac:dyDescent="0.3">
      <c r="B8" s="37">
        <v>4</v>
      </c>
      <c r="C8" s="33" t="s">
        <v>24</v>
      </c>
      <c r="D8" s="33">
        <v>57883</v>
      </c>
      <c r="E8" s="41">
        <v>-49498.480000000098</v>
      </c>
    </row>
    <row r="9" spans="2:5" ht="20.25" customHeight="1" x14ac:dyDescent="0.3">
      <c r="B9" s="36">
        <v>5</v>
      </c>
      <c r="C9" s="33" t="s">
        <v>28</v>
      </c>
      <c r="D9" s="33">
        <v>57882</v>
      </c>
      <c r="E9" s="41">
        <v>11250</v>
      </c>
    </row>
    <row r="10" spans="2:5" ht="20.25" customHeight="1" x14ac:dyDescent="0.3">
      <c r="B10" s="37">
        <v>6</v>
      </c>
      <c r="C10" s="33" t="s">
        <v>24</v>
      </c>
      <c r="D10" s="33">
        <v>59169</v>
      </c>
      <c r="E10" s="41">
        <v>-74477.01999999999</v>
      </c>
    </row>
    <row r="11" spans="2:5" ht="20.25" customHeight="1" thickBot="1" x14ac:dyDescent="0.35">
      <c r="B11" s="38">
        <v>7</v>
      </c>
      <c r="C11" s="34" t="s">
        <v>35</v>
      </c>
      <c r="D11" s="34">
        <v>57884</v>
      </c>
      <c r="E11" s="42">
        <v>-148499</v>
      </c>
    </row>
    <row r="12" spans="2:5" ht="15" thickBot="1" x14ac:dyDescent="0.35">
      <c r="B12" s="35"/>
      <c r="C12" s="35"/>
      <c r="D12" s="35" t="s">
        <v>77</v>
      </c>
      <c r="E12" s="39">
        <f>SUM(E5:E11)</f>
        <v>-895328.66000000027</v>
      </c>
    </row>
  </sheetData>
  <pageMargins left="0.70866141732283472" right="0.70866141732283472" top="0.74803149606299213" bottom="0.74803149606299213" header="0.31496062992125984" footer="0.31496062992125984"/>
  <pageSetup paperSize="9" scale="1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2024-05-16T13:05:59Z</cp:lastPrinted>
  <dcterms:created xsi:type="dcterms:W3CDTF">2022-06-10T14:11:52Z</dcterms:created>
  <dcterms:modified xsi:type="dcterms:W3CDTF">2025-05-30T05:36:06Z</dcterms:modified>
</cp:coreProperties>
</file>