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3CD8264E-D45B-4BF4-86E8-F509256F615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J45" i="1" s="1"/>
  <c r="K45" i="1" l="1"/>
  <c r="H45" i="1"/>
  <c r="N45" i="1" s="1"/>
  <c r="E46" i="1" s="1"/>
  <c r="P46" i="1" s="1"/>
  <c r="L45" i="1"/>
  <c r="M45" i="1"/>
  <c r="O56" i="1"/>
  <c r="M67" i="1" s="1"/>
  <c r="I45" i="1" l="1"/>
  <c r="P45" i="1" s="1"/>
  <c r="G34" i="1"/>
  <c r="K34" i="1" s="1"/>
  <c r="G23" i="1"/>
  <c r="M23" i="1" s="1"/>
  <c r="G22" i="1"/>
  <c r="M22" i="1" s="1"/>
  <c r="J23" i="1" l="1"/>
  <c r="J22" i="1"/>
  <c r="K23" i="1"/>
  <c r="K22" i="1"/>
  <c r="L23" i="1"/>
  <c r="H23" i="1"/>
  <c r="I23" i="1" s="1"/>
  <c r="H34" i="1"/>
  <c r="I34" i="1" s="1"/>
  <c r="L34" i="1"/>
  <c r="M34" i="1"/>
  <c r="J34" i="1"/>
  <c r="N34" i="1"/>
  <c r="E35" i="1" s="1"/>
  <c r="P35" i="1" s="1"/>
  <c r="L22" i="1"/>
  <c r="H22" i="1"/>
  <c r="I22" i="1" s="1"/>
  <c r="N23" i="1" l="1"/>
  <c r="E25" i="1" s="1"/>
  <c r="P25" i="1" s="1"/>
  <c r="P34" i="1"/>
  <c r="P23" i="1"/>
  <c r="N22" i="1"/>
  <c r="G32" i="1"/>
  <c r="E24" i="1" l="1"/>
  <c r="P24" i="1" s="1"/>
  <c r="P22" i="1"/>
  <c r="W27" i="1" s="1"/>
  <c r="J32" i="1"/>
  <c r="K32" i="1"/>
  <c r="L32" i="1"/>
  <c r="M32" i="1"/>
  <c r="N32" i="1"/>
  <c r="E33" i="1" s="1"/>
  <c r="P33" i="1" s="1"/>
  <c r="H32" i="1"/>
  <c r="I32" i="1" s="1"/>
  <c r="P32" i="1" l="1"/>
  <c r="U9" i="1"/>
  <c r="U10" i="1"/>
  <c r="U11" i="1"/>
  <c r="U12" i="1"/>
  <c r="U13" i="1"/>
  <c r="U14" i="1"/>
  <c r="U15" i="1"/>
  <c r="U40" i="1"/>
  <c r="U41" i="1"/>
  <c r="U42" i="1"/>
  <c r="U48" i="1"/>
  <c r="T49" i="1"/>
  <c r="U49" i="1" s="1"/>
  <c r="Q7" i="1"/>
  <c r="Q17" i="1"/>
  <c r="Q27" i="1"/>
  <c r="Q39" i="1"/>
  <c r="Q47" i="1"/>
  <c r="Q51" i="1"/>
  <c r="T52" i="1"/>
  <c r="U52" i="1" s="1"/>
  <c r="W54" i="1" s="1"/>
  <c r="G42" i="1"/>
  <c r="M42" i="1" s="1"/>
  <c r="G48" i="1"/>
  <c r="M48" i="1" s="1"/>
  <c r="G41" i="1"/>
  <c r="L41" i="1" s="1"/>
  <c r="G40" i="1"/>
  <c r="M40" i="1" s="1"/>
  <c r="L48" i="1" l="1"/>
  <c r="J48" i="1"/>
  <c r="K48" i="1"/>
  <c r="N48" i="1"/>
  <c r="E49" i="1" s="1"/>
  <c r="P49" i="1" s="1"/>
  <c r="H42" i="1"/>
  <c r="N42" i="1" s="1"/>
  <c r="J42" i="1"/>
  <c r="K42" i="1"/>
  <c r="L42" i="1"/>
  <c r="H48" i="1"/>
  <c r="I48" i="1" s="1"/>
  <c r="H40" i="1"/>
  <c r="N40" i="1" s="1"/>
  <c r="E43" i="1" s="1"/>
  <c r="P43" i="1" s="1"/>
  <c r="J40" i="1"/>
  <c r="L40" i="1"/>
  <c r="K41" i="1"/>
  <c r="M41" i="1"/>
  <c r="K40" i="1"/>
  <c r="H41" i="1"/>
  <c r="N41" i="1" s="1"/>
  <c r="J41" i="1"/>
  <c r="E44" i="1" l="1"/>
  <c r="P44" i="1" s="1"/>
  <c r="I40" i="1"/>
  <c r="P40" i="1" s="1"/>
  <c r="P48" i="1"/>
  <c r="W51" i="1" s="1"/>
  <c r="I42" i="1"/>
  <c r="P42" i="1" s="1"/>
  <c r="I41" i="1"/>
  <c r="P41" i="1" s="1"/>
  <c r="W47" i="1" l="1"/>
  <c r="G29" i="1"/>
  <c r="G28" i="1"/>
  <c r="L28" i="1" l="1"/>
  <c r="K28" i="1"/>
  <c r="N28" i="1"/>
  <c r="E30" i="1" s="1"/>
  <c r="P30" i="1" s="1"/>
  <c r="J28" i="1"/>
  <c r="M28" i="1"/>
  <c r="M29" i="1"/>
  <c r="J29" i="1"/>
  <c r="N29" i="1"/>
  <c r="E31" i="1" s="1"/>
  <c r="P31" i="1" s="1"/>
  <c r="K29" i="1"/>
  <c r="L29" i="1"/>
  <c r="H28" i="1"/>
  <c r="I28" i="1" s="1"/>
  <c r="H29" i="1"/>
  <c r="I29" i="1" s="1"/>
  <c r="P28" i="1" l="1"/>
  <c r="P13" i="1"/>
  <c r="P29" i="1" l="1"/>
  <c r="W39" i="1" s="1"/>
  <c r="G9" i="1"/>
  <c r="M9" i="1" s="1"/>
  <c r="H9" i="1" l="1"/>
  <c r="N9" i="1" s="1"/>
  <c r="J9" i="1"/>
  <c r="K9" i="1"/>
  <c r="L9" i="1"/>
  <c r="G12" i="2"/>
  <c r="G11" i="2"/>
  <c r="G10" i="2"/>
  <c r="G9" i="2"/>
  <c r="G8" i="2"/>
  <c r="G7" i="2"/>
  <c r="A8" i="2"/>
  <c r="A9" i="2" s="1"/>
  <c r="A10" i="2" s="1"/>
  <c r="A11" i="2" s="1"/>
  <c r="A12" i="2" s="1"/>
  <c r="I9" i="1" l="1"/>
  <c r="P9" i="1" s="1"/>
  <c r="G11" i="1"/>
  <c r="J11" i="1" l="1"/>
  <c r="H11" i="1"/>
  <c r="M11" i="1"/>
  <c r="K11" i="1"/>
  <c r="L11" i="1"/>
  <c r="N11" i="1"/>
  <c r="U8" i="1"/>
  <c r="G8" i="1"/>
  <c r="I11" i="1" l="1"/>
  <c r="P11" i="1" s="1"/>
  <c r="H8" i="1"/>
  <c r="E10" i="1" s="1"/>
  <c r="K8" i="1"/>
  <c r="K56" i="1" s="1"/>
  <c r="L8" i="1"/>
  <c r="L56" i="1" s="1"/>
  <c r="M8" i="1"/>
  <c r="M56" i="1" s="1"/>
  <c r="J8" i="1"/>
  <c r="J56" i="1" s="1"/>
  <c r="N8" i="1"/>
  <c r="N56" i="1" s="1"/>
  <c r="M64" i="1" l="1"/>
  <c r="I8" i="1"/>
  <c r="P8" i="1" s="1"/>
  <c r="I10" i="1"/>
  <c r="P10" i="1" s="1"/>
  <c r="M66" i="1" s="1"/>
  <c r="G10" i="1"/>
  <c r="U56" i="1"/>
  <c r="W17" i="1" l="1"/>
  <c r="W56" i="1" s="1"/>
  <c r="P56" i="1"/>
  <c r="U58" i="1" s="1"/>
  <c r="M65" i="1" s="1"/>
</calcChain>
</file>

<file path=xl/sharedStrings.xml><?xml version="1.0" encoding="utf-8"?>
<sst xmlns="http://schemas.openxmlformats.org/spreadsheetml/2006/main" count="143" uniqueCount="109">
  <si>
    <t>Amount</t>
  </si>
  <si>
    <t>PAYMENT NOTE No.</t>
  </si>
  <si>
    <t>UTR</t>
  </si>
  <si>
    <t>Pipeline Laying work</t>
  </si>
  <si>
    <t>Total Paid Amount Rs. -</t>
  </si>
  <si>
    <t>Balance Payable Amount Rs. -</t>
  </si>
  <si>
    <t>Hold Amount For Quantity excess against DPR</t>
  </si>
  <si>
    <t>5% &amp; 10%</t>
  </si>
  <si>
    <t>SR Enterprises</t>
  </si>
  <si>
    <t>Barnabi Village Pipeline laying work</t>
  </si>
  <si>
    <t>Sr. No.</t>
  </si>
  <si>
    <t>HDPE PIPE Dia. In mm</t>
  </si>
  <si>
    <t>PMC NO. 54116</t>
  </si>
  <si>
    <t>Unit</t>
  </si>
  <si>
    <t>Work done qty.</t>
  </si>
  <si>
    <t xml:space="preserve">Received Qty. </t>
  </si>
  <si>
    <t>Rmt.</t>
  </si>
  <si>
    <t>Balance</t>
  </si>
  <si>
    <t>As per DPR Qty.</t>
  </si>
  <si>
    <t>RA Bill No.01</t>
  </si>
  <si>
    <t>RA Bill No.02</t>
  </si>
  <si>
    <t>31-12-2022 IFT/IFT22365031241/RIUP22/1706/S R ENTERPRISES 656599.00</t>
  </si>
  <si>
    <t>RIUP22/1706</t>
  </si>
  <si>
    <t>GST release note</t>
  </si>
  <si>
    <t>31-01-2023 IFT/IFT23031169043/RIUP22/2054/S R ENTERPRISES ₹ 4,25,811.00</t>
  </si>
  <si>
    <t>RIUP22/2054</t>
  </si>
  <si>
    <t>10-02-2023 IFT/IFT23041057326/RIUP22/2153/S R ENTERPRISES ₹ 1,78,798.00</t>
  </si>
  <si>
    <t>RIUP22/2153</t>
  </si>
  <si>
    <t>17-02-2023 IFT/IFT23048032051/RIUP22/2212/S R ENTERPRISES 99000.00</t>
  </si>
  <si>
    <t>RIUP22/2212</t>
  </si>
  <si>
    <t>15-03-2023 IFT/IFT23074020149/RIUP22/2593/S R ENTERPRISES 346500.00</t>
  </si>
  <si>
    <t>RIUP22/2593/</t>
  </si>
  <si>
    <t>27-03-2023 IFT/IFT23086032016/RIUP22/2747/S R ENTERPRISES 99000.00</t>
  </si>
  <si>
    <t>RIUP22/2747</t>
  </si>
  <si>
    <t>2023 April 05 -------- S R Enterprises ---------- IFT23095076372/ ------------ Rs. 1,25,614</t>
  </si>
  <si>
    <t>Mandawar Village Pipeline laying work</t>
  </si>
  <si>
    <t>RIUP22/1150</t>
  </si>
  <si>
    <t>05-11-2022 IFT/IFT22309020146/RIUP22/1150/S R ENTERPRISES 282873.00</t>
  </si>
  <si>
    <t>RIUP22/2058</t>
  </si>
  <si>
    <t>31-01-2023 IFT/IFT23031182443/RIUP22/2058/S R ENTERPRISES 178868.00</t>
  </si>
  <si>
    <t>RIUP22/2152</t>
  </si>
  <si>
    <t>13-02-2023 IFT/IFT23044011788/RIUP22/2152/S R ENTERPRISES 73495.00</t>
  </si>
  <si>
    <t>RIUP22/2246</t>
  </si>
  <si>
    <t>21-02-2023 NEFT/AXISP00364387949/RIUP22/2246/S R ENTERPRISES 99000.00</t>
  </si>
  <si>
    <t>2023 April 05 ----------- S R Enterprises ------------- IFT23095076374 ------------ Rs. 77,967</t>
  </si>
  <si>
    <t>RIUP23/2182</t>
  </si>
  <si>
    <t>21-09-2023 IFT/IFT23264016659/RIUP23/2182/S R ENTERPRISES 121492.00</t>
  </si>
  <si>
    <t>21-04-2023 IFT/IFT23111033829/RIUP23/053/S R ENTERPRISES 297000.00</t>
  </si>
  <si>
    <t>16-05-2023 NEFT/AXISP00342589632/RIUP23/266/SR ENTERPRISE 161314.00</t>
  </si>
  <si>
    <t>22-06-2023 IFT/IFT23173012783/RIUP23/804/S R ENTERPRISES 99000.00</t>
  </si>
  <si>
    <t>28-06-2023 IFT/IFT23179012455/RIUP23/812/S R ENTERPRISES 60832.00</t>
  </si>
  <si>
    <t>26-10-2023 IFT/IFT231790156356/RIUP23/2746/S R ENTERPRISES 175464.00</t>
  </si>
  <si>
    <t>Panjet village pipe line work</t>
  </si>
  <si>
    <t>RIUP23/855</t>
  </si>
  <si>
    <t>RIUP23/1703</t>
  </si>
  <si>
    <t>27-06-2023 IFT/IFT23178008662/RIUP23/855/S R ENTERPRISES 242637.00</t>
  </si>
  <si>
    <t>27-09-2023 IFT/IFT23270029213/RIUP23/1703/S R ENTERPRISES 313633.00</t>
  </si>
  <si>
    <t>10-11-2023 IFT/IFT23314104253/RIUP23/3254/S R ENTERPRISES 99000.00</t>
  </si>
  <si>
    <t>09-11-2023 IFT/IFT23313076730/RIUP23/3150/S R ENTERPRISES 97439.00</t>
  </si>
  <si>
    <t>18-12-2023 IFT/IFT23352039792/RIUP23/3847/S R ENTERPRISES 148500.00</t>
  </si>
  <si>
    <t>RIUP23/3150</t>
  </si>
  <si>
    <t>RIUP23/3847</t>
  </si>
  <si>
    <t>09-11-2023 IFT/IFT23313042824/RIUP23/3144/S R ENTERPRISES 244006.00</t>
  </si>
  <si>
    <t>RIUP23/3144</t>
  </si>
  <si>
    <t>10-01-2024 IFT/IFT24010022786/RIUP23/4208/S R ENTERPRISES 49500.00</t>
  </si>
  <si>
    <t>Total Hold</t>
  </si>
  <si>
    <t>Advance / Surplus</t>
  </si>
  <si>
    <t>GST Remaining</t>
  </si>
  <si>
    <t>22-02-2024 IFT/IFT24053029352/RIUP23/4696/S R ENTERPRISES 149870.00</t>
  </si>
  <si>
    <t xml:space="preserve">GST </t>
  </si>
  <si>
    <t>4 &amp; 5</t>
  </si>
  <si>
    <t>22-02-2024 IFT/IFT24053032839/RIUP23/4695/S R ENTERPRISES 67713.00</t>
  </si>
  <si>
    <t>22-03-2024 IFT/IFT24082070378/RIUP23/4844/S R ENTERPRISES 65057.00</t>
  </si>
  <si>
    <t>12-01-2024 IFT/IFT24012010539/RIUP23/4243/S R ENTERPRISES 49500.00</t>
  </si>
  <si>
    <t>10-07-2024 IFT/IFT24192050168/RIUP24/0559/S R ENTERPRISES 300000.00</t>
  </si>
  <si>
    <t>14-08-2024 IFT/IFT24227020859/RIUP24/1123/S R ENTERPRISES 26350.00</t>
  </si>
  <si>
    <t>14-08-2024 IFT/IFT24227020864/RIUP24/1132/S R ENTERPRISES 153150.00</t>
  </si>
  <si>
    <t>11-02-2025 IFT/IFT25042036793/RIUP24/3083/S R ENTERPRISES 150000.00</t>
  </si>
  <si>
    <t>25-02-2025 IFT/IFT25056028442/RIUP24/3190/S R ENTERPRISES 73211.00</t>
  </si>
  <si>
    <t>Extra Hold</t>
  </si>
  <si>
    <t>19-03-2025 IFT/IFT25078029434/RIUP24/3082/S R ENTERPRISES 250000.00</t>
  </si>
  <si>
    <t>Updated On 02-05-2025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</si>
  <si>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</si>
  <si>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</si>
  <si>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</si>
  <si>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</si>
  <si>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</si>
  <si>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</si>
  <si>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</si>
  <si>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</si>
  <si>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</si>
  <si>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</si>
  <si>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</si>
  <si>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</si>
  <si>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</si>
  <si>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</si>
  <si>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</si>
  <si>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</si>
  <si>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</si>
  <si>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</si>
  <si>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</si>
  <si>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</si>
  <si>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</si>
  <si>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</si>
  <si>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</si>
  <si>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KHERI KARMU  Village Pipe Line &amp; RR work </t>
  </si>
  <si>
    <t xml:space="preserve">MAMAUR VILLAGE  Pipeline Work </t>
  </si>
  <si>
    <t xml:space="preserve">KHERA KURTAN VILLAGE PIPE LINE WORK </t>
  </si>
  <si>
    <t>20/10/23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</si>
</sst>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2"/>
      <color theme="1"/>
      <name val="Comic Sans MS"/>
      <family val="4"/>
    </font>
    <font>
      <sz val="11"/>
      <color rgb="FF333333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64" fontId="3" fillId="3" borderId="2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14" fontId="7" fillId="0" borderId="2" xfId="0" applyNumberFormat="1" applyFont="1" applyBorder="1"/>
    <xf numFmtId="164" fontId="3" fillId="0" borderId="2" xfId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vertical="center"/>
    </xf>
    <xf numFmtId="0" fontId="0" fillId="2" borderId="0" xfId="0" applyFill="1"/>
    <xf numFmtId="0" fontId="4" fillId="2" borderId="0" xfId="0" applyFont="1" applyFill="1"/>
    <xf numFmtId="164" fontId="3" fillId="2" borderId="6" xfId="1" applyNumberFormat="1" applyFont="1" applyFill="1" applyBorder="1" applyAlignment="1"/>
    <xf numFmtId="0" fontId="0" fillId="0" borderId="2" xfId="0" applyBorder="1"/>
    <xf numFmtId="0" fontId="0" fillId="3" borderId="2" xfId="0" applyFill="1" applyBorder="1"/>
    <xf numFmtId="0" fontId="7" fillId="0" borderId="2" xfId="0" applyFont="1" applyBorder="1"/>
    <xf numFmtId="164" fontId="3" fillId="2" borderId="3" xfId="1" applyNumberFormat="1" applyFont="1" applyFill="1" applyBorder="1" applyAlignment="1"/>
    <xf numFmtId="14" fontId="0" fillId="2" borderId="0" xfId="0" applyNumberFormat="1" applyFill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3" fillId="2" borderId="2" xfId="1" applyNumberFormat="1" applyFont="1" applyFill="1" applyBorder="1" applyAlignment="1"/>
    <xf numFmtId="164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3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0" fontId="3" fillId="3" borderId="13" xfId="1" applyNumberFormat="1" applyFont="1" applyFill="1" applyBorder="1" applyAlignment="1">
      <alignment horizontal="center" vertical="center"/>
    </xf>
    <xf numFmtId="9" fontId="3" fillId="3" borderId="13" xfId="1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 applyAlignment="1"/>
    <xf numFmtId="9" fontId="3" fillId="2" borderId="3" xfId="1" applyNumberFormat="1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164" fontId="3" fillId="2" borderId="14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/>
    <xf numFmtId="164" fontId="5" fillId="2" borderId="6" xfId="1" applyNumberFormat="1" applyFon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0" fillId="0" borderId="2" xfId="0" applyFont="1" applyBorder="1"/>
    <xf numFmtId="164" fontId="3" fillId="2" borderId="2" xfId="1" applyNumberFormat="1" applyFont="1" applyFill="1" applyBorder="1" applyAlignment="1">
      <alignment vertical="center" wrapText="1"/>
    </xf>
    <xf numFmtId="164" fontId="11" fillId="4" borderId="2" xfId="1" applyNumberFormat="1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12" fillId="2" borderId="6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9" fillId="2" borderId="10" xfId="1" applyNumberFormat="1" applyFont="1" applyFill="1" applyBorder="1" applyAlignment="1">
      <alignment horizontal="center" vertical="center"/>
    </xf>
    <xf numFmtId="164" fontId="9" fillId="2" borderId="12" xfId="1" applyNumberFormat="1" applyFont="1" applyFill="1" applyBorder="1" applyAlignment="1">
      <alignment horizontal="center" vertical="center"/>
    </xf>
    <xf numFmtId="164" fontId="9" fillId="2" borderId="10" xfId="1" applyNumberFormat="1" applyFont="1" applyFill="1" applyBorder="1" applyAlignment="1">
      <alignment horizontal="right"/>
    </xf>
    <xf numFmtId="164" fontId="9" fillId="2" borderId="11" xfId="1" applyNumberFormat="1" applyFont="1" applyFill="1" applyBorder="1" applyAlignment="1">
      <alignment horizontal="right"/>
    </xf>
    <xf numFmtId="164" fontId="9" fillId="2" borderId="4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9" fillId="2" borderId="5" xfId="1" applyNumberFormat="1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center" vertical="center"/>
    </xf>
    <xf numFmtId="164" fontId="9" fillId="2" borderId="8" xfId="1" applyNumberFormat="1" applyFont="1" applyFill="1" applyBorder="1" applyAlignment="1">
      <alignment horizontal="center" vertical="center"/>
    </xf>
    <xf numFmtId="164" fontId="9" fillId="2" borderId="9" xfId="1" applyNumberFormat="1" applyFont="1" applyFill="1" applyBorder="1" applyAlignment="1">
      <alignment horizontal="center" vertical="center"/>
    </xf>
    <xf numFmtId="164" fontId="9" fillId="2" borderId="10" xfId="1" applyNumberFormat="1" applyFont="1" applyFill="1" applyBorder="1" applyAlignment="1">
      <alignment horizontal="center"/>
    </xf>
    <xf numFmtId="164" fontId="9" fillId="2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7"/>
  <sheetViews>
    <sheetView tabSelected="1" topLeftCell="A15" zoomScale="85" zoomScaleNormal="85" workbookViewId="0">
      <selection activeCell="C23" sqref="C23"/>
    </sheetView>
  </sheetViews>
  <sheetFormatPr defaultColWidth="9" defaultRowHeight="24.9" customHeight="1" x14ac:dyDescent="0.3"/>
  <cols>
    <col min="1" max="1" width="9" style="3"/>
    <col min="2" max="2" width="32.6640625" style="3" customWidth="1"/>
    <col min="3" max="3" width="15.33203125" style="3" bestFit="1" customWidth="1"/>
    <col min="4" max="4" width="11.5546875" style="33" bestFit="1" customWidth="1"/>
    <col min="5" max="5" width="13.33203125" style="3" bestFit="1" customWidth="1"/>
    <col min="6" max="6" width="13.33203125" style="3" customWidth="1"/>
    <col min="7" max="7" width="15.5546875" style="3" bestFit="1" customWidth="1"/>
    <col min="8" max="8" width="14.6640625" style="14" customWidth="1"/>
    <col min="9" max="9" width="12.88671875" style="14" bestFit="1" customWidth="1"/>
    <col min="10" max="10" width="11.6640625" style="3" bestFit="1" customWidth="1"/>
    <col min="11" max="11" width="14.109375" style="3" bestFit="1" customWidth="1"/>
    <col min="12" max="12" width="18.88671875" style="3" bestFit="1" customWidth="1"/>
    <col min="13" max="13" width="14.44140625" style="3" bestFit="1" customWidth="1"/>
    <col min="14" max="16" width="14.88671875" style="3" customWidth="1"/>
    <col min="17" max="17" width="11.33203125" style="3" bestFit="1" customWidth="1"/>
    <col min="18" max="18" width="16.33203125" style="3" customWidth="1"/>
    <col min="19" max="19" width="17.5546875" style="3" customWidth="1"/>
    <col min="20" max="20" width="12" style="3" customWidth="1"/>
    <col min="21" max="21" width="18.88671875" style="3" bestFit="1" customWidth="1"/>
    <col min="22" max="22" width="78.5546875" style="41" bestFit="1" customWidth="1"/>
    <col min="23" max="23" width="15" style="3" bestFit="1" customWidth="1"/>
    <col min="24" max="16384" width="9" style="3"/>
  </cols>
  <sheetData>
    <row r="1" spans="1:60" ht="24.9" customHeight="1" x14ac:dyDescent="0.3">
      <c r="A1" s="74" t="s">
        <v>82</v>
      </c>
      <c r="B1" s="2" t="s">
        <v>8</v>
      </c>
      <c r="E1" s="4"/>
      <c r="F1" s="4"/>
      <c r="G1" s="4"/>
      <c r="H1" s="5"/>
      <c r="I1" s="5"/>
    </row>
    <row r="2" spans="1:60" ht="24.9" customHeight="1" x14ac:dyDescent="0.3">
      <c r="A2" s="74" t="s">
        <v>83</v>
      </c>
      <c r="B2" s="75" t="s">
        <v>86</v>
      </c>
      <c r="C2" s="6"/>
      <c r="D2" s="34" t="s">
        <v>8</v>
      </c>
      <c r="H2" s="15" t="s">
        <v>3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60" ht="24.9" customHeight="1" thickBot="1" x14ac:dyDescent="0.35">
      <c r="A3" s="74" t="s">
        <v>84</v>
      </c>
      <c r="B3" s="75" t="s">
        <v>87</v>
      </c>
      <c r="C3" s="6"/>
      <c r="D3" s="34"/>
      <c r="H3" s="15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60" ht="24.9" customHeight="1" thickBot="1" x14ac:dyDescent="0.4">
      <c r="A4" s="74" t="s">
        <v>85</v>
      </c>
      <c r="B4" s="75" t="s">
        <v>87</v>
      </c>
      <c r="C4" s="9"/>
      <c r="D4" s="35"/>
      <c r="E4" s="9"/>
      <c r="F4" s="8"/>
      <c r="G4" s="8"/>
      <c r="H4" s="10"/>
      <c r="I4" s="10"/>
      <c r="J4" s="8"/>
      <c r="K4" s="8"/>
      <c r="L4" s="8"/>
      <c r="M4" s="8"/>
      <c r="Q4" s="48"/>
      <c r="R4" s="8"/>
      <c r="S4" s="11"/>
      <c r="T4" s="11"/>
      <c r="U4" s="11"/>
      <c r="V4" s="42"/>
    </row>
    <row r="5" spans="1:60" ht="24.9" customHeight="1" x14ac:dyDescent="0.3">
      <c r="A5" s="76" t="s">
        <v>88</v>
      </c>
      <c r="B5" s="77" t="s">
        <v>89</v>
      </c>
      <c r="C5" s="78" t="s">
        <v>90</v>
      </c>
      <c r="D5" s="79" t="s">
        <v>91</v>
      </c>
      <c r="E5" s="77" t="s">
        <v>92</v>
      </c>
      <c r="F5" s="77" t="s">
        <v>93</v>
      </c>
      <c r="G5" s="79" t="s">
        <v>94</v>
      </c>
      <c r="H5" s="80" t="s">
        <v>95</v>
      </c>
      <c r="I5" s="81" t="s">
        <v>0</v>
      </c>
      <c r="J5" s="77" t="s">
        <v>96</v>
      </c>
      <c r="K5" s="77" t="s">
        <v>97</v>
      </c>
      <c r="L5" s="77" t="s">
        <v>98</v>
      </c>
      <c r="M5" s="77" t="s">
        <v>99</v>
      </c>
      <c r="N5" s="21" t="s">
        <v>100</v>
      </c>
      <c r="O5" s="21" t="s">
        <v>6</v>
      </c>
      <c r="P5" s="21" t="s">
        <v>101</v>
      </c>
      <c r="Q5" s="21"/>
      <c r="R5" s="21" t="s">
        <v>1</v>
      </c>
      <c r="S5" s="77" t="s">
        <v>102</v>
      </c>
      <c r="T5" s="77" t="s">
        <v>103</v>
      </c>
      <c r="U5" s="77" t="s">
        <v>104</v>
      </c>
      <c r="V5" s="77" t="s">
        <v>2</v>
      </c>
      <c r="W5" s="49"/>
    </row>
    <row r="6" spans="1:60" ht="24.9" customHeight="1" thickBot="1" x14ac:dyDescent="0.35">
      <c r="A6" s="53"/>
      <c r="B6" s="13"/>
      <c r="C6" s="13"/>
      <c r="D6" s="54"/>
      <c r="E6" s="13"/>
      <c r="F6" s="13"/>
      <c r="G6" s="13"/>
      <c r="H6" s="13"/>
      <c r="I6" s="13"/>
      <c r="J6" s="62">
        <v>0.01</v>
      </c>
      <c r="K6" s="62">
        <v>0.05</v>
      </c>
      <c r="L6" s="62" t="s">
        <v>7</v>
      </c>
      <c r="M6" s="62">
        <v>0.1</v>
      </c>
      <c r="N6" s="13"/>
      <c r="O6" s="13"/>
      <c r="P6" s="13"/>
      <c r="Q6" s="31"/>
      <c r="R6" s="13"/>
      <c r="S6" s="13"/>
      <c r="T6" s="62">
        <v>0.01</v>
      </c>
      <c r="U6" s="13"/>
      <c r="V6" s="47"/>
      <c r="W6" s="53"/>
    </row>
    <row r="7" spans="1:60" s="18" customFormat="1" ht="24.9" customHeight="1" x14ac:dyDescent="0.3">
      <c r="A7" s="56"/>
      <c r="B7" s="57"/>
      <c r="C7" s="57"/>
      <c r="D7" s="58"/>
      <c r="E7" s="57"/>
      <c r="F7" s="57"/>
      <c r="G7" s="57"/>
      <c r="H7" s="57"/>
      <c r="I7" s="57"/>
      <c r="J7" s="59"/>
      <c r="K7" s="59"/>
      <c r="L7" s="59"/>
      <c r="M7" s="59"/>
      <c r="N7" s="57"/>
      <c r="O7" s="57"/>
      <c r="P7" s="57"/>
      <c r="Q7" s="60">
        <f>A8</f>
        <v>54116</v>
      </c>
      <c r="R7" s="57"/>
      <c r="S7" s="57"/>
      <c r="T7" s="59"/>
      <c r="U7" s="57"/>
      <c r="V7" s="61"/>
      <c r="W7" s="56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ht="24.9" customHeight="1" x14ac:dyDescent="0.3">
      <c r="A8" s="50">
        <v>54116</v>
      </c>
      <c r="B8" s="23" t="s">
        <v>9</v>
      </c>
      <c r="C8" s="1">
        <v>44912</v>
      </c>
      <c r="D8" s="32">
        <v>2</v>
      </c>
      <c r="E8" s="12">
        <v>1092397.5900000001</v>
      </c>
      <c r="F8" s="12">
        <v>99077</v>
      </c>
      <c r="G8" s="12">
        <f>E8-F8</f>
        <v>993320.59000000008</v>
      </c>
      <c r="H8" s="12">
        <f>G8*18%</f>
        <v>178797.70620000002</v>
      </c>
      <c r="I8" s="12">
        <f>ROUND(G8+H8,)</f>
        <v>1172118</v>
      </c>
      <c r="J8" s="12">
        <f>ROUND(G8*$J$6,)</f>
        <v>9933</v>
      </c>
      <c r="K8" s="12">
        <f>G8*5%</f>
        <v>49666.029500000004</v>
      </c>
      <c r="L8" s="12">
        <f>G8*10%</f>
        <v>99332.059000000008</v>
      </c>
      <c r="M8" s="12">
        <f>G8*10%</f>
        <v>99332.059000000008</v>
      </c>
      <c r="N8" s="72">
        <f>H8</f>
        <v>178797.70620000002</v>
      </c>
      <c r="O8" s="12">
        <v>78458</v>
      </c>
      <c r="P8" s="12">
        <f>ROUND(I8-SUM(J8:O8),)</f>
        <v>656599</v>
      </c>
      <c r="Q8" s="24"/>
      <c r="R8" s="12" t="s">
        <v>22</v>
      </c>
      <c r="S8" s="12">
        <v>656599</v>
      </c>
      <c r="T8" s="12">
        <v>0</v>
      </c>
      <c r="U8" s="12">
        <f t="shared" ref="U8:U15" si="0">S8-T8</f>
        <v>656599</v>
      </c>
      <c r="V8" s="44" t="s">
        <v>21</v>
      </c>
      <c r="W8" s="50"/>
    </row>
    <row r="9" spans="1:60" ht="24.9" customHeight="1" x14ac:dyDescent="0.3">
      <c r="A9" s="50">
        <v>54116</v>
      </c>
      <c r="B9" s="23" t="s">
        <v>9</v>
      </c>
      <c r="C9" s="1">
        <v>44947</v>
      </c>
      <c r="D9" s="32">
        <v>3</v>
      </c>
      <c r="E9" s="12">
        <v>823956</v>
      </c>
      <c r="F9" s="12">
        <v>126098</v>
      </c>
      <c r="G9" s="12">
        <f>E9-F9</f>
        <v>697858</v>
      </c>
      <c r="H9" s="12">
        <f>G9*18%</f>
        <v>125614.44</v>
      </c>
      <c r="I9" s="12">
        <f>ROUND(G9+H9,)</f>
        <v>823472</v>
      </c>
      <c r="J9" s="12">
        <f>ROUND(G9*$J$6,)</f>
        <v>6979</v>
      </c>
      <c r="K9" s="12">
        <f>G9*5%</f>
        <v>34892.9</v>
      </c>
      <c r="L9" s="12">
        <f>G9*10%</f>
        <v>69785.8</v>
      </c>
      <c r="M9" s="12">
        <f>G9*10%</f>
        <v>69785.8</v>
      </c>
      <c r="N9" s="72">
        <f>H9</f>
        <v>125614.44</v>
      </c>
      <c r="O9" s="12">
        <v>90602</v>
      </c>
      <c r="P9" s="12">
        <f>ROUND(I9-SUM(J9:O9),)</f>
        <v>425812</v>
      </c>
      <c r="Q9" s="24"/>
      <c r="R9" s="12" t="s">
        <v>25</v>
      </c>
      <c r="S9" s="12">
        <v>425811</v>
      </c>
      <c r="T9" s="12">
        <v>0</v>
      </c>
      <c r="U9" s="12">
        <f t="shared" si="0"/>
        <v>425811</v>
      </c>
      <c r="V9" s="44" t="s">
        <v>24</v>
      </c>
      <c r="W9" s="50"/>
    </row>
    <row r="10" spans="1:60" ht="24.9" customHeight="1" x14ac:dyDescent="0.3">
      <c r="A10" s="50">
        <v>54116</v>
      </c>
      <c r="B10" s="23" t="s">
        <v>23</v>
      </c>
      <c r="C10" s="1">
        <v>44960</v>
      </c>
      <c r="D10" s="32">
        <v>2</v>
      </c>
      <c r="E10" s="12">
        <f>H8</f>
        <v>178797.70620000002</v>
      </c>
      <c r="F10" s="12"/>
      <c r="G10" s="12">
        <f>E10</f>
        <v>178797.70620000002</v>
      </c>
      <c r="H10" s="12"/>
      <c r="I10" s="12">
        <f>E10</f>
        <v>178797.70620000002</v>
      </c>
      <c r="J10" s="12"/>
      <c r="K10" s="12"/>
      <c r="L10" s="12"/>
      <c r="M10" s="12"/>
      <c r="N10" s="12"/>
      <c r="O10" s="12"/>
      <c r="P10" s="72">
        <f>I10</f>
        <v>178797.70620000002</v>
      </c>
      <c r="Q10" s="24"/>
      <c r="R10" s="12" t="s">
        <v>27</v>
      </c>
      <c r="S10" s="12">
        <v>178798</v>
      </c>
      <c r="T10" s="12">
        <v>0</v>
      </c>
      <c r="U10" s="12">
        <f t="shared" si="0"/>
        <v>178798</v>
      </c>
      <c r="V10" s="44" t="s">
        <v>26</v>
      </c>
      <c r="W10" s="50"/>
    </row>
    <row r="11" spans="1:60" ht="24.9" customHeight="1" x14ac:dyDescent="0.3">
      <c r="A11" s="50">
        <v>54116</v>
      </c>
      <c r="B11" s="23" t="s">
        <v>9</v>
      </c>
      <c r="C11" s="1">
        <v>44985</v>
      </c>
      <c r="D11" s="32">
        <v>5</v>
      </c>
      <c r="E11" s="12">
        <v>759934.24</v>
      </c>
      <c r="F11" s="12">
        <v>36028</v>
      </c>
      <c r="G11" s="12">
        <f>E11-F11</f>
        <v>723906.24</v>
      </c>
      <c r="H11" s="12">
        <f>G11*18%</f>
        <v>130303.12319999999</v>
      </c>
      <c r="I11" s="12">
        <f>G11+H11</f>
        <v>854209.36320000002</v>
      </c>
      <c r="J11" s="12">
        <f>J$6*G11</f>
        <v>7239.0623999999998</v>
      </c>
      <c r="K11" s="12">
        <f>G11*5%</f>
        <v>36195.311999999998</v>
      </c>
      <c r="L11" s="12">
        <f>G11*10%</f>
        <v>72390.623999999996</v>
      </c>
      <c r="M11" s="12">
        <f>G11*10%</f>
        <v>72390.623999999996</v>
      </c>
      <c r="N11" s="72">
        <f>H11</f>
        <v>130303.12319999999</v>
      </c>
      <c r="O11" s="12">
        <v>267482</v>
      </c>
      <c r="P11" s="12">
        <f>ROUND(I11-SUM(J11:O11),)</f>
        <v>268209</v>
      </c>
      <c r="Q11" s="24"/>
      <c r="R11" s="12" t="s">
        <v>29</v>
      </c>
      <c r="S11" s="12">
        <v>99000</v>
      </c>
      <c r="T11" s="12">
        <v>0</v>
      </c>
      <c r="U11" s="12">
        <f t="shared" si="0"/>
        <v>99000</v>
      </c>
      <c r="V11" s="44" t="s">
        <v>28</v>
      </c>
      <c r="W11" s="50"/>
    </row>
    <row r="12" spans="1:60" ht="24.9" customHeight="1" x14ac:dyDescent="0.3">
      <c r="A12" s="50">
        <v>54116</v>
      </c>
      <c r="B12" s="23" t="s">
        <v>23</v>
      </c>
      <c r="C12" s="1">
        <v>45016</v>
      </c>
      <c r="D12" s="32">
        <v>3</v>
      </c>
      <c r="E12" s="12">
        <v>125614.44</v>
      </c>
      <c r="F12" s="12"/>
      <c r="G12" s="12"/>
      <c r="H12" s="12"/>
      <c r="I12" s="12"/>
      <c r="J12" s="12"/>
      <c r="K12" s="12">
        <v>0</v>
      </c>
      <c r="L12" s="12"/>
      <c r="M12" s="12"/>
      <c r="N12" s="12"/>
      <c r="O12" s="12"/>
      <c r="P12" s="72">
        <v>125614.44</v>
      </c>
      <c r="Q12" s="24"/>
      <c r="R12" s="12" t="s">
        <v>31</v>
      </c>
      <c r="S12" s="12">
        <v>346500</v>
      </c>
      <c r="T12" s="12"/>
      <c r="U12" s="12">
        <f t="shared" si="0"/>
        <v>346500</v>
      </c>
      <c r="V12" s="44" t="s">
        <v>30</v>
      </c>
      <c r="W12" s="50"/>
    </row>
    <row r="13" spans="1:60" ht="24.9" customHeight="1" x14ac:dyDescent="0.3">
      <c r="A13" s="50">
        <v>54116</v>
      </c>
      <c r="B13" s="23" t="s">
        <v>23</v>
      </c>
      <c r="C13" s="1">
        <v>45174</v>
      </c>
      <c r="D13" s="38">
        <v>5</v>
      </c>
      <c r="E13" s="12">
        <v>130303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72">
        <f>E13</f>
        <v>130303</v>
      </c>
      <c r="Q13" s="24"/>
      <c r="R13" s="12" t="s">
        <v>33</v>
      </c>
      <c r="S13" s="12">
        <v>99000</v>
      </c>
      <c r="T13" s="12"/>
      <c r="U13" s="12">
        <f t="shared" si="0"/>
        <v>99000</v>
      </c>
      <c r="V13" s="44" t="s">
        <v>32</v>
      </c>
      <c r="W13" s="50"/>
    </row>
    <row r="14" spans="1:60" ht="24.9" customHeight="1" x14ac:dyDescent="0.3">
      <c r="A14" s="50">
        <v>54116</v>
      </c>
      <c r="B14" s="23"/>
      <c r="C14" s="1"/>
      <c r="D14" s="3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4"/>
      <c r="R14" s="12"/>
      <c r="S14" s="12">
        <v>125614</v>
      </c>
      <c r="T14" s="12"/>
      <c r="U14" s="12">
        <f t="shared" si="0"/>
        <v>125614</v>
      </c>
      <c r="V14" s="44" t="s">
        <v>34</v>
      </c>
      <c r="W14" s="50"/>
    </row>
    <row r="15" spans="1:60" ht="24.9" customHeight="1" x14ac:dyDescent="0.3">
      <c r="A15" s="50">
        <v>54116</v>
      </c>
      <c r="B15" s="23"/>
      <c r="C15" s="1"/>
      <c r="D15" s="3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24"/>
      <c r="R15" s="12" t="s">
        <v>45</v>
      </c>
      <c r="S15" s="12">
        <v>121492</v>
      </c>
      <c r="T15" s="12">
        <v>0</v>
      </c>
      <c r="U15" s="12">
        <f t="shared" si="0"/>
        <v>121492</v>
      </c>
      <c r="V15" s="44" t="s">
        <v>46</v>
      </c>
      <c r="W15" s="50"/>
    </row>
    <row r="16" spans="1:60" ht="24.9" customHeight="1" x14ac:dyDescent="0.3">
      <c r="A16" s="50">
        <v>54116</v>
      </c>
      <c r="B16" s="12"/>
      <c r="C16" s="12"/>
      <c r="D16" s="3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4"/>
      <c r="R16" s="12"/>
      <c r="S16" s="12"/>
      <c r="T16" s="12"/>
      <c r="U16" s="12"/>
      <c r="V16" s="44"/>
      <c r="W16" s="52"/>
    </row>
    <row r="17" spans="1:60" s="18" customFormat="1" ht="24.9" customHeight="1" x14ac:dyDescent="0.3">
      <c r="A17" s="26"/>
      <c r="B17" s="19"/>
      <c r="C17" s="19"/>
      <c r="D17" s="3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>
        <f>A18</f>
        <v>52849</v>
      </c>
      <c r="R17" s="19"/>
      <c r="S17" s="19"/>
      <c r="T17" s="19"/>
      <c r="U17" s="19"/>
      <c r="V17" s="45"/>
      <c r="W17" s="69">
        <f>SUM(P8:P16,0)-SUM(U8:U16,0)</f>
        <v>-267478.85380000016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24.9" customHeight="1" x14ac:dyDescent="0.3">
      <c r="A18" s="50">
        <v>52849</v>
      </c>
      <c r="B18" s="12" t="s">
        <v>35</v>
      </c>
      <c r="C18" s="1" t="s">
        <v>108</v>
      </c>
      <c r="D18" s="38">
        <v>1</v>
      </c>
      <c r="E18" s="12">
        <v>462347.6</v>
      </c>
      <c r="F18" s="12">
        <v>54041.999999999993</v>
      </c>
      <c r="G18" s="12">
        <v>408306</v>
      </c>
      <c r="H18" s="12">
        <v>73495</v>
      </c>
      <c r="I18" s="12">
        <v>481801</v>
      </c>
      <c r="J18" s="12">
        <v>4083</v>
      </c>
      <c r="K18" s="12">
        <v>20415</v>
      </c>
      <c r="L18" s="12">
        <v>20415</v>
      </c>
      <c r="M18" s="12">
        <v>40831</v>
      </c>
      <c r="N18" s="72">
        <v>73495</v>
      </c>
      <c r="O18" s="12">
        <v>39688</v>
      </c>
      <c r="P18" s="12">
        <v>282874</v>
      </c>
      <c r="Q18" s="24"/>
      <c r="R18" s="12" t="s">
        <v>36</v>
      </c>
      <c r="S18" s="12">
        <v>282873</v>
      </c>
      <c r="T18" s="12">
        <v>0</v>
      </c>
      <c r="U18" s="12">
        <v>282873</v>
      </c>
      <c r="V18" s="44" t="s">
        <v>37</v>
      </c>
      <c r="W18" s="50"/>
    </row>
    <row r="19" spans="1:60" ht="24.9" customHeight="1" x14ac:dyDescent="0.3">
      <c r="A19" s="50">
        <v>52849</v>
      </c>
      <c r="B19" s="12" t="s">
        <v>35</v>
      </c>
      <c r="C19" s="1">
        <v>44947</v>
      </c>
      <c r="D19" s="38">
        <v>4</v>
      </c>
      <c r="E19" s="12">
        <v>478185</v>
      </c>
      <c r="F19" s="12">
        <v>45035</v>
      </c>
      <c r="G19" s="12">
        <v>433150</v>
      </c>
      <c r="H19" s="12">
        <v>77967</v>
      </c>
      <c r="I19" s="12">
        <v>511117</v>
      </c>
      <c r="J19" s="12">
        <v>4331.5</v>
      </c>
      <c r="K19" s="12">
        <v>21657.5</v>
      </c>
      <c r="L19" s="12">
        <v>21657.5</v>
      </c>
      <c r="M19" s="12">
        <v>43315</v>
      </c>
      <c r="N19" s="72">
        <v>77967</v>
      </c>
      <c r="O19" s="12">
        <v>163321</v>
      </c>
      <c r="P19" s="12">
        <v>178868</v>
      </c>
      <c r="Q19" s="24"/>
      <c r="R19" s="12" t="s">
        <v>38</v>
      </c>
      <c r="S19" s="12">
        <v>178868</v>
      </c>
      <c r="T19" s="12">
        <v>0</v>
      </c>
      <c r="U19" s="12">
        <v>178868</v>
      </c>
      <c r="V19" s="44" t="s">
        <v>39</v>
      </c>
      <c r="W19" s="50"/>
    </row>
    <row r="20" spans="1:60" ht="24.9" customHeight="1" x14ac:dyDescent="0.3">
      <c r="A20" s="50">
        <v>52849</v>
      </c>
      <c r="B20" s="12" t="s">
        <v>23</v>
      </c>
      <c r="C20" s="1">
        <v>44960</v>
      </c>
      <c r="D20" s="38">
        <v>1</v>
      </c>
      <c r="E20" s="12">
        <v>73495</v>
      </c>
      <c r="F20" s="12">
        <v>0</v>
      </c>
      <c r="G20" s="12">
        <v>73495</v>
      </c>
      <c r="H20" s="12">
        <v>0</v>
      </c>
      <c r="I20" s="12">
        <v>73495</v>
      </c>
      <c r="J20" s="12">
        <v>0</v>
      </c>
      <c r="K20" s="12"/>
      <c r="L20" s="12"/>
      <c r="M20" s="12"/>
      <c r="N20" s="12"/>
      <c r="O20" s="12"/>
      <c r="P20" s="72">
        <v>73495</v>
      </c>
      <c r="Q20" s="24"/>
      <c r="R20" s="12" t="s">
        <v>40</v>
      </c>
      <c r="S20" s="12">
        <v>73495</v>
      </c>
      <c r="T20" s="12">
        <v>0</v>
      </c>
      <c r="U20" s="12">
        <v>73495</v>
      </c>
      <c r="V20" s="44" t="s">
        <v>41</v>
      </c>
      <c r="W20" s="50"/>
    </row>
    <row r="21" spans="1:60" ht="24.9" customHeight="1" x14ac:dyDescent="0.3">
      <c r="A21" s="50">
        <v>52849</v>
      </c>
      <c r="B21" s="12" t="s">
        <v>23</v>
      </c>
      <c r="C21" s="1">
        <v>45016</v>
      </c>
      <c r="D21" s="38">
        <v>4</v>
      </c>
      <c r="E21" s="12">
        <v>77967</v>
      </c>
      <c r="F21" s="12">
        <v>0</v>
      </c>
      <c r="G21" s="12">
        <v>77967</v>
      </c>
      <c r="H21" s="12">
        <v>0</v>
      </c>
      <c r="I21" s="12">
        <v>77967</v>
      </c>
      <c r="J21" s="12">
        <v>0</v>
      </c>
      <c r="K21" s="12">
        <v>0</v>
      </c>
      <c r="L21" s="12"/>
      <c r="M21" s="12"/>
      <c r="N21" s="12">
        <v>0</v>
      </c>
      <c r="O21" s="12"/>
      <c r="P21" s="72">
        <v>77967</v>
      </c>
      <c r="Q21" s="24"/>
      <c r="R21" s="12" t="s">
        <v>42</v>
      </c>
      <c r="S21" s="12">
        <v>99000</v>
      </c>
      <c r="T21" s="12"/>
      <c r="U21" s="12">
        <v>99000</v>
      </c>
      <c r="V21" s="44" t="s">
        <v>43</v>
      </c>
      <c r="W21" s="50"/>
    </row>
    <row r="22" spans="1:60" ht="24.9" customHeight="1" x14ac:dyDescent="0.3">
      <c r="A22" s="50">
        <v>52849</v>
      </c>
      <c r="B22" s="12" t="s">
        <v>35</v>
      </c>
      <c r="C22" s="1">
        <v>45414</v>
      </c>
      <c r="D22" s="38">
        <v>3</v>
      </c>
      <c r="E22" s="12">
        <v>291460</v>
      </c>
      <c r="F22" s="12">
        <v>9007</v>
      </c>
      <c r="G22" s="12">
        <f>E22-F22</f>
        <v>282453</v>
      </c>
      <c r="H22" s="12">
        <f>G22*18%</f>
        <v>50841.54</v>
      </c>
      <c r="I22" s="12">
        <f>ROUND(G22+H22,)</f>
        <v>333295</v>
      </c>
      <c r="J22" s="12">
        <f>ROUND(G22*$J$6,)</f>
        <v>2825</v>
      </c>
      <c r="K22" s="12">
        <f>G22*5%</f>
        <v>14122.650000000001</v>
      </c>
      <c r="L22" s="12">
        <f>G22*10%</f>
        <v>28245.300000000003</v>
      </c>
      <c r="M22" s="12">
        <f>G22*10%</f>
        <v>28245.300000000003</v>
      </c>
      <c r="N22" s="72">
        <f>H22</f>
        <v>50841.54</v>
      </c>
      <c r="O22" s="12">
        <v>83664</v>
      </c>
      <c r="P22" s="12">
        <f>ROUND(I22-SUM(J22:O22),)</f>
        <v>125351</v>
      </c>
      <c r="Q22" s="24"/>
      <c r="R22" s="12"/>
      <c r="S22" s="12">
        <v>77967</v>
      </c>
      <c r="T22" s="12"/>
      <c r="U22" s="12">
        <v>77967</v>
      </c>
      <c r="V22" s="44" t="s">
        <v>44</v>
      </c>
      <c r="W22" s="50"/>
    </row>
    <row r="23" spans="1:60" ht="24.9" customHeight="1" x14ac:dyDescent="0.3">
      <c r="A23" s="50">
        <v>52849</v>
      </c>
      <c r="B23" s="12" t="s">
        <v>35</v>
      </c>
      <c r="C23" s="1">
        <v>45457</v>
      </c>
      <c r="D23" s="38">
        <v>4</v>
      </c>
      <c r="E23" s="12">
        <v>953948</v>
      </c>
      <c r="F23" s="12">
        <v>940531</v>
      </c>
      <c r="G23" s="12">
        <f>E23-F23</f>
        <v>13417</v>
      </c>
      <c r="H23" s="12">
        <f>G23*18%</f>
        <v>2415.06</v>
      </c>
      <c r="I23" s="12">
        <f>ROUND(G23+H23,)</f>
        <v>15832</v>
      </c>
      <c r="J23" s="12">
        <f>ROUND(G23*$J$6,)</f>
        <v>134</v>
      </c>
      <c r="K23" s="12">
        <f>G23*5%</f>
        <v>670.85</v>
      </c>
      <c r="L23" s="12">
        <f>G23*10%</f>
        <v>1341.7</v>
      </c>
      <c r="M23" s="12">
        <f>G23*10%</f>
        <v>1341.7</v>
      </c>
      <c r="N23" s="72">
        <f>H23</f>
        <v>2415.06</v>
      </c>
      <c r="O23" s="12"/>
      <c r="P23" s="12">
        <f>ROUND(I23-SUM(J23:O23),)</f>
        <v>9929</v>
      </c>
      <c r="Q23" s="24"/>
      <c r="R23" s="12"/>
      <c r="S23" s="12"/>
      <c r="T23" s="12"/>
      <c r="U23" s="12">
        <v>26350</v>
      </c>
      <c r="V23" s="44" t="s">
        <v>75</v>
      </c>
      <c r="W23" s="50"/>
    </row>
    <row r="24" spans="1:60" ht="24.9" customHeight="1" x14ac:dyDescent="0.3">
      <c r="A24" s="50">
        <v>52849</v>
      </c>
      <c r="B24" s="12" t="s">
        <v>23</v>
      </c>
      <c r="C24" s="1">
        <v>45414</v>
      </c>
      <c r="D24" s="38">
        <v>3</v>
      </c>
      <c r="E24" s="12">
        <f>N22</f>
        <v>50841.54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72">
        <f>E24</f>
        <v>50841.54</v>
      </c>
      <c r="Q24" s="24"/>
      <c r="R24" s="12"/>
      <c r="S24" s="12"/>
      <c r="T24" s="12"/>
      <c r="U24" s="12"/>
      <c r="V24" s="44"/>
      <c r="W24" s="50"/>
    </row>
    <row r="25" spans="1:60" ht="24.9" customHeight="1" x14ac:dyDescent="0.3">
      <c r="A25" s="50">
        <v>52849</v>
      </c>
      <c r="B25" s="12" t="s">
        <v>23</v>
      </c>
      <c r="C25" s="1">
        <v>45457</v>
      </c>
      <c r="D25" s="38">
        <v>4</v>
      </c>
      <c r="E25" s="12">
        <f>N23</f>
        <v>2415.06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72">
        <f>E25</f>
        <v>2415.06</v>
      </c>
      <c r="Q25" s="24"/>
      <c r="R25" s="12"/>
      <c r="S25" s="12"/>
      <c r="T25" s="12"/>
      <c r="U25" s="12"/>
      <c r="V25" s="44"/>
      <c r="W25" s="50"/>
    </row>
    <row r="26" spans="1:60" ht="24.9" customHeight="1" x14ac:dyDescent="0.3">
      <c r="A26" s="50">
        <v>52849</v>
      </c>
      <c r="B26" s="12"/>
      <c r="C26" s="12"/>
      <c r="D26" s="3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24"/>
      <c r="R26" s="12"/>
      <c r="S26" s="12"/>
      <c r="T26" s="12"/>
      <c r="U26" s="12"/>
      <c r="V26" s="44"/>
      <c r="W26" s="52"/>
    </row>
    <row r="27" spans="1:60" s="18" customFormat="1" ht="24.9" customHeight="1" x14ac:dyDescent="0.3">
      <c r="A27" s="26"/>
      <c r="B27" s="19"/>
      <c r="C27" s="19"/>
      <c r="D27" s="3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2">
        <f>A28</f>
        <v>56697</v>
      </c>
      <c r="R27" s="19"/>
      <c r="S27" s="19"/>
      <c r="T27" s="19"/>
      <c r="U27" s="19"/>
      <c r="V27" s="45"/>
      <c r="W27" s="69">
        <f>SUM(P18:P26,0)-SUM(U18:U26,0)</f>
        <v>63187.600000000093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ht="24.9" customHeight="1" x14ac:dyDescent="0.3">
      <c r="A28" s="50">
        <v>56697</v>
      </c>
      <c r="B28" s="12" t="s">
        <v>105</v>
      </c>
      <c r="C28" s="27">
        <v>45027</v>
      </c>
      <c r="D28" s="38">
        <v>1</v>
      </c>
      <c r="E28" s="12">
        <v>839876</v>
      </c>
      <c r="F28" s="12">
        <v>81063</v>
      </c>
      <c r="G28" s="12">
        <f>E28-F28</f>
        <v>758813</v>
      </c>
      <c r="H28" s="12">
        <f>G28*18%</f>
        <v>136586.34</v>
      </c>
      <c r="I28" s="12">
        <f>G28+H28</f>
        <v>895399.34</v>
      </c>
      <c r="J28" s="12">
        <f>G28*1%</f>
        <v>7588.13</v>
      </c>
      <c r="K28" s="12">
        <f>G28*5%</f>
        <v>37940.65</v>
      </c>
      <c r="L28" s="12">
        <f>G28*10%</f>
        <v>75881.3</v>
      </c>
      <c r="M28" s="12">
        <f>G28*10%</f>
        <v>75881.3</v>
      </c>
      <c r="N28" s="72">
        <f>G28*18%</f>
        <v>136586.34</v>
      </c>
      <c r="O28" s="12">
        <v>103207</v>
      </c>
      <c r="P28" s="12">
        <f>I28-J28-K28-L28-M28-N28-O28</f>
        <v>458314.61999999988</v>
      </c>
      <c r="Q28" s="24"/>
      <c r="R28" s="12"/>
      <c r="S28" s="12"/>
      <c r="T28" s="12"/>
      <c r="U28" s="12">
        <v>297000</v>
      </c>
      <c r="V28" s="44" t="s">
        <v>47</v>
      </c>
      <c r="W28" s="50"/>
    </row>
    <row r="29" spans="1:60" ht="24.9" customHeight="1" x14ac:dyDescent="0.3">
      <c r="A29" s="50">
        <v>56697</v>
      </c>
      <c r="B29" s="12" t="s">
        <v>105</v>
      </c>
      <c r="C29" s="27">
        <v>45081</v>
      </c>
      <c r="D29" s="38">
        <v>3</v>
      </c>
      <c r="E29" s="12">
        <v>355512</v>
      </c>
      <c r="F29" s="12">
        <v>139521.75</v>
      </c>
      <c r="G29" s="12">
        <f>E29-F29</f>
        <v>215990.25</v>
      </c>
      <c r="H29" s="12">
        <f>G29*18%</f>
        <v>38878.244999999995</v>
      </c>
      <c r="I29" s="12">
        <f>G29+H29</f>
        <v>254868.495</v>
      </c>
      <c r="J29" s="12">
        <f>G29*1%</f>
        <v>2159.9025000000001</v>
      </c>
      <c r="K29" s="12">
        <f>G29*5%</f>
        <v>10799.512500000001</v>
      </c>
      <c r="L29" s="12">
        <f>G29*10%</f>
        <v>21599.025000000001</v>
      </c>
      <c r="M29" s="12">
        <f>G29*10%</f>
        <v>21599.025000000001</v>
      </c>
      <c r="N29" s="72">
        <f>G29*18%</f>
        <v>38878.244999999995</v>
      </c>
      <c r="O29" s="12"/>
      <c r="P29" s="12">
        <f>I29-J29-K29-L29-M29-N29</f>
        <v>159832.785</v>
      </c>
      <c r="Q29" s="24"/>
      <c r="R29" s="12"/>
      <c r="S29" s="12"/>
      <c r="T29" s="12"/>
      <c r="U29" s="12">
        <v>161314</v>
      </c>
      <c r="V29" s="44" t="s">
        <v>48</v>
      </c>
      <c r="W29" s="50"/>
    </row>
    <row r="30" spans="1:60" ht="24.9" customHeight="1" x14ac:dyDescent="0.3">
      <c r="A30" s="50">
        <v>56697</v>
      </c>
      <c r="B30" s="12" t="s">
        <v>23</v>
      </c>
      <c r="C30" s="27"/>
      <c r="D30" s="38">
        <v>1</v>
      </c>
      <c r="E30" s="12">
        <f>N28</f>
        <v>136586.34</v>
      </c>
      <c r="F30" s="12">
        <v>0</v>
      </c>
      <c r="G30" s="12"/>
      <c r="H30" s="12"/>
      <c r="I30" s="12"/>
      <c r="J30" s="12">
        <v>0</v>
      </c>
      <c r="K30" s="12"/>
      <c r="L30" s="12"/>
      <c r="M30" s="12"/>
      <c r="N30" s="12"/>
      <c r="O30" s="12"/>
      <c r="P30" s="72">
        <f>E30</f>
        <v>136586.34</v>
      </c>
      <c r="Q30" s="24"/>
      <c r="R30" s="12"/>
      <c r="S30" s="12"/>
      <c r="T30" s="12"/>
      <c r="U30" s="12">
        <v>99000</v>
      </c>
      <c r="V30" s="44" t="s">
        <v>49</v>
      </c>
      <c r="W30" s="50"/>
    </row>
    <row r="31" spans="1:60" ht="24.9" customHeight="1" x14ac:dyDescent="0.3">
      <c r="A31" s="50">
        <v>56697</v>
      </c>
      <c r="B31" s="12" t="s">
        <v>23</v>
      </c>
      <c r="C31" s="27"/>
      <c r="D31" s="38">
        <v>3</v>
      </c>
      <c r="E31" s="12">
        <f>N29</f>
        <v>38878.244999999995</v>
      </c>
      <c r="F31" s="12">
        <v>0</v>
      </c>
      <c r="G31" s="12"/>
      <c r="H31" s="12"/>
      <c r="I31" s="12"/>
      <c r="J31" s="12">
        <v>0</v>
      </c>
      <c r="K31" s="12">
        <v>0</v>
      </c>
      <c r="L31" s="12"/>
      <c r="M31" s="12"/>
      <c r="N31" s="12">
        <v>0</v>
      </c>
      <c r="O31" s="12"/>
      <c r="P31" s="72">
        <f>E31</f>
        <v>38878.244999999995</v>
      </c>
      <c r="Q31" s="24"/>
      <c r="R31" s="12"/>
      <c r="S31" s="12"/>
      <c r="T31" s="12"/>
      <c r="U31" s="12">
        <v>60832</v>
      </c>
      <c r="V31" s="44" t="s">
        <v>50</v>
      </c>
      <c r="W31" s="50"/>
    </row>
    <row r="32" spans="1:60" s="4" customFormat="1" ht="24.9" customHeight="1" x14ac:dyDescent="0.3">
      <c r="A32" s="50">
        <v>56697</v>
      </c>
      <c r="B32" s="12" t="s">
        <v>105</v>
      </c>
      <c r="C32" s="40">
        <v>45406</v>
      </c>
      <c r="D32" s="39">
        <v>1</v>
      </c>
      <c r="E32" s="28">
        <v>850837</v>
      </c>
      <c r="F32" s="28">
        <v>1</v>
      </c>
      <c r="G32" s="12">
        <f>E32-F32</f>
        <v>850836</v>
      </c>
      <c r="H32" s="12">
        <f>G32*18%</f>
        <v>153150.47999999998</v>
      </c>
      <c r="I32" s="12">
        <f>G32+H32</f>
        <v>1003986.48</v>
      </c>
      <c r="J32" s="12">
        <f>G32*1%</f>
        <v>8508.36</v>
      </c>
      <c r="K32" s="12">
        <f>G32*5%</f>
        <v>42541.8</v>
      </c>
      <c r="L32" s="12">
        <f>G32*10%</f>
        <v>85083.6</v>
      </c>
      <c r="M32" s="12">
        <f>G32*10%</f>
        <v>85083.6</v>
      </c>
      <c r="N32" s="72">
        <f>G32*18%</f>
        <v>153150.47999999998</v>
      </c>
      <c r="O32" s="12"/>
      <c r="P32" s="12">
        <f>I32-J32-K32-L32-M32-N32</f>
        <v>629618.64</v>
      </c>
      <c r="Q32" s="29"/>
      <c r="R32" s="28"/>
      <c r="S32" s="28"/>
      <c r="T32" s="28"/>
      <c r="U32" s="28">
        <v>175464</v>
      </c>
      <c r="V32" s="44" t="s">
        <v>51</v>
      </c>
      <c r="W32" s="25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s="4" customFormat="1" ht="24.9" customHeight="1" x14ac:dyDescent="0.3">
      <c r="A33" s="50">
        <v>56697</v>
      </c>
      <c r="B33" s="12" t="s">
        <v>23</v>
      </c>
      <c r="C33" s="28"/>
      <c r="D33" s="39">
        <v>1</v>
      </c>
      <c r="E33" s="28">
        <f>N32</f>
        <v>153150.47999999998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72">
        <f>E33</f>
        <v>153150.47999999998</v>
      </c>
      <c r="Q33" s="29"/>
      <c r="R33" s="28"/>
      <c r="S33" s="28"/>
      <c r="T33" s="28"/>
      <c r="U33" s="28">
        <v>49500</v>
      </c>
      <c r="V33" s="44" t="s">
        <v>64</v>
      </c>
      <c r="W33" s="25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s="4" customFormat="1" ht="24.9" customHeight="1" x14ac:dyDescent="0.3">
      <c r="A34" s="50">
        <v>56697</v>
      </c>
      <c r="B34" s="12" t="s">
        <v>105</v>
      </c>
      <c r="C34" s="40">
        <v>45682</v>
      </c>
      <c r="D34" s="39">
        <v>6</v>
      </c>
      <c r="E34" s="28">
        <v>477184</v>
      </c>
      <c r="F34" s="28">
        <v>70456</v>
      </c>
      <c r="G34" s="12">
        <f>E34-F34</f>
        <v>406728</v>
      </c>
      <c r="H34" s="12">
        <f>G34*18%</f>
        <v>73211.039999999994</v>
      </c>
      <c r="I34" s="12">
        <f>G34+H34</f>
        <v>479939.04</v>
      </c>
      <c r="J34" s="12">
        <f>G34*1%</f>
        <v>4067.28</v>
      </c>
      <c r="K34" s="12">
        <f>G34*5%</f>
        <v>20336.400000000001</v>
      </c>
      <c r="L34" s="12">
        <f>G34*10%</f>
        <v>40672.800000000003</v>
      </c>
      <c r="M34" s="12">
        <f>G34*10%</f>
        <v>40672.800000000003</v>
      </c>
      <c r="N34" s="72">
        <f>G34*18%</f>
        <v>73211.039999999994</v>
      </c>
      <c r="O34" s="12">
        <v>2682</v>
      </c>
      <c r="P34" s="12">
        <f>I34-J34-K34-L34-M34-N34-O34</f>
        <v>298296.71999999997</v>
      </c>
      <c r="Q34" s="29"/>
      <c r="R34" s="28"/>
      <c r="S34" s="28"/>
      <c r="T34" s="28"/>
      <c r="U34" s="28">
        <v>300000</v>
      </c>
      <c r="V34" s="44" t="s">
        <v>74</v>
      </c>
      <c r="W34" s="52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s="4" customFormat="1" ht="24.9" customHeight="1" x14ac:dyDescent="0.3">
      <c r="A35" s="50">
        <v>56697</v>
      </c>
      <c r="B35" s="12" t="s">
        <v>23</v>
      </c>
      <c r="C35" s="28"/>
      <c r="D35" s="39">
        <v>6</v>
      </c>
      <c r="E35" s="28">
        <f>N34</f>
        <v>73211.039999999994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72">
        <f>E35</f>
        <v>73211.039999999994</v>
      </c>
      <c r="Q35" s="29"/>
      <c r="R35" s="28"/>
      <c r="S35" s="28"/>
      <c r="T35" s="28"/>
      <c r="U35" s="28">
        <v>153150</v>
      </c>
      <c r="V35" s="44" t="s">
        <v>76</v>
      </c>
      <c r="W35" s="52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s="4" customFormat="1" ht="24.9" customHeight="1" x14ac:dyDescent="0.3">
      <c r="A36" s="50">
        <v>56697</v>
      </c>
      <c r="B36" s="12"/>
      <c r="C36" s="40"/>
      <c r="D36" s="39"/>
      <c r="E36" s="28"/>
      <c r="F36" s="2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29"/>
      <c r="R36" s="28"/>
      <c r="S36" s="28"/>
      <c r="T36" s="28"/>
      <c r="U36" s="28">
        <v>150000</v>
      </c>
      <c r="V36" s="44" t="s">
        <v>77</v>
      </c>
      <c r="W36" s="52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s="4" customFormat="1" ht="24.9" customHeight="1" x14ac:dyDescent="0.3">
      <c r="A37" s="50">
        <v>56697</v>
      </c>
      <c r="B37" s="12"/>
      <c r="C37" s="40"/>
      <c r="D37" s="39"/>
      <c r="E37" s="28"/>
      <c r="F37" s="2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29"/>
      <c r="R37" s="28"/>
      <c r="S37" s="28"/>
      <c r="T37" s="28"/>
      <c r="U37" s="28">
        <v>73211</v>
      </c>
      <c r="V37" s="44" t="s">
        <v>78</v>
      </c>
      <c r="W37" s="52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s="4" customFormat="1" ht="24.9" customHeight="1" x14ac:dyDescent="0.3">
      <c r="A38" s="50">
        <v>56697</v>
      </c>
      <c r="B38" s="12"/>
      <c r="C38" s="40"/>
      <c r="D38" s="39"/>
      <c r="E38" s="28"/>
      <c r="F38" s="28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29"/>
      <c r="R38" s="28"/>
      <c r="S38" s="28"/>
      <c r="T38" s="28"/>
      <c r="U38" s="28">
        <v>250000</v>
      </c>
      <c r="V38" s="44" t="s">
        <v>80</v>
      </c>
      <c r="W38" s="52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s="18" customFormat="1" ht="24.9" customHeight="1" x14ac:dyDescent="0.3">
      <c r="A39" s="26"/>
      <c r="B39" s="19"/>
      <c r="C39" s="19"/>
      <c r="D39" s="3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2">
        <f>A40</f>
        <v>57951</v>
      </c>
      <c r="R39" s="19"/>
      <c r="S39" s="19"/>
      <c r="T39" s="19"/>
      <c r="U39" s="19"/>
      <c r="V39" s="45"/>
      <c r="W39" s="69">
        <f>SUM(P28:P38,0)-SUM(U28:U38,0)</f>
        <v>178417.86999999988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ht="24.9" customHeight="1" x14ac:dyDescent="0.3">
      <c r="A40" s="50">
        <v>57951</v>
      </c>
      <c r="B40" s="23" t="s">
        <v>52</v>
      </c>
      <c r="C40" s="1">
        <v>45091</v>
      </c>
      <c r="D40" s="32">
        <v>2</v>
      </c>
      <c r="E40" s="12">
        <v>551925</v>
      </c>
      <c r="F40" s="12">
        <v>190498</v>
      </c>
      <c r="G40" s="12">
        <f>E40-F40</f>
        <v>361427</v>
      </c>
      <c r="H40" s="12">
        <f>G40*18%</f>
        <v>65056.86</v>
      </c>
      <c r="I40" s="12">
        <f>ROUND(G40+H40,)</f>
        <v>426484</v>
      </c>
      <c r="J40" s="12">
        <f>ROUND(G40*$J$6,)</f>
        <v>3614</v>
      </c>
      <c r="K40" s="12">
        <f>G40*5%</f>
        <v>18071.350000000002</v>
      </c>
      <c r="L40" s="12">
        <f>G40*10%</f>
        <v>36142.700000000004</v>
      </c>
      <c r="M40" s="12">
        <f>G40*10%</f>
        <v>36142.700000000004</v>
      </c>
      <c r="N40" s="72">
        <f>H40</f>
        <v>65056.86</v>
      </c>
      <c r="O40" s="12">
        <v>24819</v>
      </c>
      <c r="P40" s="12">
        <f>I40-J40-K40-L40-M40-N40-O40</f>
        <v>242637.39</v>
      </c>
      <c r="Q40" s="24"/>
      <c r="R40" s="12" t="s">
        <v>53</v>
      </c>
      <c r="S40" s="12">
        <v>242637</v>
      </c>
      <c r="T40" s="12"/>
      <c r="U40" s="12">
        <f t="shared" ref="U40:U41" si="1">S40-T40</f>
        <v>242637</v>
      </c>
      <c r="V40" s="44" t="s">
        <v>55</v>
      </c>
      <c r="W40" s="50"/>
    </row>
    <row r="41" spans="1:60" ht="24.9" customHeight="1" x14ac:dyDescent="0.3">
      <c r="A41" s="50">
        <v>57951</v>
      </c>
      <c r="B41" s="23" t="s">
        <v>52</v>
      </c>
      <c r="C41" s="1">
        <v>45140</v>
      </c>
      <c r="D41" s="32">
        <v>4</v>
      </c>
      <c r="E41" s="12">
        <v>604078.62</v>
      </c>
      <c r="F41" s="12">
        <v>130601.5</v>
      </c>
      <c r="G41" s="12">
        <f>E41-F41</f>
        <v>473477.12</v>
      </c>
      <c r="H41" s="12">
        <f>G41*18%</f>
        <v>85225.881599999993</v>
      </c>
      <c r="I41" s="12">
        <f>ROUND(G41+H41,)</f>
        <v>558703</v>
      </c>
      <c r="J41" s="12">
        <f>ROUND(G41*$J$6,)</f>
        <v>4735</v>
      </c>
      <c r="K41" s="12">
        <f>G41*5%</f>
        <v>23673.856</v>
      </c>
      <c r="L41" s="12">
        <f>G41*10%</f>
        <v>47347.712</v>
      </c>
      <c r="M41" s="12">
        <f>G41*10%</f>
        <v>47347.712</v>
      </c>
      <c r="N41" s="72">
        <f>H41</f>
        <v>85225.881599999993</v>
      </c>
      <c r="O41" s="12">
        <v>36737</v>
      </c>
      <c r="P41" s="12">
        <f>I41-J41-K41-L41-M41-N41-O41</f>
        <v>313635.83840000001</v>
      </c>
      <c r="Q41" s="24"/>
      <c r="R41" s="12" t="s">
        <v>54</v>
      </c>
      <c r="S41" s="12">
        <v>313633</v>
      </c>
      <c r="T41" s="12"/>
      <c r="U41" s="12">
        <f t="shared" si="1"/>
        <v>313633</v>
      </c>
      <c r="V41" s="44" t="s">
        <v>56</v>
      </c>
      <c r="W41" s="50"/>
    </row>
    <row r="42" spans="1:60" ht="24.9" customHeight="1" x14ac:dyDescent="0.3">
      <c r="A42" s="50">
        <v>57951</v>
      </c>
      <c r="B42" s="23" t="s">
        <v>52</v>
      </c>
      <c r="C42" s="1">
        <v>45225</v>
      </c>
      <c r="D42" s="32">
        <v>5</v>
      </c>
      <c r="E42" s="12">
        <v>489735</v>
      </c>
      <c r="F42" s="12">
        <v>130601.5</v>
      </c>
      <c r="G42" s="12">
        <f>E42-F42</f>
        <v>359133.5</v>
      </c>
      <c r="H42" s="12">
        <f>G42*18%</f>
        <v>64644.03</v>
      </c>
      <c r="I42" s="12">
        <f>ROUND(G42+H42,)</f>
        <v>423778</v>
      </c>
      <c r="J42" s="12">
        <f>ROUND(G42*$J$6,)</f>
        <v>3591</v>
      </c>
      <c r="K42" s="12">
        <f>G42*5%</f>
        <v>17956.674999999999</v>
      </c>
      <c r="L42" s="12">
        <f>G42*10%</f>
        <v>35913.35</v>
      </c>
      <c r="M42" s="12">
        <f>G42*10%</f>
        <v>35913.35</v>
      </c>
      <c r="N42" s="72">
        <f>H42</f>
        <v>64644.03</v>
      </c>
      <c r="O42" s="12">
        <v>21754</v>
      </c>
      <c r="P42" s="12">
        <f>I42-J42-K42-L42-M42-N42-O42</f>
        <v>244005.59500000009</v>
      </c>
      <c r="Q42" s="24"/>
      <c r="R42" s="12" t="s">
        <v>63</v>
      </c>
      <c r="S42" s="12">
        <v>244006</v>
      </c>
      <c r="T42" s="12"/>
      <c r="U42" s="12">
        <f>S42-T42</f>
        <v>244006</v>
      </c>
      <c r="V42" s="44" t="s">
        <v>62</v>
      </c>
      <c r="W42" s="50"/>
    </row>
    <row r="43" spans="1:60" ht="24.9" customHeight="1" x14ac:dyDescent="0.3">
      <c r="A43" s="50">
        <v>57951</v>
      </c>
      <c r="B43" s="23" t="s">
        <v>69</v>
      </c>
      <c r="C43" s="1"/>
      <c r="D43" s="32">
        <v>2</v>
      </c>
      <c r="E43" s="12">
        <f>N40</f>
        <v>65056.86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72">
        <f>E43</f>
        <v>65056.86</v>
      </c>
      <c r="Q43" s="24"/>
      <c r="R43" s="12"/>
      <c r="S43" s="12"/>
      <c r="T43" s="12"/>
      <c r="U43" s="12">
        <v>149870</v>
      </c>
      <c r="V43" s="44" t="s">
        <v>68</v>
      </c>
      <c r="W43" s="52"/>
    </row>
    <row r="44" spans="1:60" ht="24.9" customHeight="1" x14ac:dyDescent="0.3">
      <c r="A44" s="50">
        <v>57951</v>
      </c>
      <c r="B44" s="23" t="s">
        <v>69</v>
      </c>
      <c r="C44" s="1"/>
      <c r="D44" s="32" t="s">
        <v>70</v>
      </c>
      <c r="E44" s="12">
        <f>N41+N42</f>
        <v>149869.91159999999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72">
        <f>E44</f>
        <v>149869.91159999999</v>
      </c>
      <c r="Q44" s="24"/>
      <c r="R44" s="12"/>
      <c r="S44" s="12"/>
      <c r="T44" s="12"/>
      <c r="U44" s="12">
        <v>65057</v>
      </c>
      <c r="V44" s="44" t="s">
        <v>72</v>
      </c>
      <c r="W44" s="52"/>
    </row>
    <row r="45" spans="1:60" ht="24.9" customHeight="1" x14ac:dyDescent="0.2">
      <c r="A45" s="50">
        <v>57951</v>
      </c>
      <c r="B45" s="23" t="s">
        <v>52</v>
      </c>
      <c r="C45" s="1">
        <v>45723</v>
      </c>
      <c r="D45" s="32">
        <v>8</v>
      </c>
      <c r="E45" s="12">
        <v>264607</v>
      </c>
      <c r="F45" s="12">
        <v>17626</v>
      </c>
      <c r="G45" s="12">
        <f>E45-F45</f>
        <v>246981</v>
      </c>
      <c r="H45" s="12">
        <f>G45*18%</f>
        <v>44456.58</v>
      </c>
      <c r="I45" s="12">
        <f>ROUND(G45+H45,)</f>
        <v>291438</v>
      </c>
      <c r="J45" s="12">
        <f>ROUND(G45*$J$6,)</f>
        <v>2470</v>
      </c>
      <c r="K45" s="12">
        <f>G45*5%</f>
        <v>12349.050000000001</v>
      </c>
      <c r="L45" s="12">
        <f>G45*10%</f>
        <v>24698.100000000002</v>
      </c>
      <c r="M45" s="12">
        <f>G45*10%</f>
        <v>24698.100000000002</v>
      </c>
      <c r="N45" s="72">
        <f>H45</f>
        <v>44456.58</v>
      </c>
      <c r="O45" s="12">
        <v>1764</v>
      </c>
      <c r="P45" s="12">
        <f>I45-J45-K45-L45-M45-N45-O45</f>
        <v>181002.16999999998</v>
      </c>
      <c r="Q45" s="24"/>
      <c r="R45" s="12"/>
      <c r="S45" s="12"/>
      <c r="T45" s="12"/>
      <c r="U45" s="12"/>
      <c r="V45" s="46"/>
      <c r="W45" s="52"/>
    </row>
    <row r="46" spans="1:60" ht="24.9" customHeight="1" x14ac:dyDescent="0.2">
      <c r="A46" s="50">
        <v>57951</v>
      </c>
      <c r="B46" s="23" t="s">
        <v>69</v>
      </c>
      <c r="C46" s="1"/>
      <c r="D46" s="32">
        <v>8</v>
      </c>
      <c r="E46" s="12">
        <f>N45</f>
        <v>44456.58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72">
        <f>E46</f>
        <v>44456.58</v>
      </c>
      <c r="Q46" s="24"/>
      <c r="R46" s="12"/>
      <c r="S46" s="12"/>
      <c r="T46" s="12"/>
      <c r="U46" s="12"/>
      <c r="V46" s="46"/>
      <c r="W46" s="52"/>
    </row>
    <row r="47" spans="1:60" s="18" customFormat="1" ht="24.9" customHeight="1" x14ac:dyDescent="0.3">
      <c r="A47" s="26"/>
      <c r="B47" s="19"/>
      <c r="C47" s="19"/>
      <c r="D47" s="3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2">
        <f>A48</f>
        <v>59090</v>
      </c>
      <c r="R47" s="19"/>
      <c r="S47" s="19"/>
      <c r="T47" s="19"/>
      <c r="U47" s="19"/>
      <c r="V47" s="45"/>
      <c r="W47" s="69">
        <f>SUM(P40:P46,0)-SUM(U40:U46,0)</f>
        <v>225461.3450000002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ht="24.9" customHeight="1" x14ac:dyDescent="0.3">
      <c r="A48" s="50">
        <v>59090</v>
      </c>
      <c r="B48" s="12" t="s">
        <v>106</v>
      </c>
      <c r="C48" s="1">
        <v>45225</v>
      </c>
      <c r="D48" s="38">
        <v>6</v>
      </c>
      <c r="E48" s="12">
        <v>515789</v>
      </c>
      <c r="F48" s="12">
        <v>139609</v>
      </c>
      <c r="G48" s="12">
        <f>E48-F48</f>
        <v>376180</v>
      </c>
      <c r="H48" s="12">
        <f>G48*18%</f>
        <v>67712.399999999994</v>
      </c>
      <c r="I48" s="12">
        <f>G48+H48</f>
        <v>443892.4</v>
      </c>
      <c r="J48" s="12">
        <f>G48*1%</f>
        <v>3761.8</v>
      </c>
      <c r="K48" s="12">
        <f>G48*5%</f>
        <v>18809</v>
      </c>
      <c r="L48" s="12">
        <f>G48*10%</f>
        <v>37618</v>
      </c>
      <c r="M48" s="12">
        <f>G48*10%</f>
        <v>37618</v>
      </c>
      <c r="N48" s="72">
        <f>G48*18%</f>
        <v>67712.399999999994</v>
      </c>
      <c r="O48" s="12">
        <v>180937</v>
      </c>
      <c r="P48" s="30">
        <f>I48-J48-K48-L48-M48-N48-O48</f>
        <v>97436.20000000007</v>
      </c>
      <c r="Q48" s="24"/>
      <c r="R48" s="12" t="s">
        <v>60</v>
      </c>
      <c r="S48" s="12">
        <v>97439</v>
      </c>
      <c r="T48" s="12"/>
      <c r="U48" s="12">
        <f>S48-T48</f>
        <v>97439</v>
      </c>
      <c r="V48" s="44" t="s">
        <v>58</v>
      </c>
      <c r="W48" s="50"/>
    </row>
    <row r="49" spans="1:60" ht="24.9" customHeight="1" x14ac:dyDescent="0.3">
      <c r="A49" s="50">
        <v>59090</v>
      </c>
      <c r="B49" s="23" t="s">
        <v>69</v>
      </c>
      <c r="C49" s="1"/>
      <c r="D49" s="32">
        <v>6</v>
      </c>
      <c r="E49" s="12">
        <f>N48</f>
        <v>67712.399999999994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72">
        <f>E49</f>
        <v>67712.399999999994</v>
      </c>
      <c r="Q49" s="24"/>
      <c r="R49" s="12" t="s">
        <v>61</v>
      </c>
      <c r="S49" s="12">
        <v>150000</v>
      </c>
      <c r="T49" s="12">
        <f>S49*1%</f>
        <v>1500</v>
      </c>
      <c r="U49" s="12">
        <f>S49-T49</f>
        <v>148500</v>
      </c>
      <c r="V49" s="44" t="s">
        <v>59</v>
      </c>
      <c r="W49" s="52"/>
    </row>
    <row r="50" spans="1:60" ht="24.9" customHeight="1" x14ac:dyDescent="0.3">
      <c r="A50" s="50">
        <v>59090</v>
      </c>
      <c r="B50" s="12"/>
      <c r="C50" s="27"/>
      <c r="D50" s="3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30"/>
      <c r="Q50" s="24"/>
      <c r="R50" s="12"/>
      <c r="S50" s="12"/>
      <c r="T50" s="12"/>
      <c r="U50" s="12">
        <v>67713</v>
      </c>
      <c r="V50" s="44" t="s">
        <v>71</v>
      </c>
      <c r="W50" s="52"/>
    </row>
    <row r="51" spans="1:60" s="18" customFormat="1" ht="24.9" customHeight="1" x14ac:dyDescent="0.3">
      <c r="A51" s="26"/>
      <c r="B51" s="19"/>
      <c r="C51" s="19"/>
      <c r="D51" s="3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2">
        <f>A52</f>
        <v>60140</v>
      </c>
      <c r="R51" s="19"/>
      <c r="S51" s="19"/>
      <c r="T51" s="19"/>
      <c r="U51" s="19"/>
      <c r="V51" s="45"/>
      <c r="W51" s="69">
        <f>SUM(P48:P50,0)-SUM(U48:U50,0)</f>
        <v>-148503.39999999994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ht="24.9" customHeight="1" x14ac:dyDescent="0.3">
      <c r="A52" s="50">
        <v>60140</v>
      </c>
      <c r="B52" s="71" t="s">
        <v>107</v>
      </c>
      <c r="C52" s="1"/>
      <c r="D52" s="3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30"/>
      <c r="Q52" s="24"/>
      <c r="R52" s="12" t="s">
        <v>53</v>
      </c>
      <c r="S52" s="12">
        <v>100000</v>
      </c>
      <c r="T52" s="12">
        <f>S52*1%</f>
        <v>1000</v>
      </c>
      <c r="U52" s="12">
        <f>S52-T52</f>
        <v>99000</v>
      </c>
      <c r="V52" s="44" t="s">
        <v>57</v>
      </c>
      <c r="W52" s="50"/>
    </row>
    <row r="53" spans="1:60" ht="24.9" customHeight="1" x14ac:dyDescent="0.3">
      <c r="A53" s="50">
        <v>60140</v>
      </c>
      <c r="B53" s="23"/>
      <c r="C53" s="1"/>
      <c r="D53" s="3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24"/>
      <c r="R53" s="12"/>
      <c r="S53" s="12"/>
      <c r="T53" s="12"/>
      <c r="U53" s="12">
        <v>49500</v>
      </c>
      <c r="V53" s="70" t="s">
        <v>73</v>
      </c>
      <c r="W53" s="52"/>
    </row>
    <row r="54" spans="1:60" s="18" customFormat="1" ht="24.9" customHeight="1" x14ac:dyDescent="0.3">
      <c r="A54" s="26"/>
      <c r="B54" s="19"/>
      <c r="C54" s="19"/>
      <c r="D54" s="3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2"/>
      <c r="R54" s="19"/>
      <c r="S54" s="19"/>
      <c r="T54" s="19"/>
      <c r="U54" s="19"/>
      <c r="V54" s="45"/>
      <c r="W54" s="69">
        <f>SUM(P52:P53,0)-SUM(U52:U53,0)</f>
        <v>-148500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ht="24.9" customHeight="1" thickBot="1" x14ac:dyDescent="0.35">
      <c r="A55" s="63"/>
      <c r="B55" s="64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P55" s="65"/>
      <c r="Q55" s="66"/>
      <c r="R55" s="65"/>
      <c r="S55" s="65"/>
      <c r="T55" s="65"/>
      <c r="U55" s="65"/>
      <c r="V55" s="67"/>
      <c r="W55" s="63"/>
    </row>
    <row r="56" spans="1:60" ht="24.9" customHeight="1" x14ac:dyDescent="0.3">
      <c r="A56" s="49"/>
      <c r="B56" s="20"/>
      <c r="C56" s="20"/>
      <c r="D56" s="36"/>
      <c r="E56" s="20"/>
      <c r="F56" s="20"/>
      <c r="G56" s="20"/>
      <c r="H56" s="20"/>
      <c r="I56" s="20"/>
      <c r="J56" s="68">
        <f t="shared" ref="J56:O56" si="2">SUM(J8:J55)</f>
        <v>76020.034899999999</v>
      </c>
      <c r="K56" s="68">
        <f t="shared" si="2"/>
        <v>380098.53500000003</v>
      </c>
      <c r="L56" s="68">
        <f t="shared" si="2"/>
        <v>718124.57000000007</v>
      </c>
      <c r="M56" s="68">
        <f t="shared" si="2"/>
        <v>760198.07000000007</v>
      </c>
      <c r="N56" s="68">
        <f t="shared" si="2"/>
        <v>1368355.726</v>
      </c>
      <c r="O56" s="68">
        <f t="shared" si="2"/>
        <v>1095115</v>
      </c>
      <c r="P56" s="68">
        <f>SUM(P8:P55)</f>
        <v>5940777.5612000003</v>
      </c>
      <c r="Q56" s="20"/>
      <c r="R56" s="68" t="s">
        <v>4</v>
      </c>
      <c r="S56" s="20"/>
      <c r="T56" s="20"/>
      <c r="U56" s="68">
        <f>SUM(U6:U55)</f>
        <v>6038193</v>
      </c>
      <c r="V56" s="43"/>
      <c r="W56" s="68">
        <f>SUM(W6:W55)</f>
        <v>-97415.438799999916</v>
      </c>
    </row>
    <row r="57" spans="1:60" ht="24.9" customHeight="1" x14ac:dyDescent="0.3">
      <c r="A57" s="50"/>
      <c r="B57" s="12"/>
      <c r="C57" s="12"/>
      <c r="D57" s="3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73"/>
      <c r="P57" s="12"/>
      <c r="Q57" s="12"/>
      <c r="R57" s="12"/>
      <c r="S57" s="12"/>
      <c r="T57" s="12"/>
      <c r="U57" s="12"/>
      <c r="V57" s="51"/>
      <c r="W57" s="50"/>
    </row>
    <row r="58" spans="1:60" ht="24.9" customHeight="1" thickBot="1" x14ac:dyDescent="0.35">
      <c r="A58" s="53"/>
      <c r="B58" s="13"/>
      <c r="C58" s="13"/>
      <c r="D58" s="5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55" t="s">
        <v>5</v>
      </c>
      <c r="S58" s="13"/>
      <c r="T58" s="13"/>
      <c r="U58" s="55">
        <f>P56-U56</f>
        <v>-97415.438799999654</v>
      </c>
      <c r="V58" s="47"/>
      <c r="W58" s="53"/>
    </row>
    <row r="61" spans="1:60" ht="24.9" customHeight="1" thickBot="1" x14ac:dyDescent="0.35"/>
    <row r="62" spans="1:60" ht="24.9" customHeight="1" thickBot="1" x14ac:dyDescent="0.35">
      <c r="K62" s="86" t="s">
        <v>8</v>
      </c>
      <c r="L62" s="87"/>
      <c r="M62" s="87"/>
      <c r="N62" s="88"/>
    </row>
    <row r="63" spans="1:60" ht="24.9" customHeight="1" thickBot="1" x14ac:dyDescent="0.35">
      <c r="K63" s="89" t="s">
        <v>81</v>
      </c>
      <c r="L63" s="90"/>
      <c r="M63" s="90"/>
      <c r="N63" s="91"/>
    </row>
    <row r="64" spans="1:60" ht="24.9" customHeight="1" thickBot="1" x14ac:dyDescent="0.55000000000000004">
      <c r="K64" s="89" t="s">
        <v>65</v>
      </c>
      <c r="L64" s="90"/>
      <c r="M64" s="92">
        <f>M56+K56+L56</f>
        <v>1858421.175</v>
      </c>
      <c r="N64" s="93"/>
    </row>
    <row r="65" spans="11:14" ht="24.9" customHeight="1" thickBot="1" x14ac:dyDescent="0.55000000000000004">
      <c r="K65" s="89" t="s">
        <v>66</v>
      </c>
      <c r="L65" s="90"/>
      <c r="M65" s="92">
        <f>U58</f>
        <v>-97415.438799999654</v>
      </c>
      <c r="N65" s="93"/>
    </row>
    <row r="66" spans="11:14" ht="24.9" customHeight="1" thickBot="1" x14ac:dyDescent="0.55000000000000004">
      <c r="K66" s="82" t="s">
        <v>67</v>
      </c>
      <c r="L66" s="83"/>
      <c r="M66" s="84">
        <f>N56-P53-P49-P43-P31-P30-P21-P20-P13-P12-P10-P44-P24-P25-P33-P35</f>
        <v>44456.703199999916</v>
      </c>
      <c r="N66" s="85"/>
    </row>
    <row r="67" spans="11:14" ht="24.9" customHeight="1" thickBot="1" x14ac:dyDescent="0.55000000000000004">
      <c r="K67" s="82" t="s">
        <v>79</v>
      </c>
      <c r="L67" s="83"/>
      <c r="M67" s="84">
        <f>O56</f>
        <v>1095115</v>
      </c>
      <c r="N67" s="85"/>
    </row>
  </sheetData>
  <mergeCells count="10">
    <mergeCell ref="K66:L66"/>
    <mergeCell ref="M66:N66"/>
    <mergeCell ref="K67:L67"/>
    <mergeCell ref="M67:N67"/>
    <mergeCell ref="K62:N62"/>
    <mergeCell ref="K63:N63"/>
    <mergeCell ref="K64:L64"/>
    <mergeCell ref="M64:N64"/>
    <mergeCell ref="K65:L65"/>
    <mergeCell ref="M65:N65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2"/>
  <sheetViews>
    <sheetView workbookViewId="0">
      <selection activeCell="F18" sqref="F18"/>
    </sheetView>
  </sheetViews>
  <sheetFormatPr defaultColWidth="9.109375" defaultRowHeight="14.4" x14ac:dyDescent="0.3"/>
  <cols>
    <col min="1" max="3" width="9.109375" style="4"/>
    <col min="4" max="4" width="12.33203125" style="4" bestFit="1" customWidth="1"/>
    <col min="5" max="16384" width="9.109375" style="4"/>
  </cols>
  <sheetData>
    <row r="3" spans="1:8" x14ac:dyDescent="0.3">
      <c r="B3" s="4" t="s">
        <v>12</v>
      </c>
    </row>
    <row r="4" spans="1:8" x14ac:dyDescent="0.3">
      <c r="B4" s="4" t="s">
        <v>8</v>
      </c>
    </row>
    <row r="5" spans="1:8" s="16" customFormat="1" ht="43.2" x14ac:dyDescent="0.3">
      <c r="A5" s="16" t="s">
        <v>10</v>
      </c>
      <c r="B5" s="16" t="s">
        <v>11</v>
      </c>
      <c r="C5" s="16" t="s">
        <v>13</v>
      </c>
      <c r="D5" s="16" t="s">
        <v>14</v>
      </c>
      <c r="F5" s="16" t="s">
        <v>15</v>
      </c>
      <c r="G5" s="16" t="s">
        <v>17</v>
      </c>
      <c r="H5" s="16" t="s">
        <v>18</v>
      </c>
    </row>
    <row r="6" spans="1:8" x14ac:dyDescent="0.3">
      <c r="D6" s="4" t="s">
        <v>19</v>
      </c>
      <c r="E6" s="4" t="s">
        <v>20</v>
      </c>
    </row>
    <row r="7" spans="1:8" x14ac:dyDescent="0.3">
      <c r="A7" s="4">
        <v>1</v>
      </c>
      <c r="B7" s="4">
        <v>63</v>
      </c>
      <c r="C7" s="4" t="s">
        <v>16</v>
      </c>
      <c r="D7" s="17">
        <v>2798.1</v>
      </c>
      <c r="E7" s="17"/>
      <c r="F7" s="17">
        <v>7222</v>
      </c>
      <c r="G7" s="17">
        <f>F7-D7-E7</f>
        <v>4423.8999999999996</v>
      </c>
    </row>
    <row r="8" spans="1:8" x14ac:dyDescent="0.3">
      <c r="A8" s="4">
        <f>A7+1</f>
        <v>2</v>
      </c>
      <c r="B8" s="4">
        <v>75</v>
      </c>
      <c r="C8" s="4" t="s">
        <v>16</v>
      </c>
      <c r="D8" s="17">
        <v>815.5</v>
      </c>
      <c r="E8" s="17"/>
      <c r="F8" s="17">
        <v>2350</v>
      </c>
      <c r="G8" s="17">
        <f t="shared" ref="G8:G12" si="0">F8-D8-E8</f>
        <v>1534.5</v>
      </c>
    </row>
    <row r="9" spans="1:8" x14ac:dyDescent="0.3">
      <c r="A9" s="4">
        <f>A8+1</f>
        <v>3</v>
      </c>
      <c r="B9" s="4">
        <v>90</v>
      </c>
      <c r="C9" s="4" t="s">
        <v>16</v>
      </c>
      <c r="D9" s="17">
        <v>1049</v>
      </c>
      <c r="E9" s="17"/>
      <c r="F9" s="17">
        <v>2000</v>
      </c>
      <c r="G9" s="17">
        <f t="shared" si="0"/>
        <v>951</v>
      </c>
    </row>
    <row r="10" spans="1:8" x14ac:dyDescent="0.3">
      <c r="A10" s="4">
        <f>A9+1</f>
        <v>4</v>
      </c>
      <c r="B10" s="4">
        <v>110</v>
      </c>
      <c r="C10" s="4" t="s">
        <v>16</v>
      </c>
      <c r="D10" s="17">
        <v>2110</v>
      </c>
      <c r="E10" s="17"/>
      <c r="F10" s="17">
        <v>2200</v>
      </c>
      <c r="G10" s="17">
        <f t="shared" si="0"/>
        <v>90</v>
      </c>
    </row>
    <row r="11" spans="1:8" x14ac:dyDescent="0.3">
      <c r="A11" s="4">
        <f>A10+1</f>
        <v>5</v>
      </c>
      <c r="B11" s="4">
        <v>160</v>
      </c>
      <c r="C11" s="4" t="s">
        <v>16</v>
      </c>
      <c r="D11" s="17">
        <v>1322.6</v>
      </c>
      <c r="E11" s="17"/>
      <c r="F11" s="17">
        <v>2208</v>
      </c>
      <c r="G11" s="17">
        <f t="shared" si="0"/>
        <v>885.40000000000009</v>
      </c>
    </row>
    <row r="12" spans="1:8" x14ac:dyDescent="0.3">
      <c r="A12" s="4">
        <f>A11+1</f>
        <v>6</v>
      </c>
      <c r="B12" s="4">
        <v>200</v>
      </c>
      <c r="C12" s="4" t="s">
        <v>16</v>
      </c>
      <c r="D12" s="17">
        <v>743.6</v>
      </c>
      <c r="E12" s="17"/>
      <c r="F12" s="17">
        <v>792</v>
      </c>
      <c r="G12" s="17">
        <f t="shared" si="0"/>
        <v>48.399999999999977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2025-05-30T06:14:42Z</dcterms:modified>
</cp:coreProperties>
</file>