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K25" i="1" s="1"/>
  <c r="R24" i="1"/>
  <c r="P28" i="1"/>
  <c r="N36" i="1" s="1"/>
  <c r="O28" i="1"/>
  <c r="M10" i="1"/>
  <c r="L10" i="1"/>
  <c r="K10" i="1"/>
  <c r="R21" i="1"/>
  <c r="G22" i="1"/>
  <c r="M22" i="1" s="1"/>
  <c r="H25" i="1" l="1"/>
  <c r="N25" i="1" s="1"/>
  <c r="E26" i="1" s="1"/>
  <c r="Q26" i="1" s="1"/>
  <c r="L25" i="1"/>
  <c r="I25" i="1"/>
  <c r="M25" i="1"/>
  <c r="J25" i="1"/>
  <c r="L22" i="1"/>
  <c r="H22" i="1"/>
  <c r="I22" i="1" s="1"/>
  <c r="J22" i="1"/>
  <c r="K22" i="1"/>
  <c r="V19" i="1"/>
  <c r="G12" i="1"/>
  <c r="J12" i="1" s="1"/>
  <c r="N11" i="1"/>
  <c r="U14" i="1"/>
  <c r="V14" i="1" s="1"/>
  <c r="U11" i="1"/>
  <c r="V9" i="1"/>
  <c r="V10" i="1"/>
  <c r="V13" i="1"/>
  <c r="G19" i="1"/>
  <c r="M19" i="1" s="1"/>
  <c r="R18" i="1"/>
  <c r="R7" i="1"/>
  <c r="H10" i="1"/>
  <c r="I10" i="1" s="1"/>
  <c r="Q25" i="1" l="1"/>
  <c r="X27" i="1" s="1"/>
  <c r="N22" i="1"/>
  <c r="H12" i="1"/>
  <c r="N12" i="1" s="1"/>
  <c r="E13" i="1" s="1"/>
  <c r="Q13" i="1" s="1"/>
  <c r="K12" i="1"/>
  <c r="L12" i="1"/>
  <c r="M12" i="1"/>
  <c r="N10" i="1"/>
  <c r="E11" i="1" s="1"/>
  <c r="G11" i="1" s="1"/>
  <c r="I11" i="1" s="1"/>
  <c r="Q11" i="1" s="1"/>
  <c r="H19" i="1"/>
  <c r="E20" i="1" s="1"/>
  <c r="Q20" i="1" s="1"/>
  <c r="L19" i="1"/>
  <c r="J19" i="1"/>
  <c r="K19" i="1"/>
  <c r="F44" i="1"/>
  <c r="F45" i="1" s="1"/>
  <c r="Q22" i="1" l="1"/>
  <c r="E23" i="1"/>
  <c r="Q23" i="1" s="1"/>
  <c r="I12" i="1"/>
  <c r="Q12" i="1" s="1"/>
  <c r="Q10" i="1"/>
  <c r="N19" i="1"/>
  <c r="I19" i="1"/>
  <c r="G8" i="1"/>
  <c r="L8" i="1" s="1"/>
  <c r="L28" i="1" s="1"/>
  <c r="X24" i="1" l="1"/>
  <c r="Q19" i="1"/>
  <c r="X21" i="1" s="1"/>
  <c r="J8" i="1"/>
  <c r="M8" i="1"/>
  <c r="M28" i="1" s="1"/>
  <c r="K8" i="1"/>
  <c r="K28" i="1" s="1"/>
  <c r="H8" i="1"/>
  <c r="U8" i="1"/>
  <c r="V8" i="1" s="1"/>
  <c r="V28" i="1" s="1"/>
  <c r="G9" i="1"/>
  <c r="N35" i="1" l="1"/>
  <c r="N8" i="1"/>
  <c r="I8" i="1"/>
  <c r="Q8" i="1" l="1"/>
  <c r="I9" i="1"/>
  <c r="N9" i="1"/>
  <c r="N28" i="1" s="1"/>
  <c r="Q9" i="1" l="1"/>
  <c r="Q28" i="1" s="1"/>
  <c r="N38" i="1" l="1"/>
  <c r="X18" i="1"/>
  <c r="X28" i="1" s="1"/>
  <c r="V30" i="1"/>
  <c r="N37" i="1" s="1"/>
  <c r="F30" i="1"/>
</calcChain>
</file>

<file path=xl/sharedStrings.xml><?xml version="1.0" encoding="utf-8"?>
<sst xmlns="http://schemas.openxmlformats.org/spreadsheetml/2006/main" count="82" uniqueCount="72">
  <si>
    <t>Amount</t>
  </si>
  <si>
    <t>PAYMENT NOTE No.</t>
  </si>
  <si>
    <t>UTR</t>
  </si>
  <si>
    <t>Pipe Laying work</t>
  </si>
  <si>
    <t>Hold Amount for quantity more than DPR</t>
  </si>
  <si>
    <t>Total Paid Amount Rs. -</t>
  </si>
  <si>
    <t>Balance Payable Amount Rs. -</t>
  </si>
  <si>
    <t>ITEM</t>
  </si>
  <si>
    <t>EXCESS</t>
  </si>
  <si>
    <t>RATE</t>
  </si>
  <si>
    <t>AMOUNT</t>
  </si>
  <si>
    <t>Dism IL</t>
  </si>
  <si>
    <t>To be hold</t>
  </si>
  <si>
    <t>Aadhar Card recovery</t>
  </si>
  <si>
    <t>Sukertari village Pipe line work</t>
  </si>
  <si>
    <t>12-06-2023 NEFT/AXISP00397819349/RIUP23/617/S S K ENTERPRISE 99000.00</t>
  </si>
  <si>
    <t>0RIUP23/617</t>
  </si>
  <si>
    <t>31-08-2023 NEFT/AXISP00419716219/RIUP23/1786/S S K ENTERPRISES/HDFC0000381 126073.00</t>
  </si>
  <si>
    <t>RIUP23/1786</t>
  </si>
  <si>
    <t>25-10-2023 NEFT/AXISP00436928371/RIUP23/2848/S S K ENTERPRISES/HDFC0000381 54512.00</t>
  </si>
  <si>
    <t>09-11-2023 NEFT/AXISP00442779669/RIUP23/3210/S S K ENTERPRISES/HDFC0000381 99000.00</t>
  </si>
  <si>
    <t>RIUP23/3210</t>
  </si>
  <si>
    <t>RIUP23/2848</t>
  </si>
  <si>
    <t>GST RELEASE NOTE</t>
  </si>
  <si>
    <t>SSK Enterprises</t>
  </si>
  <si>
    <t>22-12-2023 NEFT/AXISP00454808108/RIUP23/3813/S S K ENTERPRISES/HDFC0000381 43386.00</t>
  </si>
  <si>
    <t>22-12-2023 NEFT/AXISP00454902512/RIUP23/3915/S S K ENTERPRISES/HDFC0000381 148500.00</t>
  </si>
  <si>
    <t>RIUP23/3813</t>
  </si>
  <si>
    <t>RIUP23/3915</t>
  </si>
  <si>
    <t>Advance Village Wise</t>
  </si>
  <si>
    <t>09-02-2024 NEFT/AXISP00469899337/RIUP23/4518/S S K ENTERPRISES/HDFC0000381 389971.00</t>
  </si>
  <si>
    <t>RIUP23/4518</t>
  </si>
  <si>
    <t>GST release note</t>
  </si>
  <si>
    <t>28-02-2024 NEFT/AXISP00474588156/RIUP23/4708/S S K ENTERPRISES/HDFC0000381 83201.00</t>
  </si>
  <si>
    <t>22-03-2024 NEFT/AXISP00483612631/RIUP23/5122/S S K ENTERPRISES/HDFC0000381 97048.00</t>
  </si>
  <si>
    <t>06-12-2023 NEFT/AXISP00449987150/RIUP23/3472/S S K ENTERPRISES/HDFC0000381 56087.00</t>
  </si>
  <si>
    <t>RIUP23/3472</t>
  </si>
  <si>
    <t>29-04-2024 NEFT/AXISP00494528395/RIUP24/139/S S K ENTERPRISES/HDFC0000381 52502.00</t>
  </si>
  <si>
    <t>Total hold</t>
  </si>
  <si>
    <t>DPR excess Hold</t>
  </si>
  <si>
    <t>Advance / Payable</t>
  </si>
  <si>
    <t>GST Remaining</t>
  </si>
  <si>
    <t>31-05-2024 NEFT/AXISP00504104792/RIUP24/0456/S S K ENTERPRISES/HDFC0000381 66748.00</t>
  </si>
  <si>
    <t>20-08-2024 NEFT/AXISP00530112327/RIUP24/0516/S S K ENTERPRISES/HDFC0000381 87796.00</t>
  </si>
  <si>
    <t>20-12-2024 NEFT/AXISP00586781432/RIUP24/1823/S S K ENTERPRISES/HDFC0000381 16236.00</t>
  </si>
  <si>
    <t>Updated on 21-12-2024</t>
  </si>
  <si>
    <t>20-12-2024 NEFT/AXISP00586781431/RIUP24/1765/S S K ENTERPRISES/HDFC0000381 12771.00</t>
  </si>
  <si>
    <t>Subcontractor:</t>
  </si>
  <si>
    <t>State:</t>
  </si>
  <si>
    <t>District:</t>
  </si>
  <si>
    <t>Block:</t>
  </si>
  <si>
    <t>Uttar Pradesh</t>
  </si>
  <si>
    <t>Muzaffarnagar</t>
  </si>
  <si>
    <t>Chamrawal village  - Bal pipline work</t>
  </si>
  <si>
    <t>KAILANPUR VILLAGE BALANCE PIPE LINE  WORK ( FHTC WORK)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</si>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</sst>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0.39997558519241921"/>
      <name val="Comic Sans MS"/>
      <family val="4"/>
    </font>
    <font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b/>
      <sz val="11"/>
      <color theme="1"/>
      <name val="Comic Sans MS"/>
      <family val="4"/>
    </font>
    <font>
      <sz val="14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0" xfId="0" applyFont="1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0" fillId="2" borderId="3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0" xfId="0" applyNumberFormat="1" applyFont="1" applyFill="1" applyAlignment="1">
      <alignment vertical="center"/>
    </xf>
    <xf numFmtId="43" fontId="3" fillId="2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6" fillId="2" borderId="0" xfId="1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43" fontId="7" fillId="2" borderId="0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5" xfId="0" applyFill="1" applyBorder="1" applyAlignment="1">
      <alignment vertical="center"/>
    </xf>
    <xf numFmtId="43" fontId="7" fillId="2" borderId="5" xfId="1" applyNumberFormat="1" applyFont="1" applyFill="1" applyBorder="1" applyAlignment="1">
      <alignment vertical="center"/>
    </xf>
    <xf numFmtId="9" fontId="7" fillId="2" borderId="5" xfId="1" applyNumberFormat="1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/>
    </xf>
    <xf numFmtId="43" fontId="7" fillId="4" borderId="2" xfId="1" applyNumberFormat="1" applyFont="1" applyFill="1" applyBorder="1" applyAlignment="1">
      <alignment vertical="center"/>
    </xf>
    <xf numFmtId="9" fontId="7" fillId="4" borderId="2" xfId="1" applyNumberFormat="1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5" fontId="7" fillId="2" borderId="4" xfId="0" applyNumberFormat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43" fontId="7" fillId="2" borderId="4" xfId="1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4" borderId="4" xfId="0" applyFill="1" applyBorder="1" applyAlignment="1">
      <alignment vertical="center"/>
    </xf>
    <xf numFmtId="43" fontId="7" fillId="4" borderId="4" xfId="1" applyNumberFormat="1" applyFont="1" applyFill="1" applyBorder="1" applyAlignment="1">
      <alignment vertical="center"/>
    </xf>
    <xf numFmtId="9" fontId="7" fillId="4" borderId="4" xfId="1" applyNumberFormat="1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43" fontId="0" fillId="2" borderId="4" xfId="0" applyNumberFormat="1" applyFill="1" applyBorder="1" applyAlignment="1">
      <alignment vertical="center"/>
    </xf>
    <xf numFmtId="14" fontId="7" fillId="2" borderId="4" xfId="1" applyNumberFormat="1" applyFont="1" applyFill="1" applyBorder="1" applyAlignment="1">
      <alignment vertical="center"/>
    </xf>
    <xf numFmtId="43" fontId="7" fillId="2" borderId="4" xfId="1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43" fontId="7" fillId="2" borderId="6" xfId="1" applyNumberFormat="1" applyFont="1" applyFill="1" applyBorder="1" applyAlignment="1">
      <alignment vertical="center"/>
    </xf>
    <xf numFmtId="43" fontId="9" fillId="2" borderId="6" xfId="1" applyNumberFormat="1" applyFont="1" applyFill="1" applyBorder="1" applyAlignment="1">
      <alignment vertical="center"/>
    </xf>
    <xf numFmtId="43" fontId="9" fillId="2" borderId="4" xfId="1" applyNumberFormat="1" applyFont="1" applyFill="1" applyBorder="1" applyAlignment="1">
      <alignment vertical="center"/>
    </xf>
    <xf numFmtId="43" fontId="9" fillId="2" borderId="5" xfId="1" applyNumberFormat="1" applyFont="1" applyFill="1" applyBorder="1" applyAlignment="1">
      <alignment vertical="center"/>
    </xf>
    <xf numFmtId="43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43" fontId="11" fillId="2" borderId="0" xfId="1" applyNumberFormat="1" applyFont="1" applyFill="1" applyBorder="1" applyAlignment="1">
      <alignment horizontal="center" vertical="center"/>
    </xf>
    <xf numFmtId="43" fontId="10" fillId="2" borderId="0" xfId="1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164" fontId="0" fillId="2" borderId="0" xfId="1" applyFont="1" applyFill="1" applyAlignment="1">
      <alignment vertical="center"/>
    </xf>
    <xf numFmtId="164" fontId="8" fillId="2" borderId="0" xfId="1" applyFont="1" applyFill="1" applyAlignment="1">
      <alignment vertical="center"/>
    </xf>
    <xf numFmtId="164" fontId="7" fillId="2" borderId="5" xfId="1" applyFont="1" applyFill="1" applyBorder="1" applyAlignment="1">
      <alignment vertical="center"/>
    </xf>
    <xf numFmtId="164" fontId="7" fillId="4" borderId="2" xfId="1" applyFont="1" applyFill="1" applyBorder="1" applyAlignment="1">
      <alignment vertical="center"/>
    </xf>
    <xf numFmtId="164" fontId="7" fillId="2" borderId="4" xfId="1" applyFont="1" applyFill="1" applyBorder="1" applyAlignment="1">
      <alignment vertical="center"/>
    </xf>
    <xf numFmtId="164" fontId="7" fillId="4" borderId="4" xfId="1" applyFont="1" applyFill="1" applyBorder="1" applyAlignment="1">
      <alignment vertical="center"/>
    </xf>
    <xf numFmtId="164" fontId="9" fillId="2" borderId="6" xfId="1" applyFont="1" applyFill="1" applyBorder="1" applyAlignment="1">
      <alignment vertical="center"/>
    </xf>
    <xf numFmtId="164" fontId="9" fillId="2" borderId="5" xfId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43" fontId="3" fillId="2" borderId="7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3" fillId="2" borderId="6" xfId="0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3" fontId="12" fillId="2" borderId="6" xfId="1" applyNumberFormat="1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zoomScale="85" zoomScaleNormal="85" workbookViewId="0">
      <pane ySplit="5" topLeftCell="A21" activePane="bottomLeft" state="frozen"/>
      <selection pane="bottomLeft" activeCell="D39" sqref="D39"/>
    </sheetView>
  </sheetViews>
  <sheetFormatPr defaultColWidth="9" defaultRowHeight="15" x14ac:dyDescent="0.25"/>
  <cols>
    <col min="1" max="1" width="9.140625" style="10" bestFit="1" customWidth="1"/>
    <col min="2" max="2" width="28.28515625" style="10" bestFit="1" customWidth="1"/>
    <col min="3" max="3" width="14" style="10" bestFit="1" customWidth="1"/>
    <col min="4" max="4" width="11.7109375" style="10" bestFit="1" customWidth="1"/>
    <col min="5" max="5" width="13.85546875" style="10" bestFit="1" customWidth="1"/>
    <col min="6" max="6" width="10.85546875" style="10" bestFit="1" customWidth="1"/>
    <col min="7" max="7" width="13.85546875" style="10" bestFit="1" customWidth="1"/>
    <col min="8" max="8" width="14.7109375" style="4" customWidth="1"/>
    <col min="9" max="9" width="13.85546875" style="4" bestFit="1" customWidth="1"/>
    <col min="10" max="10" width="11.140625" style="10" bestFit="1" customWidth="1"/>
    <col min="11" max="11" width="14.42578125" style="10" bestFit="1" customWidth="1"/>
    <col min="12" max="13" width="15.7109375" style="10" bestFit="1" customWidth="1"/>
    <col min="14" max="15" width="14.85546875" style="10" customWidth="1"/>
    <col min="16" max="16" width="15.7109375" style="10" bestFit="1" customWidth="1"/>
    <col min="17" max="17" width="18.140625" style="10" bestFit="1" customWidth="1"/>
    <col min="18" max="18" width="8.28515625" style="10" customWidth="1"/>
    <col min="19" max="19" width="21.7109375" style="10" bestFit="1" customWidth="1"/>
    <col min="20" max="20" width="13.5703125" style="10" bestFit="1" customWidth="1"/>
    <col min="21" max="21" width="14.7109375" style="10" bestFit="1" customWidth="1"/>
    <col min="22" max="22" width="19.28515625" style="53" bestFit="1" customWidth="1"/>
    <col min="23" max="23" width="89" style="10" bestFit="1" customWidth="1"/>
    <col min="24" max="24" width="13.28515625" style="10" customWidth="1"/>
    <col min="25" max="16384" width="9" style="10"/>
  </cols>
  <sheetData>
    <row r="1" spans="1:24" x14ac:dyDescent="0.25">
      <c r="A1" s="66" t="s">
        <v>47</v>
      </c>
      <c r="B1" s="1" t="s">
        <v>24</v>
      </c>
      <c r="E1" s="11"/>
      <c r="F1" s="11"/>
      <c r="G1" s="11"/>
      <c r="H1" s="2"/>
      <c r="I1" s="2"/>
    </row>
    <row r="2" spans="1:24" ht="21" x14ac:dyDescent="0.25">
      <c r="A2" s="66" t="s">
        <v>48</v>
      </c>
      <c r="B2" s="67" t="s">
        <v>51</v>
      </c>
      <c r="C2" s="12"/>
      <c r="D2" s="3" t="s">
        <v>24</v>
      </c>
      <c r="E2" s="49"/>
      <c r="F2" s="49"/>
      <c r="G2" s="50"/>
      <c r="H2" s="51"/>
      <c r="I2" s="50" t="s">
        <v>3</v>
      </c>
      <c r="J2" s="5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4" ht="21.75" thickBot="1" x14ac:dyDescent="0.3">
      <c r="A3" s="66" t="s">
        <v>49</v>
      </c>
      <c r="B3" s="67" t="s">
        <v>52</v>
      </c>
      <c r="C3" s="12"/>
      <c r="D3" s="3"/>
      <c r="E3" s="49"/>
      <c r="F3" s="49"/>
      <c r="G3" s="50"/>
      <c r="H3" s="51"/>
      <c r="I3" s="50"/>
      <c r="J3" s="52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4" ht="18.75" thickBot="1" x14ac:dyDescent="0.3">
      <c r="A4" s="66" t="s">
        <v>50</v>
      </c>
      <c r="B4" s="67" t="s">
        <v>52</v>
      </c>
      <c r="C4" s="14"/>
      <c r="D4" s="14"/>
      <c r="E4" s="14"/>
      <c r="F4" s="13"/>
      <c r="G4" s="13"/>
      <c r="H4" s="15"/>
      <c r="I4" s="15"/>
      <c r="J4" s="13"/>
      <c r="K4" s="13"/>
      <c r="L4" s="13"/>
      <c r="M4" s="13"/>
      <c r="P4" s="13"/>
      <c r="S4" s="13"/>
      <c r="T4" s="16"/>
      <c r="U4" s="16"/>
      <c r="V4" s="54"/>
      <c r="W4" s="16"/>
    </row>
    <row r="5" spans="1:24" s="18" customFormat="1" ht="72" x14ac:dyDescent="0.25">
      <c r="A5" s="68" t="s">
        <v>55</v>
      </c>
      <c r="B5" s="61" t="s">
        <v>56</v>
      </c>
      <c r="C5" s="69" t="s">
        <v>57</v>
      </c>
      <c r="D5" s="70" t="s">
        <v>58</v>
      </c>
      <c r="E5" s="61" t="s">
        <v>59</v>
      </c>
      <c r="F5" s="61" t="s">
        <v>60</v>
      </c>
      <c r="G5" s="70" t="s">
        <v>61</v>
      </c>
      <c r="H5" s="71" t="s">
        <v>62</v>
      </c>
      <c r="I5" s="72" t="s">
        <v>0</v>
      </c>
      <c r="J5" s="61" t="s">
        <v>63</v>
      </c>
      <c r="K5" s="61" t="s">
        <v>64</v>
      </c>
      <c r="L5" s="61" t="s">
        <v>65</v>
      </c>
      <c r="M5" s="61" t="s">
        <v>66</v>
      </c>
      <c r="N5" s="17" t="s">
        <v>67</v>
      </c>
      <c r="O5" s="17" t="s">
        <v>13</v>
      </c>
      <c r="P5" s="17" t="s">
        <v>4</v>
      </c>
      <c r="Q5" s="17" t="s">
        <v>68</v>
      </c>
      <c r="R5" s="17"/>
      <c r="S5" s="17" t="s">
        <v>1</v>
      </c>
      <c r="T5" s="61" t="s">
        <v>69</v>
      </c>
      <c r="U5" s="61" t="s">
        <v>70</v>
      </c>
      <c r="V5" s="61" t="s">
        <v>71</v>
      </c>
      <c r="W5" s="61" t="s">
        <v>2</v>
      </c>
      <c r="X5" s="62" t="s">
        <v>29</v>
      </c>
    </row>
    <row r="6" spans="1:24" ht="18.75" thickBot="1" x14ac:dyDescent="0.3">
      <c r="A6" s="19"/>
      <c r="B6" s="20"/>
      <c r="C6" s="20"/>
      <c r="D6" s="20"/>
      <c r="E6" s="20"/>
      <c r="F6" s="20"/>
      <c r="G6" s="20"/>
      <c r="H6" s="21">
        <v>0.18</v>
      </c>
      <c r="I6" s="20"/>
      <c r="J6" s="21">
        <v>0.01</v>
      </c>
      <c r="K6" s="21">
        <v>0.05</v>
      </c>
      <c r="L6" s="21">
        <v>0.05</v>
      </c>
      <c r="M6" s="21">
        <v>0.1</v>
      </c>
      <c r="N6" s="21">
        <v>0.18</v>
      </c>
      <c r="O6" s="21"/>
      <c r="P6" s="21"/>
      <c r="Q6" s="20"/>
      <c r="R6" s="22"/>
      <c r="S6" s="20"/>
      <c r="T6" s="20"/>
      <c r="U6" s="21">
        <v>0.01</v>
      </c>
      <c r="V6" s="55"/>
      <c r="W6" s="20"/>
      <c r="X6" s="63"/>
    </row>
    <row r="7" spans="1:24" s="27" customFormat="1" ht="18" x14ac:dyDescent="0.25">
      <c r="A7" s="23"/>
      <c r="B7" s="24"/>
      <c r="C7" s="24"/>
      <c r="D7" s="24"/>
      <c r="E7" s="24"/>
      <c r="F7" s="24"/>
      <c r="G7" s="24"/>
      <c r="H7" s="25"/>
      <c r="I7" s="24"/>
      <c r="J7" s="25"/>
      <c r="K7" s="25"/>
      <c r="L7" s="25"/>
      <c r="M7" s="25"/>
      <c r="N7" s="25"/>
      <c r="O7" s="25"/>
      <c r="P7" s="25"/>
      <c r="Q7" s="24"/>
      <c r="R7" s="26">
        <f>A8</f>
        <v>57780</v>
      </c>
      <c r="S7" s="24"/>
      <c r="T7" s="24"/>
      <c r="U7" s="25"/>
      <c r="V7" s="56"/>
      <c r="W7" s="24"/>
      <c r="X7" s="23"/>
    </row>
    <row r="8" spans="1:24" ht="33" x14ac:dyDescent="0.25">
      <c r="A8" s="28">
        <v>57780</v>
      </c>
      <c r="B8" s="29" t="s">
        <v>14</v>
      </c>
      <c r="C8" s="30">
        <v>45162</v>
      </c>
      <c r="D8" s="31">
        <v>26</v>
      </c>
      <c r="E8" s="32">
        <v>302841.5</v>
      </c>
      <c r="F8" s="32">
        <v>0</v>
      </c>
      <c r="G8" s="32">
        <f>E8-F8</f>
        <v>302841.5</v>
      </c>
      <c r="H8" s="32">
        <f>ROUND(G8*H6,0)</f>
        <v>54511</v>
      </c>
      <c r="I8" s="32">
        <f>G8+H8</f>
        <v>357352.5</v>
      </c>
      <c r="J8" s="32">
        <f>ROUND(G8*$J$6,)</f>
        <v>3028</v>
      </c>
      <c r="K8" s="32">
        <f>ROUND(G8*$K$6,)</f>
        <v>15142</v>
      </c>
      <c r="L8" s="32">
        <f>ROUND(G8*5%,)</f>
        <v>15142</v>
      </c>
      <c r="M8" s="32">
        <f>ROUND(G8*$M$6,)</f>
        <v>30284</v>
      </c>
      <c r="N8" s="32">
        <f>H8</f>
        <v>54511</v>
      </c>
      <c r="O8" s="32">
        <v>0</v>
      </c>
      <c r="P8" s="32">
        <v>14173</v>
      </c>
      <c r="Q8" s="32">
        <f>ROUND(I8-SUM(J8:P8),0)</f>
        <v>225073</v>
      </c>
      <c r="R8" s="33"/>
      <c r="S8" s="32" t="s">
        <v>16</v>
      </c>
      <c r="T8" s="32">
        <v>100000</v>
      </c>
      <c r="U8" s="32">
        <f>T8*1%</f>
        <v>1000</v>
      </c>
      <c r="V8" s="57">
        <f>T8-U8</f>
        <v>99000</v>
      </c>
      <c r="W8" s="34" t="s">
        <v>15</v>
      </c>
      <c r="X8" s="28"/>
    </row>
    <row r="9" spans="1:24" ht="18" x14ac:dyDescent="0.25">
      <c r="A9" s="28">
        <v>57780</v>
      </c>
      <c r="B9" s="29" t="s">
        <v>23</v>
      </c>
      <c r="C9" s="30">
        <v>45212</v>
      </c>
      <c r="D9" s="31">
        <v>26</v>
      </c>
      <c r="E9" s="32">
        <v>54512</v>
      </c>
      <c r="F9" s="32">
        <v>0</v>
      </c>
      <c r="G9" s="32">
        <f>E9-F9</f>
        <v>54512</v>
      </c>
      <c r="H9" s="32">
        <v>0</v>
      </c>
      <c r="I9" s="32">
        <f>G9+H9</f>
        <v>54512</v>
      </c>
      <c r="J9" s="32">
        <v>0</v>
      </c>
      <c r="K9" s="32">
        <v>0</v>
      </c>
      <c r="L9" s="32">
        <v>0</v>
      </c>
      <c r="M9" s="32">
        <v>0</v>
      </c>
      <c r="N9" s="32">
        <f>H9</f>
        <v>0</v>
      </c>
      <c r="O9" s="32"/>
      <c r="P9" s="32">
        <v>0</v>
      </c>
      <c r="Q9" s="32">
        <f>ROUND(I9-SUM(J9:P9),0)</f>
        <v>54512</v>
      </c>
      <c r="R9" s="33"/>
      <c r="S9" s="32" t="s">
        <v>18</v>
      </c>
      <c r="T9" s="32">
        <v>126073</v>
      </c>
      <c r="U9" s="32">
        <v>0</v>
      </c>
      <c r="V9" s="57">
        <f t="shared" ref="V9:V10" si="0">T9-U9</f>
        <v>126073</v>
      </c>
      <c r="W9" s="34" t="s">
        <v>17</v>
      </c>
      <c r="X9" s="28"/>
    </row>
    <row r="10" spans="1:24" ht="18" x14ac:dyDescent="0.25">
      <c r="A10" s="28">
        <v>57780</v>
      </c>
      <c r="B10" s="32" t="s">
        <v>14</v>
      </c>
      <c r="C10" s="30">
        <v>45234</v>
      </c>
      <c r="D10" s="31">
        <v>29</v>
      </c>
      <c r="E10" s="32">
        <v>241032</v>
      </c>
      <c r="F10" s="32">
        <v>0</v>
      </c>
      <c r="G10" s="32">
        <v>241032</v>
      </c>
      <c r="H10" s="32">
        <f>G10*18%</f>
        <v>43385.759999999995</v>
      </c>
      <c r="I10" s="32">
        <f>G10+H10</f>
        <v>284417.76</v>
      </c>
      <c r="J10" s="32">
        <v>2410</v>
      </c>
      <c r="K10" s="32">
        <f>G10*5%</f>
        <v>12051.6</v>
      </c>
      <c r="L10" s="32">
        <f>G10*10%</f>
        <v>24103.200000000001</v>
      </c>
      <c r="M10" s="32">
        <f>G10*10%</f>
        <v>24103.200000000001</v>
      </c>
      <c r="N10" s="32">
        <f>H10</f>
        <v>43385.759999999995</v>
      </c>
      <c r="O10" s="32"/>
      <c r="P10" s="32">
        <v>23277</v>
      </c>
      <c r="Q10" s="32">
        <f>I10-SUM(J10:P10)</f>
        <v>155087</v>
      </c>
      <c r="R10" s="33"/>
      <c r="S10" s="32" t="s">
        <v>22</v>
      </c>
      <c r="T10" s="32">
        <v>54512</v>
      </c>
      <c r="U10" s="32"/>
      <c r="V10" s="57">
        <f t="shared" si="0"/>
        <v>54512</v>
      </c>
      <c r="W10" s="34" t="s">
        <v>19</v>
      </c>
      <c r="X10" s="28"/>
    </row>
    <row r="11" spans="1:24" ht="18" x14ac:dyDescent="0.25">
      <c r="A11" s="28">
        <v>57780</v>
      </c>
      <c r="B11" s="29" t="s">
        <v>23</v>
      </c>
      <c r="C11" s="30"/>
      <c r="D11" s="31">
        <v>29</v>
      </c>
      <c r="E11" s="32">
        <f>N10</f>
        <v>43385.759999999995</v>
      </c>
      <c r="F11" s="32">
        <v>0</v>
      </c>
      <c r="G11" s="32">
        <f>E11-F11</f>
        <v>43385.759999999995</v>
      </c>
      <c r="H11" s="32">
        <v>0</v>
      </c>
      <c r="I11" s="32">
        <f>G11+H11</f>
        <v>43385.759999999995</v>
      </c>
      <c r="J11" s="32">
        <v>0</v>
      </c>
      <c r="K11" s="32">
        <v>0</v>
      </c>
      <c r="L11" s="32">
        <v>0</v>
      </c>
      <c r="M11" s="32">
        <v>0</v>
      </c>
      <c r="N11" s="32">
        <f>H11</f>
        <v>0</v>
      </c>
      <c r="O11" s="32"/>
      <c r="P11" s="32">
        <v>0</v>
      </c>
      <c r="Q11" s="32">
        <f>ROUND(I11-SUM(J11:P11),0)</f>
        <v>43386</v>
      </c>
      <c r="R11" s="33"/>
      <c r="S11" s="32" t="s">
        <v>21</v>
      </c>
      <c r="T11" s="32">
        <v>100000</v>
      </c>
      <c r="U11" s="32">
        <f>T11*1%</f>
        <v>1000</v>
      </c>
      <c r="V11" s="57">
        <v>99000</v>
      </c>
      <c r="W11" s="34" t="s">
        <v>20</v>
      </c>
      <c r="X11" s="28"/>
    </row>
    <row r="12" spans="1:24" ht="33" x14ac:dyDescent="0.25">
      <c r="A12" s="28">
        <v>57780</v>
      </c>
      <c r="B12" s="29" t="s">
        <v>14</v>
      </c>
      <c r="C12" s="30">
        <v>45234</v>
      </c>
      <c r="D12" s="31">
        <v>36</v>
      </c>
      <c r="E12" s="32">
        <v>487758</v>
      </c>
      <c r="F12" s="32">
        <v>0</v>
      </c>
      <c r="G12" s="32">
        <f>E12-F12</f>
        <v>487758</v>
      </c>
      <c r="H12" s="32">
        <f>G12*18%</f>
        <v>87796.44</v>
      </c>
      <c r="I12" s="32">
        <f>G12+H12</f>
        <v>575554.43999999994</v>
      </c>
      <c r="J12" s="32">
        <f>G12*1%</f>
        <v>4877.58</v>
      </c>
      <c r="K12" s="32">
        <f>G12*5%</f>
        <v>24387.9</v>
      </c>
      <c r="L12" s="32">
        <f>G12*10%</f>
        <v>48775.8</v>
      </c>
      <c r="M12" s="32">
        <f>G12*10%</f>
        <v>48775.8</v>
      </c>
      <c r="N12" s="32">
        <f>H12</f>
        <v>87796.44</v>
      </c>
      <c r="O12" s="32"/>
      <c r="P12" s="32">
        <v>129239</v>
      </c>
      <c r="Q12" s="32">
        <f>ROUND(I12-SUM(J12:P12),0)</f>
        <v>231702</v>
      </c>
      <c r="R12" s="33"/>
      <c r="S12" s="32" t="s">
        <v>36</v>
      </c>
      <c r="T12" s="32">
        <v>56087</v>
      </c>
      <c r="U12" s="32">
        <v>0</v>
      </c>
      <c r="V12" s="57">
        <v>56087</v>
      </c>
      <c r="W12" s="34" t="s">
        <v>35</v>
      </c>
      <c r="X12" s="28"/>
    </row>
    <row r="13" spans="1:24" ht="18" x14ac:dyDescent="0.25">
      <c r="A13" s="28">
        <v>57780</v>
      </c>
      <c r="B13" s="29" t="s">
        <v>23</v>
      </c>
      <c r="C13" s="30"/>
      <c r="D13" s="31">
        <v>36</v>
      </c>
      <c r="E13" s="32">
        <f>N12</f>
        <v>87796.44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>
        <f>E13</f>
        <v>87796.44</v>
      </c>
      <c r="R13" s="33"/>
      <c r="S13" s="32" t="s">
        <v>27</v>
      </c>
      <c r="T13" s="32">
        <v>43386</v>
      </c>
      <c r="U13" s="32"/>
      <c r="V13" s="57">
        <f>T13-U13</f>
        <v>43386</v>
      </c>
      <c r="W13" s="34" t="s">
        <v>25</v>
      </c>
      <c r="X13" s="28"/>
    </row>
    <row r="14" spans="1:24" ht="18" x14ac:dyDescent="0.25">
      <c r="A14" s="28">
        <v>57780</v>
      </c>
      <c r="B14" s="29"/>
      <c r="C14" s="30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32" t="s">
        <v>28</v>
      </c>
      <c r="T14" s="32">
        <v>150000</v>
      </c>
      <c r="U14" s="32">
        <f>T14*1%</f>
        <v>1500</v>
      </c>
      <c r="V14" s="57">
        <f>T14-U14</f>
        <v>148500</v>
      </c>
      <c r="W14" s="34" t="s">
        <v>26</v>
      </c>
      <c r="X14" s="28"/>
    </row>
    <row r="15" spans="1:24" ht="18" x14ac:dyDescent="0.25">
      <c r="A15" s="28">
        <v>57780</v>
      </c>
      <c r="B15" s="29"/>
      <c r="C15" s="30"/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32"/>
      <c r="T15" s="32"/>
      <c r="U15" s="32"/>
      <c r="V15" s="57">
        <v>83201</v>
      </c>
      <c r="W15" s="34" t="s">
        <v>33</v>
      </c>
      <c r="X15" s="28"/>
    </row>
    <row r="16" spans="1:24" ht="18" x14ac:dyDescent="0.25">
      <c r="A16" s="28">
        <v>57780</v>
      </c>
      <c r="B16" s="29"/>
      <c r="C16" s="30"/>
      <c r="D16" s="31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3"/>
      <c r="S16" s="32"/>
      <c r="T16" s="32"/>
      <c r="U16" s="32"/>
      <c r="V16" s="57">
        <v>87796</v>
      </c>
      <c r="W16" s="34" t="s">
        <v>43</v>
      </c>
      <c r="X16" s="28"/>
    </row>
    <row r="17" spans="1:24" ht="18" x14ac:dyDescent="0.25">
      <c r="A17" s="28">
        <v>57780</v>
      </c>
      <c r="B17" s="29"/>
      <c r="C17" s="30"/>
      <c r="D17" s="31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  <c r="S17" s="32"/>
      <c r="T17" s="32"/>
      <c r="U17" s="32"/>
      <c r="V17" s="57"/>
      <c r="W17" s="34"/>
      <c r="X17" s="28"/>
    </row>
    <row r="18" spans="1:24" ht="18" x14ac:dyDescent="0.25">
      <c r="A18" s="35"/>
      <c r="B18" s="36"/>
      <c r="C18" s="36"/>
      <c r="D18" s="36"/>
      <c r="E18" s="36"/>
      <c r="F18" s="36"/>
      <c r="G18" s="36"/>
      <c r="H18" s="37"/>
      <c r="I18" s="36"/>
      <c r="J18" s="37"/>
      <c r="K18" s="37"/>
      <c r="L18" s="37"/>
      <c r="M18" s="37"/>
      <c r="N18" s="37"/>
      <c r="O18" s="37"/>
      <c r="P18" s="37"/>
      <c r="Q18" s="36"/>
      <c r="R18" s="38">
        <f>A19</f>
        <v>61848</v>
      </c>
      <c r="S18" s="36"/>
      <c r="T18" s="36"/>
      <c r="U18" s="37"/>
      <c r="V18" s="58"/>
      <c r="W18" s="36"/>
      <c r="X18" s="39">
        <f>SUM(Q8:Q17,0)-SUM(V8:V17,0)</f>
        <v>1.4399999999441206</v>
      </c>
    </row>
    <row r="19" spans="1:24" ht="33" x14ac:dyDescent="0.25">
      <c r="A19" s="28">
        <v>61848</v>
      </c>
      <c r="B19" s="29" t="s">
        <v>14</v>
      </c>
      <c r="C19" s="30">
        <v>45306</v>
      </c>
      <c r="D19" s="31">
        <v>32</v>
      </c>
      <c r="E19" s="32">
        <v>539155</v>
      </c>
      <c r="F19" s="32">
        <v>0</v>
      </c>
      <c r="G19" s="32">
        <f>E19-F19</f>
        <v>539155</v>
      </c>
      <c r="H19" s="32">
        <f>G19*18%</f>
        <v>97047.9</v>
      </c>
      <c r="I19" s="32">
        <f>G19+H19</f>
        <v>636202.9</v>
      </c>
      <c r="J19" s="32">
        <f>ROUND(G19*$J$6,)</f>
        <v>5392</v>
      </c>
      <c r="K19" s="32">
        <f>ROUND(G19*$K$6,)</f>
        <v>26958</v>
      </c>
      <c r="L19" s="32">
        <f>ROUND(G19*10%,)</f>
        <v>53916</v>
      </c>
      <c r="M19" s="32">
        <f>ROUND(G19*$M$6,)</f>
        <v>53916</v>
      </c>
      <c r="N19" s="32">
        <f>H19</f>
        <v>97047.9</v>
      </c>
      <c r="O19" s="32">
        <v>0</v>
      </c>
      <c r="P19" s="32">
        <v>9002</v>
      </c>
      <c r="Q19" s="32">
        <f>ROUND(I19-SUM(J19:P19),0)</f>
        <v>389971</v>
      </c>
      <c r="R19" s="33"/>
      <c r="S19" s="32" t="s">
        <v>31</v>
      </c>
      <c r="T19" s="32">
        <v>389971</v>
      </c>
      <c r="U19" s="32">
        <v>0</v>
      </c>
      <c r="V19" s="57">
        <f t="shared" ref="V19" si="1">T19-U19</f>
        <v>389971</v>
      </c>
      <c r="W19" s="34" t="s">
        <v>30</v>
      </c>
      <c r="X19" s="28"/>
    </row>
    <row r="20" spans="1:24" ht="18" x14ac:dyDescent="0.25">
      <c r="A20" s="28">
        <v>61848</v>
      </c>
      <c r="B20" s="29" t="s">
        <v>32</v>
      </c>
      <c r="C20" s="30"/>
      <c r="D20" s="31">
        <v>32</v>
      </c>
      <c r="E20" s="32">
        <f>H19</f>
        <v>97047.9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>
        <f>E20</f>
        <v>97047.9</v>
      </c>
      <c r="R20" s="33"/>
      <c r="S20" s="32"/>
      <c r="T20" s="32"/>
      <c r="U20" s="32"/>
      <c r="V20" s="57">
        <v>97048</v>
      </c>
      <c r="W20" s="34" t="s">
        <v>34</v>
      </c>
      <c r="X20" s="28"/>
    </row>
    <row r="21" spans="1:24" ht="18" x14ac:dyDescent="0.25">
      <c r="A21" s="35">
        <v>62983</v>
      </c>
      <c r="B21" s="36"/>
      <c r="C21" s="36"/>
      <c r="D21" s="36"/>
      <c r="E21" s="36"/>
      <c r="F21" s="36"/>
      <c r="G21" s="36"/>
      <c r="H21" s="37"/>
      <c r="I21" s="36"/>
      <c r="J21" s="37"/>
      <c r="K21" s="37"/>
      <c r="L21" s="37"/>
      <c r="M21" s="37"/>
      <c r="N21" s="37"/>
      <c r="O21" s="37"/>
      <c r="P21" s="37"/>
      <c r="Q21" s="36"/>
      <c r="R21" s="38">
        <f>A21</f>
        <v>62983</v>
      </c>
      <c r="S21" s="36"/>
      <c r="T21" s="36"/>
      <c r="U21" s="37"/>
      <c r="V21" s="58"/>
      <c r="W21" s="36"/>
      <c r="X21" s="39">
        <f>SUM(Q19:Q20,0)-SUM(V19:V20,0)</f>
        <v>-9.9999999976716936E-2</v>
      </c>
    </row>
    <row r="22" spans="1:24" ht="18" x14ac:dyDescent="0.25">
      <c r="A22" s="35">
        <v>62983</v>
      </c>
      <c r="B22" s="32" t="s">
        <v>53</v>
      </c>
      <c r="C22" s="40">
        <v>45373</v>
      </c>
      <c r="D22" s="31">
        <v>40</v>
      </c>
      <c r="E22" s="32">
        <v>70950</v>
      </c>
      <c r="F22" s="32"/>
      <c r="G22" s="32">
        <f>E22-F22</f>
        <v>70950</v>
      </c>
      <c r="H22" s="32">
        <f>G22*18%</f>
        <v>12771</v>
      </c>
      <c r="I22" s="32">
        <f>G22+H22</f>
        <v>83721</v>
      </c>
      <c r="J22" s="32">
        <f>ROUND(G22*$J$6,)</f>
        <v>710</v>
      </c>
      <c r="K22" s="32">
        <f>ROUND(G22*$K$6,)</f>
        <v>3548</v>
      </c>
      <c r="L22" s="32">
        <f>ROUND(G22*10%,)</f>
        <v>7095</v>
      </c>
      <c r="M22" s="32">
        <f>ROUND(G22*$M$6,)</f>
        <v>7095</v>
      </c>
      <c r="N22" s="32">
        <f>H22</f>
        <v>12771</v>
      </c>
      <c r="O22" s="32">
        <v>0</v>
      </c>
      <c r="P22" s="32"/>
      <c r="Q22" s="32">
        <f>ROUND(I22-SUM(J22:P22),0)</f>
        <v>52502</v>
      </c>
      <c r="R22" s="33"/>
      <c r="S22" s="32"/>
      <c r="T22" s="32"/>
      <c r="U22" s="32"/>
      <c r="V22" s="57">
        <v>52502</v>
      </c>
      <c r="W22" s="34" t="s">
        <v>37</v>
      </c>
      <c r="X22" s="28"/>
    </row>
    <row r="23" spans="1:24" ht="18" x14ac:dyDescent="0.25">
      <c r="A23" s="35">
        <v>62983</v>
      </c>
      <c r="B23" s="29" t="s">
        <v>32</v>
      </c>
      <c r="C23" s="40">
        <v>45374</v>
      </c>
      <c r="D23" s="31">
        <v>40</v>
      </c>
      <c r="E23" s="41">
        <f>N22</f>
        <v>12771</v>
      </c>
      <c r="F23" s="41"/>
      <c r="G23" s="41"/>
      <c r="H23" s="32"/>
      <c r="I23" s="32"/>
      <c r="J23" s="32"/>
      <c r="K23" s="32"/>
      <c r="L23" s="32"/>
      <c r="M23" s="32"/>
      <c r="N23" s="32"/>
      <c r="O23" s="32"/>
      <c r="P23" s="32"/>
      <c r="Q23" s="32">
        <f>E23</f>
        <v>12771</v>
      </c>
      <c r="R23" s="33"/>
      <c r="S23" s="32"/>
      <c r="T23" s="32"/>
      <c r="U23" s="32"/>
      <c r="V23" s="57">
        <v>12771</v>
      </c>
      <c r="W23" s="34" t="s">
        <v>46</v>
      </c>
      <c r="X23" s="39"/>
    </row>
    <row r="24" spans="1:24" ht="18" x14ac:dyDescent="0.25">
      <c r="A24" s="35"/>
      <c r="B24" s="36"/>
      <c r="C24" s="36"/>
      <c r="D24" s="36"/>
      <c r="E24" s="36"/>
      <c r="F24" s="36"/>
      <c r="G24" s="36"/>
      <c r="H24" s="37"/>
      <c r="I24" s="36"/>
      <c r="J24" s="37"/>
      <c r="K24" s="37"/>
      <c r="L24" s="37"/>
      <c r="M24" s="37"/>
      <c r="N24" s="37"/>
      <c r="O24" s="37"/>
      <c r="P24" s="37"/>
      <c r="Q24" s="36"/>
      <c r="R24" s="38">
        <f>A25</f>
        <v>63568</v>
      </c>
      <c r="S24" s="36"/>
      <c r="T24" s="36"/>
      <c r="U24" s="37"/>
      <c r="V24" s="58"/>
      <c r="W24" s="36"/>
      <c r="X24" s="39">
        <f>SUM(Q22:Q23,0)-SUM(V22:V23,0)</f>
        <v>0</v>
      </c>
    </row>
    <row r="25" spans="1:24" ht="49.5" x14ac:dyDescent="0.25">
      <c r="A25" s="28">
        <v>63568</v>
      </c>
      <c r="B25" s="29" t="s">
        <v>54</v>
      </c>
      <c r="C25" s="40">
        <v>45410</v>
      </c>
      <c r="D25" s="31">
        <v>43</v>
      </c>
      <c r="E25" s="32">
        <v>90200</v>
      </c>
      <c r="F25" s="32"/>
      <c r="G25" s="32">
        <f>E25-F25</f>
        <v>90200</v>
      </c>
      <c r="H25" s="32">
        <f>G25*18%</f>
        <v>16236</v>
      </c>
      <c r="I25" s="32">
        <f>G25+H25</f>
        <v>106436</v>
      </c>
      <c r="J25" s="32">
        <f>ROUND(G25*$J$6,)</f>
        <v>902</v>
      </c>
      <c r="K25" s="32">
        <f>ROUND(G25*$K$6,)</f>
        <v>4510</v>
      </c>
      <c r="L25" s="32">
        <f>ROUND(G25*10%,)</f>
        <v>9020</v>
      </c>
      <c r="M25" s="32">
        <f>ROUND(G25*$M$6,)</f>
        <v>9020</v>
      </c>
      <c r="N25" s="32">
        <f>H25</f>
        <v>16236</v>
      </c>
      <c r="O25" s="32">
        <v>0</v>
      </c>
      <c r="P25" s="32"/>
      <c r="Q25" s="32">
        <f>ROUND(I25-SUM(J25:P25),0)</f>
        <v>66748</v>
      </c>
      <c r="R25" s="33"/>
      <c r="S25" s="32"/>
      <c r="T25" s="32"/>
      <c r="U25" s="32"/>
      <c r="V25" s="57">
        <v>66748</v>
      </c>
      <c r="W25" s="34" t="s">
        <v>42</v>
      </c>
      <c r="X25" s="39"/>
    </row>
    <row r="26" spans="1:24" ht="18" x14ac:dyDescent="0.25">
      <c r="A26" s="28">
        <v>63568</v>
      </c>
      <c r="B26" s="29" t="s">
        <v>32</v>
      </c>
      <c r="C26" s="40">
        <v>45411</v>
      </c>
      <c r="D26" s="31">
        <v>43</v>
      </c>
      <c r="E26" s="41">
        <f>N25</f>
        <v>16236</v>
      </c>
      <c r="F26" s="41"/>
      <c r="G26" s="41"/>
      <c r="H26" s="32"/>
      <c r="I26" s="32"/>
      <c r="J26" s="32"/>
      <c r="K26" s="32"/>
      <c r="L26" s="32"/>
      <c r="M26" s="32"/>
      <c r="N26" s="32"/>
      <c r="O26" s="32"/>
      <c r="P26" s="32"/>
      <c r="Q26" s="32">
        <f>E26</f>
        <v>16236</v>
      </c>
      <c r="R26" s="33"/>
      <c r="S26" s="32"/>
      <c r="T26" s="32"/>
      <c r="U26" s="32"/>
      <c r="V26" s="57">
        <v>16236</v>
      </c>
      <c r="W26" s="34" t="s">
        <v>44</v>
      </c>
      <c r="X26" s="39"/>
    </row>
    <row r="27" spans="1:24" ht="18.75" thickBot="1" x14ac:dyDescent="0.3">
      <c r="A27" s="28">
        <v>63568</v>
      </c>
      <c r="B27" s="42"/>
      <c r="C27" s="42"/>
      <c r="D27" s="42"/>
      <c r="E27" s="41"/>
      <c r="F27" s="41"/>
      <c r="G27" s="41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2"/>
      <c r="T27" s="32"/>
      <c r="U27" s="32"/>
      <c r="V27" s="57"/>
      <c r="W27" s="32"/>
      <c r="X27" s="39">
        <f>SUM(Q25:Q26,0)-SUM(V25:V26,0)</f>
        <v>0</v>
      </c>
    </row>
    <row r="28" spans="1:24" ht="18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4">
        <f t="shared" ref="K28:Q28" si="2">SUM(K8:K27)</f>
        <v>86597.5</v>
      </c>
      <c r="L28" s="44">
        <f t="shared" si="2"/>
        <v>158052</v>
      </c>
      <c r="M28" s="44">
        <f t="shared" si="2"/>
        <v>173194</v>
      </c>
      <c r="N28" s="44">
        <f t="shared" si="2"/>
        <v>311748.09999999998</v>
      </c>
      <c r="O28" s="44">
        <f t="shared" si="2"/>
        <v>0</v>
      </c>
      <c r="P28" s="44">
        <f t="shared" si="2"/>
        <v>175691</v>
      </c>
      <c r="Q28" s="44">
        <f t="shared" si="2"/>
        <v>1432832.3399999999</v>
      </c>
      <c r="R28" s="43"/>
      <c r="S28" s="44" t="s">
        <v>5</v>
      </c>
      <c r="T28" s="43"/>
      <c r="U28" s="43"/>
      <c r="V28" s="59">
        <f>SUM(V8:V27)</f>
        <v>1432831</v>
      </c>
      <c r="W28" s="43"/>
      <c r="X28" s="44">
        <f>SUM(X8:X27)</f>
        <v>1.3399999999674037</v>
      </c>
    </row>
    <row r="29" spans="1:24" ht="18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45"/>
      <c r="T29" s="32"/>
      <c r="U29" s="32"/>
      <c r="V29" s="57"/>
      <c r="W29" s="32"/>
      <c r="X29" s="28"/>
    </row>
    <row r="30" spans="1:24" ht="18.75" thickBot="1" x14ac:dyDescent="0.3">
      <c r="A30" s="20"/>
      <c r="B30" s="20"/>
      <c r="C30" s="20"/>
      <c r="D30" s="20"/>
      <c r="E30" s="20"/>
      <c r="F30" s="20">
        <f>SUM(F8:F23)</f>
        <v>0</v>
      </c>
      <c r="G30" s="20"/>
      <c r="H30" s="20"/>
      <c r="I30" s="20"/>
      <c r="J30" s="20"/>
      <c r="K30" s="46"/>
      <c r="L30" s="46"/>
      <c r="M30" s="46"/>
      <c r="N30" s="46"/>
      <c r="O30" s="20"/>
      <c r="P30" s="46"/>
      <c r="Q30" s="20"/>
      <c r="R30" s="20"/>
      <c r="S30" s="46" t="s">
        <v>6</v>
      </c>
      <c r="T30" s="20"/>
      <c r="U30" s="20"/>
      <c r="V30" s="60">
        <f>Q28-V28</f>
        <v>1.3399999998509884</v>
      </c>
      <c r="W30" s="20"/>
      <c r="X30" s="19"/>
    </row>
    <row r="32" spans="1:24" ht="15.75" thickBot="1" x14ac:dyDescent="0.3">
      <c r="H32" s="10"/>
      <c r="I32" s="10"/>
    </row>
    <row r="33" spans="3:15" ht="15.75" thickBot="1" x14ac:dyDescent="0.3">
      <c r="H33" s="10"/>
      <c r="I33" s="10"/>
      <c r="L33" s="64" t="s">
        <v>24</v>
      </c>
      <c r="M33" s="64"/>
      <c r="N33" s="64"/>
      <c r="O33" s="64"/>
    </row>
    <row r="34" spans="3:15" ht="15.75" thickBot="1" x14ac:dyDescent="0.3">
      <c r="H34" s="10"/>
      <c r="I34" s="10"/>
      <c r="L34" s="64" t="s">
        <v>45</v>
      </c>
      <c r="M34" s="64"/>
      <c r="N34" s="64"/>
      <c r="O34" s="64"/>
    </row>
    <row r="35" spans="3:15" ht="15.75" thickBot="1" x14ac:dyDescent="0.3">
      <c r="H35" s="10"/>
      <c r="I35" s="10"/>
      <c r="L35" s="64" t="s">
        <v>38</v>
      </c>
      <c r="M35" s="64"/>
      <c r="N35" s="65">
        <f>K28+L28+M28</f>
        <v>417843.5</v>
      </c>
      <c r="O35" s="64"/>
    </row>
    <row r="36" spans="3:15" ht="15.75" thickBot="1" x14ac:dyDescent="0.3">
      <c r="G36" s="4"/>
      <c r="H36" s="10"/>
      <c r="I36" s="10"/>
      <c r="L36" s="64" t="s">
        <v>39</v>
      </c>
      <c r="M36" s="64"/>
      <c r="N36" s="65">
        <f>P28</f>
        <v>175691</v>
      </c>
      <c r="O36" s="64"/>
    </row>
    <row r="37" spans="3:15" ht="15.75" thickBot="1" x14ac:dyDescent="0.3">
      <c r="L37" s="64" t="s">
        <v>40</v>
      </c>
      <c r="M37" s="64"/>
      <c r="N37" s="65">
        <f>V30</f>
        <v>1.3399999998509884</v>
      </c>
      <c r="O37" s="64"/>
    </row>
    <row r="38" spans="3:15" ht="15.75" thickBot="1" x14ac:dyDescent="0.3">
      <c r="L38" s="64" t="s">
        <v>41</v>
      </c>
      <c r="M38" s="64"/>
      <c r="N38" s="65">
        <f>N28-Q26-Q23-Q20-Q11-Q13-Q9</f>
        <v>-1.2400000000197906</v>
      </c>
      <c r="O38" s="64"/>
    </row>
    <row r="43" spans="3:15" x14ac:dyDescent="0.25">
      <c r="C43" s="8" t="s">
        <v>7</v>
      </c>
      <c r="D43" s="9" t="s">
        <v>8</v>
      </c>
      <c r="E43" s="9" t="s">
        <v>9</v>
      </c>
      <c r="F43" s="9" t="s">
        <v>10</v>
      </c>
    </row>
    <row r="44" spans="3:15" x14ac:dyDescent="0.25">
      <c r="C44" s="5" t="s">
        <v>11</v>
      </c>
      <c r="D44" s="47">
        <v>141.72999999999999</v>
      </c>
      <c r="E44" s="48">
        <v>100</v>
      </c>
      <c r="F44" s="47">
        <f>E44*D44</f>
        <v>14172.999999999998</v>
      </c>
    </row>
    <row r="45" spans="3:15" x14ac:dyDescent="0.25">
      <c r="D45" s="4"/>
      <c r="E45" s="6" t="s">
        <v>12</v>
      </c>
      <c r="F45" s="7">
        <f>SUM(F44:F44)</f>
        <v>14172.999999999998</v>
      </c>
    </row>
  </sheetData>
  <mergeCells count="11">
    <mergeCell ref="L37:M37"/>
    <mergeCell ref="N35:O35"/>
    <mergeCell ref="N36:O36"/>
    <mergeCell ref="N37:O37"/>
    <mergeCell ref="N38:O38"/>
    <mergeCell ref="L38:M38"/>
    <mergeCell ref="X5:X6"/>
    <mergeCell ref="L33:O33"/>
    <mergeCell ref="L34:O34"/>
    <mergeCell ref="L35:M35"/>
    <mergeCell ref="L36:M36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2025-05-27T06:07:12Z</dcterms:modified>
</cp:coreProperties>
</file>