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Sahzad Contractor\"/>
    </mc:Choice>
  </mc:AlternateContent>
  <xr:revisionPtr revIDLastSave="0" documentId="13_ncr:1_{528500AB-7C53-471D-A5B0-55DDB93D7DBC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" i="1" l="1"/>
  <c r="N88" i="1"/>
  <c r="Q71" i="1"/>
  <c r="Q76" i="1"/>
  <c r="G77" i="1" l="1"/>
  <c r="G72" i="1"/>
  <c r="L72" i="1" s="1"/>
  <c r="K72" i="1" l="1"/>
  <c r="J72" i="1"/>
  <c r="K77" i="1"/>
  <c r="J77" i="1"/>
  <c r="L77" i="1"/>
  <c r="H77" i="1"/>
  <c r="O77" i="1" s="1"/>
  <c r="E78" i="1" s="1"/>
  <c r="P78" i="1" s="1"/>
  <c r="H72" i="1"/>
  <c r="I77" i="1" l="1"/>
  <c r="P77" i="1" s="1"/>
  <c r="W79" i="1" s="1"/>
  <c r="O72" i="1"/>
  <c r="E73" i="1" s="1"/>
  <c r="P73" i="1" s="1"/>
  <c r="I72" i="1"/>
  <c r="P72" i="1" s="1"/>
  <c r="W75" i="1" s="1"/>
  <c r="G38" i="1" l="1"/>
  <c r="G58" i="1"/>
  <c r="L58" i="1" s="1"/>
  <c r="H38" i="1" l="1"/>
  <c r="O38" i="1" s="1"/>
  <c r="E39" i="1" s="1"/>
  <c r="P39" i="1" s="1"/>
  <c r="J38" i="1"/>
  <c r="K38" i="1"/>
  <c r="L38" i="1"/>
  <c r="H58" i="1"/>
  <c r="O58" i="1" s="1"/>
  <c r="E59" i="1" s="1"/>
  <c r="P59" i="1" s="1"/>
  <c r="J58" i="1"/>
  <c r="K58" i="1"/>
  <c r="I58" i="1" l="1"/>
  <c r="P58" i="1" s="1"/>
  <c r="I38" i="1"/>
  <c r="P38" i="1" s="1"/>
  <c r="E24" i="1" l="1"/>
  <c r="G24" i="1" s="1"/>
  <c r="G51" i="1"/>
  <c r="L51" i="1" s="1"/>
  <c r="G49" i="1"/>
  <c r="L49" i="1" s="1"/>
  <c r="G64" i="1"/>
  <c r="L64" i="1" s="1"/>
  <c r="E62" i="1"/>
  <c r="E68" i="1"/>
  <c r="G68" i="1" s="1"/>
  <c r="L68" i="1" s="1"/>
  <c r="L24" i="1" l="1"/>
  <c r="H24" i="1"/>
  <c r="O24" i="1" s="1"/>
  <c r="E25" i="1" s="1"/>
  <c r="P25" i="1" s="1"/>
  <c r="J24" i="1"/>
  <c r="K24" i="1"/>
  <c r="H51" i="1"/>
  <c r="O51" i="1" s="1"/>
  <c r="E52" i="1" s="1"/>
  <c r="P52" i="1" s="1"/>
  <c r="J51" i="1"/>
  <c r="K51" i="1"/>
  <c r="H49" i="1"/>
  <c r="O49" i="1" s="1"/>
  <c r="E50" i="1" s="1"/>
  <c r="P50" i="1" s="1"/>
  <c r="J49" i="1"/>
  <c r="K49" i="1"/>
  <c r="H64" i="1"/>
  <c r="O64" i="1" s="1"/>
  <c r="E65" i="1" s="1"/>
  <c r="P65" i="1" s="1"/>
  <c r="J64" i="1"/>
  <c r="K64" i="1"/>
  <c r="H68" i="1"/>
  <c r="O68" i="1" s="1"/>
  <c r="E69" i="1" s="1"/>
  <c r="P69" i="1" s="1"/>
  <c r="J68" i="1"/>
  <c r="K68" i="1"/>
  <c r="G62" i="1"/>
  <c r="L62" i="1" s="1"/>
  <c r="G56" i="1"/>
  <c r="J56" i="1" s="1"/>
  <c r="E14" i="1"/>
  <c r="P14" i="1" s="1"/>
  <c r="U13" i="1"/>
  <c r="U14" i="1"/>
  <c r="U15" i="1"/>
  <c r="U23" i="1"/>
  <c r="U22" i="1"/>
  <c r="U45" i="1"/>
  <c r="G46" i="1"/>
  <c r="J46" i="1" s="1"/>
  <c r="U12" i="1"/>
  <c r="T11" i="1"/>
  <c r="U11" i="1" s="1"/>
  <c r="U10" i="1"/>
  <c r="U21" i="1"/>
  <c r="G22" i="1"/>
  <c r="M22" i="1" s="1"/>
  <c r="G36" i="1"/>
  <c r="K36" i="1" s="1"/>
  <c r="I24" i="1" l="1"/>
  <c r="I51" i="1"/>
  <c r="P51" i="1"/>
  <c r="P24" i="1"/>
  <c r="I49" i="1"/>
  <c r="P49" i="1" s="1"/>
  <c r="I64" i="1"/>
  <c r="P64" i="1" s="1"/>
  <c r="I68" i="1"/>
  <c r="P68" i="1" s="1"/>
  <c r="W71" i="1" s="1"/>
  <c r="K62" i="1"/>
  <c r="J62" i="1"/>
  <c r="H62" i="1"/>
  <c r="O62" i="1" s="1"/>
  <c r="E63" i="1" s="1"/>
  <c r="P63" i="1" s="1"/>
  <c r="H56" i="1"/>
  <c r="O56" i="1" s="1"/>
  <c r="L56" i="1"/>
  <c r="K56" i="1"/>
  <c r="K46" i="1"/>
  <c r="L46" i="1"/>
  <c r="H46" i="1"/>
  <c r="O46" i="1" s="1"/>
  <c r="E47" i="1" s="1"/>
  <c r="P47" i="1" s="1"/>
  <c r="L22" i="1"/>
  <c r="H22" i="1"/>
  <c r="O22" i="1" s="1"/>
  <c r="E23" i="1" s="1"/>
  <c r="P23" i="1" s="1"/>
  <c r="K22" i="1"/>
  <c r="J22" i="1"/>
  <c r="H36" i="1"/>
  <c r="O36" i="1" s="1"/>
  <c r="E37" i="1" s="1"/>
  <c r="P37" i="1" s="1"/>
  <c r="L36" i="1"/>
  <c r="M36" i="1"/>
  <c r="J36" i="1"/>
  <c r="U44" i="1"/>
  <c r="G44" i="1"/>
  <c r="J44" i="1" s="1"/>
  <c r="G33" i="1"/>
  <c r="K33" i="1" s="1"/>
  <c r="U20" i="1"/>
  <c r="U8" i="1"/>
  <c r="G11" i="1"/>
  <c r="K11" i="1" s="1"/>
  <c r="U18" i="1"/>
  <c r="T19" i="1"/>
  <c r="U19" i="1" s="1"/>
  <c r="T28" i="1"/>
  <c r="U28" i="1" s="1"/>
  <c r="G10" i="1"/>
  <c r="M10" i="1" s="1"/>
  <c r="G32" i="1"/>
  <c r="J32" i="1" s="1"/>
  <c r="G28" i="1"/>
  <c r="J28" i="1" s="1"/>
  <c r="W52" i="1" l="1"/>
  <c r="I56" i="1"/>
  <c r="P56" i="1" s="1"/>
  <c r="I62" i="1"/>
  <c r="P62" i="1" s="1"/>
  <c r="W66" i="1" s="1"/>
  <c r="E57" i="1"/>
  <c r="P57" i="1" s="1"/>
  <c r="I46" i="1"/>
  <c r="P46" i="1" s="1"/>
  <c r="I22" i="1"/>
  <c r="P22" i="1" s="1"/>
  <c r="I36" i="1"/>
  <c r="P36" i="1" s="1"/>
  <c r="K44" i="1"/>
  <c r="H44" i="1"/>
  <c r="O44" i="1" s="1"/>
  <c r="E45" i="1" s="1"/>
  <c r="P45" i="1" s="1"/>
  <c r="L44" i="1"/>
  <c r="H33" i="1"/>
  <c r="O33" i="1" s="1"/>
  <c r="E35" i="1" s="1"/>
  <c r="P35" i="1" s="1"/>
  <c r="L33" i="1"/>
  <c r="M33" i="1"/>
  <c r="J33" i="1"/>
  <c r="H11" i="1"/>
  <c r="O11" i="1" s="1"/>
  <c r="L11" i="1"/>
  <c r="M11" i="1"/>
  <c r="J11" i="1"/>
  <c r="M32" i="1"/>
  <c r="J10" i="1"/>
  <c r="L10" i="1"/>
  <c r="H10" i="1"/>
  <c r="O10" i="1" s="1"/>
  <c r="K10" i="1"/>
  <c r="K32" i="1"/>
  <c r="L32" i="1"/>
  <c r="H32" i="1"/>
  <c r="O32" i="1" s="1"/>
  <c r="E34" i="1" s="1"/>
  <c r="P34" i="1" s="1"/>
  <c r="L28" i="1"/>
  <c r="K28" i="1"/>
  <c r="H28" i="1"/>
  <c r="O28" i="1" s="1"/>
  <c r="E29" i="1" s="1"/>
  <c r="P29" i="1" s="1"/>
  <c r="G19" i="1"/>
  <c r="H19" i="1" s="1"/>
  <c r="O19" i="1" s="1"/>
  <c r="E21" i="1" s="1"/>
  <c r="P21" i="1" s="1"/>
  <c r="E18" i="1"/>
  <c r="G18" i="1" s="1"/>
  <c r="M88" i="1" l="1"/>
  <c r="W61" i="1"/>
  <c r="E13" i="1"/>
  <c r="P13" i="1" s="1"/>
  <c r="I33" i="1"/>
  <c r="P33" i="1" s="1"/>
  <c r="I44" i="1"/>
  <c r="P44" i="1" s="1"/>
  <c r="W47" i="1" s="1"/>
  <c r="I11" i="1"/>
  <c r="P11" i="1" s="1"/>
  <c r="I10" i="1"/>
  <c r="P10" i="1" s="1"/>
  <c r="I32" i="1"/>
  <c r="P32" i="1" s="1"/>
  <c r="W43" i="1" s="1"/>
  <c r="I28" i="1"/>
  <c r="P28" i="1" s="1"/>
  <c r="W31" i="1" s="1"/>
  <c r="K19" i="1"/>
  <c r="I19" i="1"/>
  <c r="J19" i="1"/>
  <c r="L19" i="1"/>
  <c r="L18" i="1"/>
  <c r="H18" i="1"/>
  <c r="O18" i="1" s="1"/>
  <c r="E20" i="1" s="1"/>
  <c r="P20" i="1" s="1"/>
  <c r="K18" i="1"/>
  <c r="J18" i="1"/>
  <c r="P19" i="1" l="1"/>
  <c r="I18" i="1"/>
  <c r="P18" i="1" s="1"/>
  <c r="W27" i="1" s="1"/>
  <c r="T9" i="1"/>
  <c r="U9" i="1" s="1"/>
  <c r="U88" i="1" s="1"/>
  <c r="E8" i="1" l="1"/>
  <c r="G9" i="1" l="1"/>
  <c r="G8" i="1"/>
  <c r="L8" i="1" s="1"/>
  <c r="L88" i="1" s="1"/>
  <c r="H9" i="1" l="1"/>
  <c r="O9" i="1" s="1"/>
  <c r="J9" i="1"/>
  <c r="K9" i="1"/>
  <c r="H8" i="1"/>
  <c r="J8" i="1"/>
  <c r="K8" i="1"/>
  <c r="K88" i="1" l="1"/>
  <c r="K97" i="1" s="1"/>
  <c r="I9" i="1"/>
  <c r="P9" i="1" s="1"/>
  <c r="O8" i="1" l="1"/>
  <c r="O88" i="1" s="1"/>
  <c r="I8" i="1"/>
  <c r="E12" i="1" l="1"/>
  <c r="P12" i="1" s="1"/>
  <c r="P8" i="1"/>
  <c r="P88" i="1" s="1"/>
  <c r="U90" i="1" l="1"/>
  <c r="K98" i="1" s="1"/>
  <c r="W17" i="1"/>
  <c r="W89" i="1" s="1"/>
</calcChain>
</file>

<file path=xl/sharedStrings.xml><?xml version="1.0" encoding="utf-8"?>
<sst xmlns="http://schemas.openxmlformats.org/spreadsheetml/2006/main" count="150" uniqueCount="117">
  <si>
    <t>Amount</t>
  </si>
  <si>
    <t>PAYMENT NOTE No.</t>
  </si>
  <si>
    <t>UTR</t>
  </si>
  <si>
    <t>TDS Amount @ 1% on BASIC AMOUNT</t>
  </si>
  <si>
    <t>Total Paid Amount Rs. -</t>
  </si>
  <si>
    <t>OHT Construction work</t>
  </si>
  <si>
    <t>28-08-2023 NEFT/AXISP00418849260/RIUP23/1723/SAHZAD CONTRACTOR/CNRB0003590 348974.00</t>
  </si>
  <si>
    <t>RIUP23/1723</t>
  </si>
  <si>
    <t>10-10-2023 NEFT/AXISP00432974854/RIUP23/2617/SAHZAD CONTRACTOR/CNRB0003590 148500.00</t>
  </si>
  <si>
    <t>RIUP23/2617</t>
  </si>
  <si>
    <t>Bannagar Village OHT Construction work 175Kl 12 mtr</t>
  </si>
  <si>
    <t>17-10-2023 NEFT/AXISP00435127447/RIUP23/2685/SAHZAD CONTRACTOR/CNRB0003590 549450.00</t>
  </si>
  <si>
    <t>17-10-2023 NEFT/AXISP00435127446/RIUP23/2684/SAHZAD CONTRACTOR/CNRB0003590 366424.00</t>
  </si>
  <si>
    <t>RIUP23/2684</t>
  </si>
  <si>
    <t>RIUP23/2662</t>
  </si>
  <si>
    <t>09-11-2023 NEFT/AXISP00442779069/RIUP23/3205/SAHZAD CONTRACTOR/CNRB0003590 247500.00</t>
  </si>
  <si>
    <t>10-11-2023 NEFT/AXISP00443237228/RIUP23/3227/SAHZAD CONTRACTOR/CNRB0003590 346500.00</t>
  </si>
  <si>
    <t>RIUP23/3227</t>
  </si>
  <si>
    <t>29-11-2023 NEFT/AXISP00447355241/RIUP23/3494/SAHZAD CONTRACTOR/CNRB0003590 173250.00</t>
  </si>
  <si>
    <t>01-01-2024 NEFT/AXISP00458204132/RIUP23/3902/SAHZAD CONTRACTOR/CNRB0003590 ₹ 2,00,475.00</t>
  </si>
  <si>
    <t>GST Release Note</t>
  </si>
  <si>
    <t>22,23</t>
  </si>
  <si>
    <t>29-11-2023 NEFT/AXISP00447355234/RIUP23/3475/SAHZAD CONTRACTOR/CNRB0003590 386348.00</t>
  </si>
  <si>
    <t>RIUP23/3475</t>
  </si>
  <si>
    <t>07-12-2023 NEFT/AXISP00450798909/RIUP23/3451/SAHZAD CONTRACTOR/CNRB0003590 270674.00</t>
  </si>
  <si>
    <t>29-11-2023 NEFT/AXISP00447355238/RIUP23/3491/SAHZAD CONTRACTOR/CNRB0003590 297000.00</t>
  </si>
  <si>
    <t>04-01-2024 NEFT/AXISP00459090345/RIUP23/4080/SAHZAD CONTRACTOR/CNRB0003590 6773.00</t>
  </si>
  <si>
    <t>09-01-2024 NEFT/AXISP00461001709/RIUP23/4057/SAHZAD CONTRACTOR/CNRB0003590 62100.00</t>
  </si>
  <si>
    <t>09-01-2024 NEFT/AXISP00461001710/RIUP23/4058/SAHZAD CONTRACTOR/CNRB0003590 359100.00</t>
  </si>
  <si>
    <t xml:space="preserve">
25-01-2024 NEFT/AXISP00464816818/RIUP23/4420/SAHZAD CONTRACTOR/CNRB0003590 43104.00</t>
  </si>
  <si>
    <t>25-01-2024 NEFT/AXISP00464816819/RIUP23/4421/SAHZAD CONTRACTOR/CNRB0003590 153900.00</t>
  </si>
  <si>
    <t>09-01-2024 NEFT/AXISP00461001708/RIUP23/3903/SAHZAD CONTRACTOR/CNRB0003590 70166.00</t>
  </si>
  <si>
    <t>RIUP23/3903</t>
  </si>
  <si>
    <t>27 &amp; 31</t>
  </si>
  <si>
    <t>Advance Village Wise</t>
  </si>
  <si>
    <t>Total Hold</t>
  </si>
  <si>
    <t>Advance / Surplus</t>
  </si>
  <si>
    <t>Nil</t>
  </si>
  <si>
    <t>Sahzad Contractor</t>
  </si>
  <si>
    <t>RIUP23/2685</t>
  </si>
  <si>
    <t>RIUP23/3494</t>
  </si>
  <si>
    <t>RIUP23/3902</t>
  </si>
  <si>
    <t>12-02-2024 NEFT/AXISP004598541233/RIUP23/4649/SAHZAD CONTRACTOR/CNRB0003590 736020.00</t>
  </si>
  <si>
    <t>31-01-2024 NEFT/AXISP00466483057/RIUP23/4399/SAHZAD CONTRACTOR/CNRB0003590 ₹ 99,225.00</t>
  </si>
  <si>
    <t>02-02-2024 NEFT/AXISP00467749362/RIUP23/4423/SAHZAD CONTRACTOR/CNRB0003590 140333.00</t>
  </si>
  <si>
    <t>02-02-2024 NEFT/AXISP00467749361/RIUP23/4422/SAHZAD CONTRACTOR/CNRB0003590 218294.00</t>
  </si>
  <si>
    <t>RIUP23/4423</t>
  </si>
  <si>
    <t>RIUP23/4422</t>
  </si>
  <si>
    <t>31-01-2024 NEFT/AXISP00466483068/RIUP23/4523/SAHZAD CONTRACTOR/CNRB0003590 ₹ 3,76,185.00</t>
  </si>
  <si>
    <t>30-01-2024 NEFT/AXISP00465754495/RIUP23/4380/SAHZAD CONTRACTOR/CNRB0003590 ₹ 1,23,765.00</t>
  </si>
  <si>
    <t>30-01-2024 NEFT/AXISP00465754496/RIUP23/4379/SAHZAD CONTRACTOR/CNRB0003590 ₹ 1,33,650.00</t>
  </si>
  <si>
    <t>RIUP23/4380</t>
  </si>
  <si>
    <t>RIUP23/4379</t>
  </si>
  <si>
    <t>RIUP23/4523</t>
  </si>
  <si>
    <t>Hold r Release  Amount</t>
  </si>
  <si>
    <t>GST Remaining</t>
  </si>
  <si>
    <t>28-02-2024 NEFT/AXISP00474825364/RIUP23/4893/SAHZAD CONTRACTOR/CNRB0003590 9,237.00</t>
  </si>
  <si>
    <t>01-03-2024 NEFT/AXISP00476394218/RIUP23/4923/SAHZAD CONTRACTOR/CNRB0003590 1321874.00</t>
  </si>
  <si>
    <t>01-03-2024 NEFT/AXISP00476394216/RIUP23/4924/SAHZAD CONTRACTOR/CNRB0003590 253125.00</t>
  </si>
  <si>
    <t>06-03-2024 NEFT/AXISP00477945199/RIUP23/4891/SAHZAD CONTRACTOR/CNRB0003590 469530.00</t>
  </si>
  <si>
    <t>06-03-2024 NEFT/AXISP00477945200/RIUP23/4892/SAHZAD CONTRACTOR/CNRB0003590 89910.00</t>
  </si>
  <si>
    <t>01-03-2024 NEFT/AXISP00476394214/RIUP23/4889/SAHZAD CONTRACTOR/CNRB0003590 244282.00</t>
  </si>
  <si>
    <t>01-03-2024 NEFT/AXISP00476394212/RIUP23/4890/SAHZAD CONTRACTOR/CNRB0003590 46778.00</t>
  </si>
  <si>
    <t>06-03-2024 NEFT/AXISP00477945201/RIUP23/4394/SAHZAD CONTRACTOR/CNRB0003590 1297.00</t>
  </si>
  <si>
    <t>06-03-2024 NEFT/AXISP00477945204/RIUP23/4843/SAHZAD CONTRACTOR/CNRB0003590 140940.00</t>
  </si>
  <si>
    <t>Wrong invoice on portal</t>
  </si>
  <si>
    <t>06-04-2024 NEFT/AXISP00489186677/RIUP23/5241/SAHZAD CONTRACTOR/CNRB0003590 786076.00</t>
  </si>
  <si>
    <t>26-03-2024 NEFT/AXISP00484218142/RIUP23/5286/SAHZAD CONTRACTOR/CNRB0003590 366424.00</t>
  </si>
  <si>
    <t>06-04-2024 NEFT/AXISP00489186654/RIUP24/056/SAHZAD CONTRACTOR/CNRB0003590 911137.00</t>
  </si>
  <si>
    <t>26-03-2024 NEFT/AXISP00484218143/RIUP23/5287/SAHZAD CONTRACTOR/CNRB0003590 366424.00</t>
  </si>
  <si>
    <t>24-05-2024 NEFT/AXISP00502611880/RIUP24/0600/SAHZAD CONTRACTOR/CNRB0003590 495000.00</t>
  </si>
  <si>
    <t>26-04-2024 NEFT/AXISP00494041798/RIUP24/0315/SAHZAD CONTRACTOR/CNRB0003590 70166.00</t>
  </si>
  <si>
    <t>26-04-2024 NEFT/AXISP00494041799/RIUP24/0317/SAHZAD CONTRACTOR/CNRB0003590 70166.00</t>
  </si>
  <si>
    <t>26-04-2024 NEFT/AXISP00494052858/RIUP24/0316/SAHZAD CONTRACTOR/CNRB0003590 150525.00</t>
  </si>
  <si>
    <t>26-04-2024 NEFT/AXISP00494041800/RIUP24/0318/SAHZAD CONTRACTOR/CNRB0003590 184275.00</t>
  </si>
  <si>
    <t>16-07-2024 NEFT/AXISP00519021115/RIUP24/0986/SAHZAD CONTRACTOR/CNRB0003590 697950.00</t>
  </si>
  <si>
    <t>05-07-2024 NEFT/AXISP00515811473/RIUP24/0976/SAHZAD CONTRACTOR/CNRB0003590 440624.00</t>
  </si>
  <si>
    <t>Extra Hold</t>
  </si>
  <si>
    <t>03-08-2024 NEFT/AXISP00524511275/RIUP24/1278/SAHZAD CONTRACTOR/CNRB0003590 153900.00</t>
  </si>
  <si>
    <t>03-08-2024 NEFT/AXISP00524511276/RIUP24/1279/SAHZAD CONTRACTOR/CNRB0003590 84375.00</t>
  </si>
  <si>
    <t>03-08-2024 NEFT/AXISP00524511277/RIUP24/1280/SAHZAD CONTRACTOR/CNRB0003590 133650.00</t>
  </si>
  <si>
    <t>03-08-2024 NEFT/AXISP00524511278/RIUP24/1281/SAHZAD CONTRACTOR/CNRB0003590 164160.00</t>
  </si>
  <si>
    <t>19-08-2024 NEFT/AXISP00529670932/RIUP24/0977/SAHZAD CONTRACTOR/CNRB0003590 250000.00</t>
  </si>
  <si>
    <t>06-09-2024 NEFT/AXISP00537682502/RIUP24/1689/SAHZAD CONTRACTOR/CNRB0003590 297000.00</t>
  </si>
  <si>
    <t>18-10-2024 NEFT/AXISP00555372143/RIUP24/1849/SAHZAD CONTRACTOR/CNRB0003590 46778.00</t>
  </si>
  <si>
    <t>12-03-2025 NEFT/AXISP00632182974/RIUP24/0987/SAHZAD CONTRACTOR/CNRB0003590 200000.00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</si>
  <si>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</si>
  <si>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</si>
  <si>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</si>
  <si>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</si>
  <si>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</si>
  <si>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</si>
  <si>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</si>
  <si>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</si>
  <si>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</si>
  <si>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</si>
  <si>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</si>
  <si>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</si>
  <si>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</si>
  <si>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</si>
  <si>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</si>
  <si>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</si>
  <si>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</si>
  <si>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</si>
  <si>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Hold the Amount because the Qty. is more then the DPR</t>
  </si>
  <si>
    <t>GST_SD_Amount</t>
  </si>
  <si>
    <t>Final_Amount</t>
  </si>
  <si>
    <t>Total_Amount</t>
  </si>
  <si>
    <t>Pawti khurd Village OHT Work</t>
  </si>
  <si>
    <t xml:space="preserve">GYNAMAJARA  VILLAGE BALANCE OHT WORK </t>
  </si>
  <si>
    <t>Dehachand Village - 175 KL 12 mtr - Bal Work</t>
  </si>
  <si>
    <t xml:space="preserve">KASOLI  VILLAGE BALANCE 375 16 M OHT WORK </t>
  </si>
  <si>
    <t>Saadpur Village- 225 KL 16 mtr Work</t>
  </si>
  <si>
    <t>Balwakheri Village - 250 KL 12 mtr - Bal Work</t>
  </si>
  <si>
    <t>Chimau Village - 100 - 12 Work</t>
  </si>
  <si>
    <t>Sikanderpur Village - 200- 16 Work</t>
  </si>
  <si>
    <t>Jatnagla Village OHT Construction  150Kl 12 mtr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</si>
</sst>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sz val="9"/>
      <color rgb="FF333333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15" fontId="3" fillId="3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43" fontId="0" fillId="2" borderId="2" xfId="0" applyNumberForma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14" fontId="3" fillId="2" borderId="2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0" fillId="3" borderId="8" xfId="0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14" fontId="3" fillId="2" borderId="9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43" fontId="0" fillId="2" borderId="9" xfId="0" applyNumberForma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3" borderId="8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3" borderId="8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43" fontId="12" fillId="2" borderId="4" xfId="1" applyNumberFormat="1" applyFont="1" applyFill="1" applyBorder="1" applyAlignment="1">
      <alignment vertical="center"/>
    </xf>
    <xf numFmtId="43" fontId="12" fillId="2" borderId="2" xfId="1" applyNumberFormat="1" applyFont="1" applyFill="1" applyBorder="1" applyAlignment="1">
      <alignment vertical="center"/>
    </xf>
    <xf numFmtId="43" fontId="12" fillId="2" borderId="3" xfId="1" applyNumberFormat="1" applyFont="1" applyFill="1" applyBorder="1" applyAlignment="1">
      <alignment vertical="center"/>
    </xf>
    <xf numFmtId="14" fontId="11" fillId="2" borderId="0" xfId="0" applyNumberFormat="1" applyFont="1" applyFill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12" fillId="4" borderId="2" xfId="1" applyNumberFormat="1" applyFont="1" applyFill="1" applyBorder="1" applyAlignment="1">
      <alignment vertical="center"/>
    </xf>
    <xf numFmtId="43" fontId="12" fillId="4" borderId="9" xfId="1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13" fillId="0" borderId="0" xfId="0" applyFont="1"/>
    <xf numFmtId="43" fontId="10" fillId="2" borderId="10" xfId="1" applyNumberFormat="1" applyFont="1" applyFill="1" applyBorder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4" fillId="5" borderId="4" xfId="0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00"/>
  <sheetViews>
    <sheetView tabSelected="1" zoomScale="85" zoomScaleNormal="85" workbookViewId="0">
      <pane ySplit="6" topLeftCell="A76" activePane="bottomLeft" state="frozen"/>
      <selection pane="bottomLeft" activeCell="E15" sqref="E15"/>
    </sheetView>
  </sheetViews>
  <sheetFormatPr defaultColWidth="9" defaultRowHeight="24.9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44" bestFit="1" customWidth="1"/>
    <col min="5" max="5" width="13.33203125" style="2" bestFit="1" customWidth="1"/>
    <col min="6" max="7" width="13.33203125" style="2" customWidth="1"/>
    <col min="8" max="8" width="14.6640625" style="13" customWidth="1"/>
    <col min="9" max="9" width="12.88671875" style="13" bestFit="1" customWidth="1"/>
    <col min="10" max="10" width="10.6640625" style="2" bestFit="1" customWidth="1"/>
    <col min="11" max="11" width="14" style="2" customWidth="1"/>
    <col min="12" max="12" width="13.44140625" style="2" customWidth="1"/>
    <col min="13" max="13" width="15" style="2" customWidth="1"/>
    <col min="14" max="15" width="14.88671875" style="2" customWidth="1"/>
    <col min="16" max="16" width="16.6640625" style="2" bestFit="1" customWidth="1"/>
    <col min="17" max="17" width="10.5546875" style="53" bestFit="1" customWidth="1"/>
    <col min="18" max="18" width="21.6640625" style="2" hidden="1" customWidth="1"/>
    <col min="19" max="19" width="12.6640625" style="2" hidden="1" customWidth="1"/>
    <col min="20" max="20" width="14.5546875" style="2" hidden="1" customWidth="1"/>
    <col min="21" max="21" width="19.6640625" style="2" bestFit="1" customWidth="1"/>
    <col min="22" max="22" width="89.44140625" style="2" customWidth="1"/>
    <col min="23" max="23" width="20.44140625" style="2" bestFit="1" customWidth="1"/>
    <col min="24" max="16384" width="9" style="2"/>
  </cols>
  <sheetData>
    <row r="1" spans="1:161" ht="24.9" customHeight="1" x14ac:dyDescent="0.3">
      <c r="A1" s="79" t="s">
        <v>86</v>
      </c>
      <c r="B1" s="45" t="s">
        <v>38</v>
      </c>
      <c r="E1" s="3"/>
      <c r="F1" s="3"/>
      <c r="G1" s="3"/>
      <c r="H1" s="4"/>
      <c r="I1" s="4"/>
    </row>
    <row r="2" spans="1:161" ht="24.9" customHeight="1" x14ac:dyDescent="0.3">
      <c r="A2" s="79" t="s">
        <v>87</v>
      </c>
      <c r="B2" s="80" t="s">
        <v>90</v>
      </c>
      <c r="C2" s="5"/>
      <c r="D2" s="45" t="s">
        <v>38</v>
      </c>
      <c r="G2" s="6"/>
      <c r="I2" s="6" t="s">
        <v>5</v>
      </c>
      <c r="J2" s="7"/>
      <c r="K2" s="7"/>
      <c r="L2" s="7"/>
      <c r="M2" s="7"/>
      <c r="N2" s="7"/>
      <c r="O2" s="7"/>
      <c r="P2" s="7"/>
      <c r="R2" s="7"/>
      <c r="S2" s="7"/>
      <c r="T2" s="7"/>
    </row>
    <row r="3" spans="1:161" ht="24.9" customHeight="1" thickBot="1" x14ac:dyDescent="0.35">
      <c r="A3" s="79" t="s">
        <v>88</v>
      </c>
      <c r="B3" s="80" t="s">
        <v>91</v>
      </c>
      <c r="C3" s="5"/>
      <c r="D3" s="45"/>
      <c r="G3" s="6"/>
      <c r="I3" s="6"/>
      <c r="J3" s="7"/>
      <c r="K3" s="7"/>
      <c r="L3" s="7"/>
      <c r="M3" s="7"/>
      <c r="N3" s="7"/>
      <c r="O3" s="7"/>
      <c r="P3" s="7"/>
      <c r="R3" s="7"/>
      <c r="S3" s="7"/>
      <c r="T3" s="7"/>
    </row>
    <row r="4" spans="1:161" ht="24.9" customHeight="1" thickBot="1" x14ac:dyDescent="0.35">
      <c r="A4" s="79" t="s">
        <v>89</v>
      </c>
      <c r="B4" s="80" t="s">
        <v>91</v>
      </c>
      <c r="C4" s="8"/>
      <c r="D4" s="46"/>
      <c r="E4" s="8"/>
      <c r="F4" s="7"/>
      <c r="G4" s="7"/>
      <c r="H4" s="9"/>
      <c r="I4" s="9"/>
      <c r="J4" s="7"/>
      <c r="K4" s="7"/>
      <c r="L4" s="7"/>
      <c r="M4" s="7"/>
      <c r="Q4" s="63"/>
      <c r="R4" s="7"/>
      <c r="S4" s="10"/>
      <c r="T4" s="10"/>
      <c r="U4" s="10"/>
      <c r="V4" s="10"/>
    </row>
    <row r="5" spans="1:161" ht="24.9" customHeight="1" x14ac:dyDescent="0.3">
      <c r="A5" s="81" t="s">
        <v>92</v>
      </c>
      <c r="B5" s="82" t="s">
        <v>93</v>
      </c>
      <c r="C5" s="83" t="s">
        <v>94</v>
      </c>
      <c r="D5" s="83" t="s">
        <v>95</v>
      </c>
      <c r="E5" s="82" t="s">
        <v>96</v>
      </c>
      <c r="F5" s="82" t="s">
        <v>97</v>
      </c>
      <c r="G5" s="83" t="s">
        <v>98</v>
      </c>
      <c r="H5" s="84" t="s">
        <v>99</v>
      </c>
      <c r="I5" s="83" t="s">
        <v>0</v>
      </c>
      <c r="J5" s="82" t="s">
        <v>100</v>
      </c>
      <c r="K5" s="82" t="s">
        <v>101</v>
      </c>
      <c r="L5" s="82" t="s">
        <v>102</v>
      </c>
      <c r="M5" s="82" t="s">
        <v>103</v>
      </c>
      <c r="N5" s="85" t="s">
        <v>104</v>
      </c>
      <c r="O5" s="82" t="s">
        <v>105</v>
      </c>
      <c r="P5" s="82" t="s">
        <v>106</v>
      </c>
      <c r="Q5" s="54"/>
      <c r="R5" s="20" t="s">
        <v>1</v>
      </c>
      <c r="S5" s="20" t="s">
        <v>0</v>
      </c>
      <c r="T5" s="20" t="s">
        <v>3</v>
      </c>
      <c r="U5" s="82" t="s">
        <v>107</v>
      </c>
      <c r="V5" s="20" t="s">
        <v>2</v>
      </c>
      <c r="W5" s="28" t="s">
        <v>34</v>
      </c>
    </row>
    <row r="6" spans="1:161" ht="24.9" customHeight="1" thickBot="1" x14ac:dyDescent="0.35">
      <c r="A6" s="33"/>
      <c r="B6" s="12"/>
      <c r="C6" s="12"/>
      <c r="D6" s="47"/>
      <c r="E6" s="12"/>
      <c r="F6" s="12"/>
      <c r="G6" s="12"/>
      <c r="H6" s="34">
        <v>0.18</v>
      </c>
      <c r="I6" s="12"/>
      <c r="J6" s="34">
        <v>0.01</v>
      </c>
      <c r="K6" s="34">
        <v>0.05</v>
      </c>
      <c r="L6" s="34">
        <v>0</v>
      </c>
      <c r="M6" s="34">
        <v>0.1</v>
      </c>
      <c r="N6" s="34"/>
      <c r="O6" s="34">
        <v>0.18</v>
      </c>
      <c r="P6" s="12"/>
      <c r="Q6" s="55"/>
      <c r="R6" s="12"/>
      <c r="S6" s="12"/>
      <c r="T6" s="34">
        <v>0.01</v>
      </c>
      <c r="U6" s="12"/>
      <c r="V6" s="12"/>
      <c r="W6" s="33"/>
    </row>
    <row r="7" spans="1:161" s="14" customFormat="1" ht="24.9" customHeight="1" x14ac:dyDescent="0.3">
      <c r="A7" s="29">
        <v>58910</v>
      </c>
      <c r="B7" s="30"/>
      <c r="C7" s="30"/>
      <c r="D7" s="48"/>
      <c r="E7" s="30"/>
      <c r="F7" s="30"/>
      <c r="G7" s="30"/>
      <c r="H7" s="31"/>
      <c r="I7" s="30"/>
      <c r="J7" s="31"/>
      <c r="K7" s="31"/>
      <c r="L7" s="31"/>
      <c r="M7" s="31"/>
      <c r="N7" s="31"/>
      <c r="O7" s="31"/>
      <c r="P7" s="30"/>
      <c r="Q7" s="56">
        <v>58910</v>
      </c>
      <c r="R7" s="30"/>
      <c r="S7" s="30"/>
      <c r="T7" s="31"/>
      <c r="U7" s="30"/>
      <c r="V7" s="30"/>
      <c r="W7" s="3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</row>
    <row r="8" spans="1:161" ht="24.9" customHeight="1" x14ac:dyDescent="0.3">
      <c r="A8" s="29">
        <v>58910</v>
      </c>
      <c r="B8" s="22" t="s">
        <v>116</v>
      </c>
      <c r="C8" s="1">
        <v>45155</v>
      </c>
      <c r="D8" s="42">
        <v>22</v>
      </c>
      <c r="E8" s="11">
        <f>2475000*15%</f>
        <v>371250</v>
      </c>
      <c r="F8" s="11">
        <v>0</v>
      </c>
      <c r="G8" s="11">
        <f>ROUND(E8-F8,)</f>
        <v>371250</v>
      </c>
      <c r="H8" s="11">
        <f>ROUND(G8*$H$6,0)</f>
        <v>66825</v>
      </c>
      <c r="I8" s="11">
        <f>G8+H8</f>
        <v>438075</v>
      </c>
      <c r="J8" s="11">
        <f>ROUND(G8*$J$6,)</f>
        <v>3713</v>
      </c>
      <c r="K8" s="11">
        <f>ROUND(G8*$K$6,)</f>
        <v>18563</v>
      </c>
      <c r="L8" s="11">
        <f>ROUND(G8*$L$6,)</f>
        <v>0</v>
      </c>
      <c r="M8" s="11">
        <v>0</v>
      </c>
      <c r="N8" s="11"/>
      <c r="O8" s="65">
        <f>H8</f>
        <v>66825</v>
      </c>
      <c r="P8" s="11">
        <f>ROUND(I8-SUM(J8:O8),0)</f>
        <v>348974</v>
      </c>
      <c r="Q8" s="57"/>
      <c r="R8" s="11" t="s">
        <v>7</v>
      </c>
      <c r="S8" s="11">
        <v>348974</v>
      </c>
      <c r="T8" s="11"/>
      <c r="U8" s="11">
        <f>S8-T8</f>
        <v>348974</v>
      </c>
      <c r="V8" s="23" t="s">
        <v>6</v>
      </c>
      <c r="W8" s="17"/>
    </row>
    <row r="9" spans="1:161" ht="24.9" customHeight="1" x14ac:dyDescent="0.3">
      <c r="A9" s="29">
        <v>58910</v>
      </c>
      <c r="B9" s="22" t="s">
        <v>116</v>
      </c>
      <c r="C9" s="1">
        <v>45209</v>
      </c>
      <c r="D9" s="42">
        <v>23</v>
      </c>
      <c r="E9" s="11">
        <v>742500</v>
      </c>
      <c r="F9" s="11"/>
      <c r="G9" s="11">
        <f t="shared" ref="G9" si="0">ROUND(E9-F9,)</f>
        <v>742500</v>
      </c>
      <c r="H9" s="11">
        <f>ROUND(G9*$H$6,0)</f>
        <v>133650</v>
      </c>
      <c r="I9" s="11">
        <f t="shared" ref="I9" si="1">G9+H9</f>
        <v>876150</v>
      </c>
      <c r="J9" s="11">
        <f>ROUND(G9*$J$6,)</f>
        <v>7425</v>
      </c>
      <c r="K9" s="11">
        <f>ROUND(G9*$K$6,)</f>
        <v>37125</v>
      </c>
      <c r="L9" s="11">
        <v>0</v>
      </c>
      <c r="M9" s="11">
        <v>0</v>
      </c>
      <c r="N9" s="11"/>
      <c r="O9" s="65">
        <f>H9</f>
        <v>133650</v>
      </c>
      <c r="P9" s="11">
        <f>ROUND(I9-SUM(J9:O9),0)</f>
        <v>697950</v>
      </c>
      <c r="Q9" s="57"/>
      <c r="R9" s="11" t="s">
        <v>9</v>
      </c>
      <c r="S9" s="11">
        <v>150000</v>
      </c>
      <c r="T9" s="11">
        <f>S9*$T$6</f>
        <v>1500</v>
      </c>
      <c r="U9" s="11">
        <f t="shared" ref="U9:U12" si="2">S9-T9</f>
        <v>148500</v>
      </c>
      <c r="V9" s="23" t="s">
        <v>8</v>
      </c>
      <c r="W9" s="17"/>
    </row>
    <row r="10" spans="1:161" ht="24.9" customHeight="1" x14ac:dyDescent="0.3">
      <c r="A10" s="29">
        <v>58910</v>
      </c>
      <c r="B10" s="22" t="s">
        <v>116</v>
      </c>
      <c r="C10" s="1">
        <v>45255</v>
      </c>
      <c r="D10" s="42">
        <v>27</v>
      </c>
      <c r="E10" s="11">
        <v>247500</v>
      </c>
      <c r="F10" s="11">
        <v>0</v>
      </c>
      <c r="G10" s="11">
        <f>ROUND(E10-F10,)</f>
        <v>247500</v>
      </c>
      <c r="H10" s="11">
        <f>ROUND(G10*$H$6,0)</f>
        <v>44550</v>
      </c>
      <c r="I10" s="11">
        <f>G10+H10</f>
        <v>292050</v>
      </c>
      <c r="J10" s="11">
        <f>ROUND(G10*$J$6,)</f>
        <v>2475</v>
      </c>
      <c r="K10" s="11">
        <f>ROUND(G10*$K$6,)</f>
        <v>12375</v>
      </c>
      <c r="L10" s="11">
        <f>ROUND(G10*$L$6,)</f>
        <v>0</v>
      </c>
      <c r="M10" s="11">
        <f>G10*10%</f>
        <v>24750</v>
      </c>
      <c r="N10" s="11"/>
      <c r="O10" s="65">
        <f>H10</f>
        <v>44550</v>
      </c>
      <c r="P10" s="11">
        <f>ROUND(I10-SUM(J10:O10),0)</f>
        <v>207900</v>
      </c>
      <c r="Q10" s="57"/>
      <c r="R10" s="11" t="s">
        <v>39</v>
      </c>
      <c r="S10" s="11">
        <v>549450</v>
      </c>
      <c r="T10" s="11">
        <v>0</v>
      </c>
      <c r="U10" s="11">
        <f t="shared" si="2"/>
        <v>549450</v>
      </c>
      <c r="V10" s="23" t="s">
        <v>11</v>
      </c>
      <c r="W10" s="17"/>
    </row>
    <row r="11" spans="1:161" ht="24.9" customHeight="1" x14ac:dyDescent="0.3">
      <c r="A11" s="29">
        <v>58910</v>
      </c>
      <c r="B11" s="22" t="s">
        <v>116</v>
      </c>
      <c r="C11" s="1">
        <v>45283</v>
      </c>
      <c r="D11" s="42">
        <v>31</v>
      </c>
      <c r="E11" s="11">
        <v>495000</v>
      </c>
      <c r="F11" s="11">
        <v>0</v>
      </c>
      <c r="G11" s="11">
        <f>ROUND(E11-F11,)</f>
        <v>495000</v>
      </c>
      <c r="H11" s="11">
        <f>ROUND(G11*$H$6,0)</f>
        <v>89100</v>
      </c>
      <c r="I11" s="11">
        <f>G11+H11</f>
        <v>584100</v>
      </c>
      <c r="J11" s="11">
        <f>ROUND(G11*$J$6,)</f>
        <v>4950</v>
      </c>
      <c r="K11" s="11">
        <f>ROUND(G11*$K$6,)</f>
        <v>24750</v>
      </c>
      <c r="L11" s="11">
        <f>ROUND(G11*$L$6,)</f>
        <v>0</v>
      </c>
      <c r="M11" s="11">
        <f>G11*10%</f>
        <v>49500</v>
      </c>
      <c r="N11" s="65">
        <v>376185</v>
      </c>
      <c r="O11" s="65">
        <f>H11</f>
        <v>89100</v>
      </c>
      <c r="P11" s="11">
        <f>ROUND(I11-SUM(J11:O11),0)</f>
        <v>39615</v>
      </c>
      <c r="Q11" s="57"/>
      <c r="R11" s="11" t="s">
        <v>40</v>
      </c>
      <c r="S11" s="11">
        <v>175000</v>
      </c>
      <c r="T11" s="11">
        <f t="shared" ref="T11" si="3">S11*$T$6</f>
        <v>1750</v>
      </c>
      <c r="U11" s="11">
        <f t="shared" si="2"/>
        <v>173250</v>
      </c>
      <c r="V11" s="23" t="s">
        <v>18</v>
      </c>
      <c r="W11" s="17"/>
    </row>
    <row r="12" spans="1:161" ht="24.9" customHeight="1" x14ac:dyDescent="0.3">
      <c r="A12" s="29">
        <v>58910</v>
      </c>
      <c r="B12" s="22" t="s">
        <v>20</v>
      </c>
      <c r="C12" s="1"/>
      <c r="D12" s="42" t="s">
        <v>21</v>
      </c>
      <c r="E12" s="11">
        <f>O8+O9</f>
        <v>200475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65">
        <f>E12</f>
        <v>200475</v>
      </c>
      <c r="Q12" s="57"/>
      <c r="R12" s="11" t="s">
        <v>41</v>
      </c>
      <c r="S12" s="11">
        <v>200475</v>
      </c>
      <c r="T12" s="11">
        <v>0</v>
      </c>
      <c r="U12" s="11">
        <f t="shared" si="2"/>
        <v>200475</v>
      </c>
      <c r="V12" s="23" t="s">
        <v>19</v>
      </c>
      <c r="W12" s="17"/>
    </row>
    <row r="13" spans="1:161" ht="24.9" customHeight="1" x14ac:dyDescent="0.3">
      <c r="A13" s="29">
        <v>58910</v>
      </c>
      <c r="B13" s="22" t="s">
        <v>20</v>
      </c>
      <c r="C13" s="1"/>
      <c r="D13" s="42" t="s">
        <v>33</v>
      </c>
      <c r="E13" s="11">
        <f>O11+O10</f>
        <v>133650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65">
        <f>E13</f>
        <v>133650</v>
      </c>
      <c r="Q13" s="57"/>
      <c r="R13" s="11" t="s">
        <v>51</v>
      </c>
      <c r="S13" s="11">
        <v>123765</v>
      </c>
      <c r="T13" s="11">
        <v>0</v>
      </c>
      <c r="U13" s="11">
        <f t="shared" ref="U13:U15" si="4">S13-T13</f>
        <v>123765</v>
      </c>
      <c r="V13" s="23" t="s">
        <v>49</v>
      </c>
      <c r="W13" s="17"/>
    </row>
    <row r="14" spans="1:161" ht="24.9" customHeight="1" x14ac:dyDescent="0.3">
      <c r="A14" s="29">
        <v>58910</v>
      </c>
      <c r="B14" s="22" t="s">
        <v>54</v>
      </c>
      <c r="C14" s="1"/>
      <c r="D14" s="42"/>
      <c r="E14" s="11">
        <f>N11</f>
        <v>376185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65">
        <f>E14</f>
        <v>376185</v>
      </c>
      <c r="Q14" s="57"/>
      <c r="R14" s="11" t="s">
        <v>52</v>
      </c>
      <c r="S14" s="11">
        <v>133650</v>
      </c>
      <c r="T14" s="11">
        <v>0</v>
      </c>
      <c r="U14" s="11">
        <f t="shared" si="4"/>
        <v>133650</v>
      </c>
      <c r="V14" s="23" t="s">
        <v>50</v>
      </c>
      <c r="W14" s="17"/>
    </row>
    <row r="15" spans="1:161" ht="24.9" customHeight="1" x14ac:dyDescent="0.3">
      <c r="A15" s="29">
        <v>58910</v>
      </c>
      <c r="B15" s="22"/>
      <c r="C15" s="1"/>
      <c r="D15" s="4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57"/>
      <c r="R15" s="11" t="s">
        <v>53</v>
      </c>
      <c r="S15" s="11">
        <v>376185</v>
      </c>
      <c r="T15" s="11">
        <v>0</v>
      </c>
      <c r="U15" s="11">
        <f t="shared" si="4"/>
        <v>376185</v>
      </c>
      <c r="V15" s="23" t="s">
        <v>48</v>
      </c>
      <c r="W15" s="17"/>
    </row>
    <row r="16" spans="1:161" ht="24.9" customHeight="1" x14ac:dyDescent="0.3">
      <c r="A16" s="17"/>
      <c r="B16" s="22"/>
      <c r="C16" s="1"/>
      <c r="D16" s="4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57"/>
      <c r="R16" s="11"/>
      <c r="S16" s="11"/>
      <c r="T16" s="11"/>
      <c r="U16" s="11"/>
      <c r="V16" s="23"/>
      <c r="W16" s="17"/>
    </row>
    <row r="17" spans="1:161" s="14" customFormat="1" ht="24.9" customHeight="1" x14ac:dyDescent="0.3">
      <c r="A17" s="25">
        <v>59699</v>
      </c>
      <c r="B17" s="24"/>
      <c r="C17" s="16"/>
      <c r="D17" s="43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58">
        <v>59699</v>
      </c>
      <c r="R17" s="15"/>
      <c r="S17" s="15"/>
      <c r="T17" s="15"/>
      <c r="U17" s="15"/>
      <c r="V17" s="25"/>
      <c r="W17" s="18">
        <f>SUM(P8:P16,0)-SUM(U8:U16,0)</f>
        <v>-49500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</row>
    <row r="18" spans="1:161" ht="24.9" customHeight="1" x14ac:dyDescent="0.3">
      <c r="A18" s="25">
        <v>59699</v>
      </c>
      <c r="B18" s="22" t="s">
        <v>10</v>
      </c>
      <c r="C18" s="1">
        <v>45209</v>
      </c>
      <c r="D18" s="42">
        <v>24</v>
      </c>
      <c r="E18" s="11">
        <f>2598750*15%</f>
        <v>389812.5</v>
      </c>
      <c r="F18" s="11">
        <v>0</v>
      </c>
      <c r="G18" s="11">
        <f>ROUND(E18-F18,)</f>
        <v>389813</v>
      </c>
      <c r="H18" s="11">
        <f>ROUND(G18*$H$6,0)</f>
        <v>70166</v>
      </c>
      <c r="I18" s="11">
        <f>G18+H18</f>
        <v>459979</v>
      </c>
      <c r="J18" s="11">
        <f>ROUND(G18*$J$6,)</f>
        <v>3898</v>
      </c>
      <c r="K18" s="11">
        <f>ROUND(G18*$K$6,)</f>
        <v>19491</v>
      </c>
      <c r="L18" s="11">
        <f>ROUND(G18*$L$6,)</f>
        <v>0</v>
      </c>
      <c r="M18" s="11">
        <v>0</v>
      </c>
      <c r="N18" s="11"/>
      <c r="O18" s="65">
        <f>H18</f>
        <v>70166</v>
      </c>
      <c r="P18" s="11">
        <f>ROUND(I18-SUM(J18:O18),0)</f>
        <v>366424</v>
      </c>
      <c r="Q18" s="57"/>
      <c r="R18" s="11" t="s">
        <v>13</v>
      </c>
      <c r="S18" s="11">
        <v>366424</v>
      </c>
      <c r="T18" s="11">
        <v>0</v>
      </c>
      <c r="U18" s="11">
        <f t="shared" ref="U18:U23" si="5">S18-T18</f>
        <v>366424</v>
      </c>
      <c r="V18" s="23" t="s">
        <v>12</v>
      </c>
      <c r="W18" s="17"/>
    </row>
    <row r="19" spans="1:161" ht="24.9" customHeight="1" x14ac:dyDescent="0.3">
      <c r="A19" s="25">
        <v>59699</v>
      </c>
      <c r="B19" s="22" t="s">
        <v>10</v>
      </c>
      <c r="C19" s="11">
        <v>45235</v>
      </c>
      <c r="D19" s="49">
        <v>25</v>
      </c>
      <c r="E19" s="11">
        <v>779625</v>
      </c>
      <c r="F19" s="11">
        <v>0</v>
      </c>
      <c r="G19" s="11">
        <f>ROUND(E19-F19,)</f>
        <v>779625</v>
      </c>
      <c r="H19" s="11">
        <f>ROUND(G19*$H$6,0)</f>
        <v>140333</v>
      </c>
      <c r="I19" s="11">
        <f>G19+H19</f>
        <v>919958</v>
      </c>
      <c r="J19" s="11">
        <f>ROUND(G19*$J$6,)</f>
        <v>7796</v>
      </c>
      <c r="K19" s="11">
        <f>ROUND(G19*$K$6,)</f>
        <v>38981</v>
      </c>
      <c r="L19" s="11">
        <f>ROUND(G19*$L$6,)</f>
        <v>0</v>
      </c>
      <c r="M19" s="11">
        <v>0</v>
      </c>
      <c r="N19" s="11"/>
      <c r="O19" s="65">
        <f>H19</f>
        <v>140333</v>
      </c>
      <c r="P19" s="11">
        <f>ROUND(I19-SUM(J19:O19),0)</f>
        <v>732848</v>
      </c>
      <c r="Q19" s="57"/>
      <c r="R19" s="11" t="s">
        <v>17</v>
      </c>
      <c r="S19" s="11">
        <v>350000</v>
      </c>
      <c r="T19" s="11">
        <f>S19*$T$6</f>
        <v>3500</v>
      </c>
      <c r="U19" s="11">
        <f t="shared" si="5"/>
        <v>346500</v>
      </c>
      <c r="V19" s="23" t="s">
        <v>16</v>
      </c>
      <c r="W19" s="17"/>
    </row>
    <row r="20" spans="1:161" ht="24.9" customHeight="1" x14ac:dyDescent="0.3">
      <c r="A20" s="25">
        <v>59699</v>
      </c>
      <c r="B20" s="22" t="s">
        <v>20</v>
      </c>
      <c r="C20" s="11"/>
      <c r="D20" s="49">
        <v>24</v>
      </c>
      <c r="E20" s="11">
        <f>O18</f>
        <v>70166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65">
        <f>E20</f>
        <v>70166</v>
      </c>
      <c r="Q20" s="57"/>
      <c r="R20" s="11" t="s">
        <v>23</v>
      </c>
      <c r="S20" s="11">
        <v>386348</v>
      </c>
      <c r="T20" s="11"/>
      <c r="U20" s="11">
        <f t="shared" si="5"/>
        <v>386348</v>
      </c>
      <c r="V20" s="23" t="s">
        <v>22</v>
      </c>
      <c r="W20" s="17"/>
    </row>
    <row r="21" spans="1:161" ht="24.9" customHeight="1" x14ac:dyDescent="0.3">
      <c r="A21" s="25">
        <v>59699</v>
      </c>
      <c r="B21" s="22" t="s">
        <v>20</v>
      </c>
      <c r="C21" s="11"/>
      <c r="D21" s="49">
        <v>25</v>
      </c>
      <c r="E21" s="11">
        <f>O19</f>
        <v>140333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65">
        <f>E21</f>
        <v>140333</v>
      </c>
      <c r="Q21" s="57"/>
      <c r="R21" s="11" t="s">
        <v>32</v>
      </c>
      <c r="S21" s="11">
        <v>70166</v>
      </c>
      <c r="T21" s="11"/>
      <c r="U21" s="11">
        <f t="shared" si="5"/>
        <v>70166</v>
      </c>
      <c r="V21" s="23" t="s">
        <v>31</v>
      </c>
      <c r="W21" s="18"/>
    </row>
    <row r="22" spans="1:161" ht="24.9" customHeight="1" x14ac:dyDescent="0.3">
      <c r="A22" s="25">
        <v>59699</v>
      </c>
      <c r="B22" s="22" t="s">
        <v>10</v>
      </c>
      <c r="C22" s="1">
        <v>45209</v>
      </c>
      <c r="D22" s="42">
        <v>37</v>
      </c>
      <c r="E22" s="11">
        <v>259875</v>
      </c>
      <c r="F22" s="11">
        <v>0</v>
      </c>
      <c r="G22" s="11">
        <f>ROUND(E22-F22,)</f>
        <v>259875</v>
      </c>
      <c r="H22" s="11">
        <f>ROUND(G22*$H$6,0)</f>
        <v>46778</v>
      </c>
      <c r="I22" s="11">
        <f>G22+H22</f>
        <v>306653</v>
      </c>
      <c r="J22" s="11">
        <f>ROUND(G22*$J$6,)</f>
        <v>2599</v>
      </c>
      <c r="K22" s="11">
        <f>ROUND(G22*$K$6,)</f>
        <v>12994</v>
      </c>
      <c r="L22" s="11">
        <f>ROUND(G22*$L$6,)</f>
        <v>0</v>
      </c>
      <c r="M22" s="11">
        <f>G22*10%</f>
        <v>25987.5</v>
      </c>
      <c r="N22" s="11"/>
      <c r="O22" s="11">
        <f>H22</f>
        <v>46778</v>
      </c>
      <c r="P22" s="11">
        <f>ROUND(I22-SUM(J22:O22),0)</f>
        <v>218295</v>
      </c>
      <c r="Q22" s="57"/>
      <c r="R22" s="11" t="s">
        <v>46</v>
      </c>
      <c r="S22" s="11">
        <v>140333</v>
      </c>
      <c r="T22" s="11"/>
      <c r="U22" s="11">
        <f t="shared" si="5"/>
        <v>140333</v>
      </c>
      <c r="V22" s="23" t="s">
        <v>44</v>
      </c>
      <c r="W22" s="17"/>
    </row>
    <row r="23" spans="1:161" ht="24.9" customHeight="1" x14ac:dyDescent="0.3">
      <c r="A23" s="25">
        <v>59699</v>
      </c>
      <c r="B23" s="22"/>
      <c r="C23" s="11"/>
      <c r="D23" s="49">
        <v>37</v>
      </c>
      <c r="E23" s="11">
        <f>O22</f>
        <v>46778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f>E23</f>
        <v>46778</v>
      </c>
      <c r="Q23" s="57" t="s">
        <v>65</v>
      </c>
      <c r="R23" s="11" t="s">
        <v>47</v>
      </c>
      <c r="S23" s="11">
        <v>218294</v>
      </c>
      <c r="T23" s="11"/>
      <c r="U23" s="11">
        <f t="shared" si="5"/>
        <v>218294</v>
      </c>
      <c r="V23" s="23" t="s">
        <v>45</v>
      </c>
      <c r="W23" s="17"/>
    </row>
    <row r="24" spans="1:161" ht="24.9" customHeight="1" x14ac:dyDescent="0.3">
      <c r="A24" s="25">
        <v>59699</v>
      </c>
      <c r="B24" s="22"/>
      <c r="C24" s="26">
        <v>45366</v>
      </c>
      <c r="D24" s="49">
        <v>43</v>
      </c>
      <c r="E24" s="11">
        <f>A18*15%</f>
        <v>8954.85</v>
      </c>
      <c r="F24" s="11"/>
      <c r="G24" s="11">
        <f>ROUND(E24-F24,)</f>
        <v>8955</v>
      </c>
      <c r="H24" s="11">
        <f>ROUND(G24*$H$6,0)</f>
        <v>1612</v>
      </c>
      <c r="I24" s="11">
        <f>G24+H24</f>
        <v>10567</v>
      </c>
      <c r="J24" s="11">
        <f>ROUND(G24*$J$6,)</f>
        <v>90</v>
      </c>
      <c r="K24" s="11">
        <f>ROUND(G24*$K$6,)</f>
        <v>448</v>
      </c>
      <c r="L24" s="11">
        <f>ROUND(G24*$L$6,)</f>
        <v>0</v>
      </c>
      <c r="M24" s="11"/>
      <c r="N24" s="11"/>
      <c r="O24" s="65">
        <f>H24</f>
        <v>1612</v>
      </c>
      <c r="P24" s="11">
        <f>ROUND(I24-SUM(J24:O24),0)</f>
        <v>8417</v>
      </c>
      <c r="Q24" s="57"/>
      <c r="R24" s="11"/>
      <c r="S24" s="11"/>
      <c r="T24" s="11"/>
      <c r="U24" s="11">
        <v>366424</v>
      </c>
      <c r="V24" s="23" t="s">
        <v>69</v>
      </c>
      <c r="W24" s="17"/>
    </row>
    <row r="25" spans="1:161" ht="24.9" customHeight="1" x14ac:dyDescent="0.3">
      <c r="A25" s="25">
        <v>59699</v>
      </c>
      <c r="B25" s="22"/>
      <c r="C25" s="11"/>
      <c r="D25" s="49">
        <v>43</v>
      </c>
      <c r="E25" s="11">
        <f>O24</f>
        <v>1612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65">
        <f>E25</f>
        <v>1612</v>
      </c>
      <c r="Q25" s="57"/>
      <c r="R25" s="11"/>
      <c r="S25" s="11"/>
      <c r="T25" s="11"/>
      <c r="U25" s="11">
        <v>70166</v>
      </c>
      <c r="V25" s="23" t="s">
        <v>71</v>
      </c>
      <c r="W25" s="17"/>
    </row>
    <row r="26" spans="1:161" ht="24.9" customHeight="1" x14ac:dyDescent="0.3">
      <c r="A26" s="25">
        <v>59699</v>
      </c>
      <c r="B26" s="22"/>
      <c r="C26" s="11"/>
      <c r="D26" s="4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57"/>
      <c r="R26" s="11"/>
      <c r="S26" s="11"/>
      <c r="T26" s="11"/>
      <c r="U26" s="11">
        <v>46778</v>
      </c>
      <c r="V26" s="23" t="s">
        <v>84</v>
      </c>
      <c r="W26" s="17"/>
    </row>
    <row r="27" spans="1:161" s="14" customFormat="1" ht="24.9" customHeight="1" x14ac:dyDescent="0.3">
      <c r="A27" s="25">
        <v>60072</v>
      </c>
      <c r="B27" s="24"/>
      <c r="C27" s="15"/>
      <c r="D27" s="50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58">
        <v>60072</v>
      </c>
      <c r="R27" s="15"/>
      <c r="S27" s="15"/>
      <c r="T27" s="15"/>
      <c r="U27" s="15"/>
      <c r="V27" s="25"/>
      <c r="W27" s="18">
        <f>SUM(P17:P26,0)-SUM(U17:U26,0)</f>
        <v>-426560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</row>
    <row r="28" spans="1:161" ht="24.9" customHeight="1" x14ac:dyDescent="0.3">
      <c r="A28" s="25">
        <v>60072</v>
      </c>
      <c r="B28" s="22" t="s">
        <v>108</v>
      </c>
      <c r="C28" s="11">
        <v>45233</v>
      </c>
      <c r="D28" s="49">
        <v>26</v>
      </c>
      <c r="E28" s="11">
        <v>551250</v>
      </c>
      <c r="F28" s="11"/>
      <c r="G28" s="11">
        <f>ROUND(E28-F28,)</f>
        <v>551250</v>
      </c>
      <c r="H28" s="11">
        <f>ROUND(G28*$H$6,0)</f>
        <v>99225</v>
      </c>
      <c r="I28" s="11">
        <f>G28+H28</f>
        <v>650475</v>
      </c>
      <c r="J28" s="11">
        <f>ROUND(G28*$J$6,)</f>
        <v>5513</v>
      </c>
      <c r="K28" s="11">
        <f>ROUND(G28*$K$6,)</f>
        <v>27563</v>
      </c>
      <c r="L28" s="11">
        <f>ROUND(G28*$L$6,)</f>
        <v>0</v>
      </c>
      <c r="M28" s="11">
        <v>0</v>
      </c>
      <c r="N28" s="11"/>
      <c r="O28" s="65">
        <f>H28</f>
        <v>99225</v>
      </c>
      <c r="P28" s="11">
        <f>ROUND(I28-SUM(J28:O28),0)</f>
        <v>518174</v>
      </c>
      <c r="Q28" s="57"/>
      <c r="R28" s="11" t="s">
        <v>14</v>
      </c>
      <c r="S28" s="11">
        <v>250000</v>
      </c>
      <c r="T28" s="11">
        <f>S28*$T$6</f>
        <v>2500</v>
      </c>
      <c r="U28" s="11">
        <f>S28-T28</f>
        <v>247500</v>
      </c>
      <c r="V28" s="23" t="s">
        <v>15</v>
      </c>
      <c r="W28" s="17"/>
    </row>
    <row r="29" spans="1:161" ht="24.9" customHeight="1" x14ac:dyDescent="0.3">
      <c r="A29" s="25">
        <v>60072</v>
      </c>
      <c r="B29" s="22" t="s">
        <v>20</v>
      </c>
      <c r="C29" s="11"/>
      <c r="D29" s="49">
        <v>26</v>
      </c>
      <c r="E29" s="11">
        <f>O28</f>
        <v>99225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65">
        <f>E29</f>
        <v>99225</v>
      </c>
      <c r="Q29" s="57"/>
      <c r="R29" s="11"/>
      <c r="S29" s="11"/>
      <c r="T29" s="11"/>
      <c r="U29" s="11">
        <v>270674</v>
      </c>
      <c r="V29" s="23" t="s">
        <v>24</v>
      </c>
      <c r="W29" s="17"/>
    </row>
    <row r="30" spans="1:161" ht="24.9" customHeight="1" x14ac:dyDescent="0.3">
      <c r="A30" s="25">
        <v>60072</v>
      </c>
      <c r="B30" s="22"/>
      <c r="C30" s="11"/>
      <c r="D30" s="49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57"/>
      <c r="R30" s="11"/>
      <c r="S30" s="11"/>
      <c r="T30" s="11"/>
      <c r="U30" s="11">
        <v>99225</v>
      </c>
      <c r="V30" s="23" t="s">
        <v>43</v>
      </c>
      <c r="W30" s="17"/>
    </row>
    <row r="31" spans="1:161" ht="24.9" customHeight="1" x14ac:dyDescent="0.3">
      <c r="A31" s="25">
        <v>60275</v>
      </c>
      <c r="B31" s="24"/>
      <c r="C31" s="15"/>
      <c r="D31" s="50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58">
        <v>60275</v>
      </c>
      <c r="R31" s="15"/>
      <c r="S31" s="15"/>
      <c r="T31" s="15"/>
      <c r="U31" s="15"/>
      <c r="V31" s="25"/>
      <c r="W31" s="18">
        <f>SUM(P28:P30,0)-SUM(U28:U30,0)</f>
        <v>0</v>
      </c>
    </row>
    <row r="32" spans="1:161" ht="24.9" customHeight="1" x14ac:dyDescent="0.3">
      <c r="A32" s="25">
        <v>60275</v>
      </c>
      <c r="B32" s="22" t="s">
        <v>108</v>
      </c>
      <c r="C32" s="26">
        <v>45255</v>
      </c>
      <c r="D32" s="49">
        <v>28</v>
      </c>
      <c r="E32" s="11">
        <v>427500</v>
      </c>
      <c r="F32" s="11"/>
      <c r="G32" s="11">
        <f>ROUND(E32-F32,)</f>
        <v>427500</v>
      </c>
      <c r="H32" s="11">
        <f>ROUND(G32*$H$6,0)</f>
        <v>76950</v>
      </c>
      <c r="I32" s="11">
        <f>G32+H32</f>
        <v>504450</v>
      </c>
      <c r="J32" s="11">
        <f>ROUND(G32*$J$6,)</f>
        <v>4275</v>
      </c>
      <c r="K32" s="11">
        <f>ROUND(G32*$K$6,)</f>
        <v>21375</v>
      </c>
      <c r="L32" s="11">
        <f>ROUND(G32*$L$6,)</f>
        <v>0</v>
      </c>
      <c r="M32" s="11">
        <f>G32*10%</f>
        <v>42750</v>
      </c>
      <c r="N32" s="11"/>
      <c r="O32" s="65">
        <f>H32</f>
        <v>76950</v>
      </c>
      <c r="P32" s="11">
        <f>ROUND(I32-SUM(J32:O32),0)</f>
        <v>359100</v>
      </c>
      <c r="Q32" s="57"/>
      <c r="R32" s="11"/>
      <c r="S32" s="11"/>
      <c r="T32" s="11"/>
      <c r="U32" s="11">
        <v>297000</v>
      </c>
      <c r="V32" s="23" t="s">
        <v>25</v>
      </c>
      <c r="W32" s="18"/>
    </row>
    <row r="33" spans="1:23" ht="24.9" customHeight="1" x14ac:dyDescent="0.3">
      <c r="A33" s="25">
        <v>60275</v>
      </c>
      <c r="B33" s="22" t="s">
        <v>108</v>
      </c>
      <c r="C33" s="26">
        <v>45283</v>
      </c>
      <c r="D33" s="49">
        <v>32</v>
      </c>
      <c r="E33" s="11">
        <v>427500</v>
      </c>
      <c r="F33" s="11"/>
      <c r="G33" s="11">
        <f>ROUND(E33-F33,)</f>
        <v>427500</v>
      </c>
      <c r="H33" s="11">
        <f>ROUND(G33*$H$6,0)</f>
        <v>76950</v>
      </c>
      <c r="I33" s="11">
        <f>G33+H33</f>
        <v>504450</v>
      </c>
      <c r="J33" s="11">
        <f>ROUND(G33*$J$6,)</f>
        <v>4275</v>
      </c>
      <c r="K33" s="11">
        <f>ROUND(G33*$K$6,)</f>
        <v>21375</v>
      </c>
      <c r="L33" s="11">
        <f>ROUND(G33*$L$6,)</f>
        <v>0</v>
      </c>
      <c r="M33" s="11">
        <f>G33*10%</f>
        <v>42750</v>
      </c>
      <c r="N33" s="11"/>
      <c r="O33" s="65">
        <f>H33</f>
        <v>76950</v>
      </c>
      <c r="P33" s="11">
        <f>ROUND(I33-SUM(J33:O33),0)</f>
        <v>359100</v>
      </c>
      <c r="Q33" s="57"/>
      <c r="R33" s="11"/>
      <c r="S33" s="11"/>
      <c r="T33" s="11"/>
      <c r="U33" s="11">
        <v>62100</v>
      </c>
      <c r="V33" s="23" t="s">
        <v>27</v>
      </c>
      <c r="W33" s="17"/>
    </row>
    <row r="34" spans="1:23" ht="24.9" customHeight="1" x14ac:dyDescent="0.3">
      <c r="A34" s="25">
        <v>60275</v>
      </c>
      <c r="B34" s="22" t="s">
        <v>20</v>
      </c>
      <c r="C34" s="26">
        <v>45283</v>
      </c>
      <c r="D34" s="49">
        <v>28</v>
      </c>
      <c r="E34" s="11">
        <f>O32</f>
        <v>76950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65">
        <f>E34</f>
        <v>76950</v>
      </c>
      <c r="Q34" s="57"/>
      <c r="R34" s="11"/>
      <c r="S34" s="11"/>
      <c r="T34" s="11"/>
      <c r="U34" s="11">
        <v>359100</v>
      </c>
      <c r="V34" s="23" t="s">
        <v>28</v>
      </c>
      <c r="W34" s="17"/>
    </row>
    <row r="35" spans="1:23" ht="24.9" customHeight="1" x14ac:dyDescent="0.3">
      <c r="A35" s="25">
        <v>60275</v>
      </c>
      <c r="B35" s="22" t="s">
        <v>20</v>
      </c>
      <c r="C35" s="26">
        <v>45283</v>
      </c>
      <c r="D35" s="49">
        <v>32</v>
      </c>
      <c r="E35" s="11">
        <f>O33</f>
        <v>76950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65">
        <f>E35</f>
        <v>76950</v>
      </c>
      <c r="Q35" s="57"/>
      <c r="R35" s="11"/>
      <c r="S35" s="11"/>
      <c r="T35" s="11"/>
      <c r="U35" s="11">
        <v>153900</v>
      </c>
      <c r="V35" s="23" t="s">
        <v>30</v>
      </c>
      <c r="W35" s="17"/>
    </row>
    <row r="36" spans="1:23" ht="24.9" customHeight="1" x14ac:dyDescent="0.3">
      <c r="A36" s="25">
        <v>60275</v>
      </c>
      <c r="B36" s="22" t="s">
        <v>108</v>
      </c>
      <c r="C36" s="26">
        <v>45308</v>
      </c>
      <c r="D36" s="49">
        <v>38</v>
      </c>
      <c r="E36" s="11">
        <v>427500</v>
      </c>
      <c r="F36" s="11">
        <v>376186</v>
      </c>
      <c r="G36" s="11">
        <f>ROUND(E36-F36,)</f>
        <v>51314</v>
      </c>
      <c r="H36" s="11">
        <f>ROUND(G36*$H$6,0)</f>
        <v>9237</v>
      </c>
      <c r="I36" s="11">
        <f>G36+H36</f>
        <v>60551</v>
      </c>
      <c r="J36" s="11">
        <f>ROUND(G36*$J$6,)</f>
        <v>513</v>
      </c>
      <c r="K36" s="11">
        <f>ROUND(G36*$K$6,)</f>
        <v>2566</v>
      </c>
      <c r="L36" s="11">
        <f>ROUND(G36*$L$6,)</f>
        <v>0</v>
      </c>
      <c r="M36" s="11">
        <f>G36*10%</f>
        <v>5131.4000000000005</v>
      </c>
      <c r="N36" s="11"/>
      <c r="O36" s="65">
        <f>H36</f>
        <v>9237</v>
      </c>
      <c r="P36" s="11">
        <f>ROUND(I36-SUM(J36:O36),0)</f>
        <v>43104</v>
      </c>
      <c r="Q36" s="57"/>
      <c r="R36" s="11"/>
      <c r="S36" s="11"/>
      <c r="T36" s="11"/>
      <c r="U36" s="11">
        <v>43104</v>
      </c>
      <c r="V36" s="23" t="s">
        <v>29</v>
      </c>
      <c r="W36" s="17"/>
    </row>
    <row r="37" spans="1:23" ht="24.9" customHeight="1" x14ac:dyDescent="0.3">
      <c r="A37" s="25">
        <v>60275</v>
      </c>
      <c r="B37" s="22" t="s">
        <v>20</v>
      </c>
      <c r="C37" s="26"/>
      <c r="D37" s="49">
        <v>38</v>
      </c>
      <c r="E37" s="11">
        <f>O36</f>
        <v>9237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65">
        <f>E37</f>
        <v>9237</v>
      </c>
      <c r="Q37" s="57"/>
      <c r="R37" s="11"/>
      <c r="S37" s="11"/>
      <c r="T37" s="11"/>
      <c r="U37" s="11">
        <v>9237</v>
      </c>
      <c r="V37" s="23" t="s">
        <v>56</v>
      </c>
      <c r="W37" s="18"/>
    </row>
    <row r="38" spans="1:23" ht="24.9" customHeight="1" x14ac:dyDescent="0.3">
      <c r="A38" s="25">
        <v>60275</v>
      </c>
      <c r="B38" s="22"/>
      <c r="C38" s="26">
        <v>45468</v>
      </c>
      <c r="D38" s="49">
        <v>1</v>
      </c>
      <c r="E38" s="11">
        <v>855000</v>
      </c>
      <c r="F38" s="11"/>
      <c r="G38" s="11">
        <f>ROUND(E38-F38,)</f>
        <v>855000</v>
      </c>
      <c r="H38" s="11">
        <f>ROUND(G38*$H$6,0)</f>
        <v>153900</v>
      </c>
      <c r="I38" s="11">
        <f>G38+H38</f>
        <v>1008900</v>
      </c>
      <c r="J38" s="11">
        <f>ROUND(G38*$J$6,)</f>
        <v>8550</v>
      </c>
      <c r="K38" s="11">
        <f>ROUND(G38*$K$6,)</f>
        <v>42750</v>
      </c>
      <c r="L38" s="11">
        <f>ROUND(G38*$L$6,)</f>
        <v>0</v>
      </c>
      <c r="M38" s="11"/>
      <c r="N38" s="11"/>
      <c r="O38" s="65">
        <f>H38</f>
        <v>153900</v>
      </c>
      <c r="P38" s="11">
        <f>ROUND(I38-SUM(J38:O38),0)</f>
        <v>803700</v>
      </c>
      <c r="Q38" s="57"/>
      <c r="R38" s="11"/>
      <c r="S38" s="11"/>
      <c r="T38" s="11"/>
      <c r="U38" s="11">
        <v>495000</v>
      </c>
      <c r="V38" s="23" t="s">
        <v>70</v>
      </c>
      <c r="W38" s="17"/>
    </row>
    <row r="39" spans="1:23" ht="24.9" customHeight="1" x14ac:dyDescent="0.3">
      <c r="A39" s="25">
        <v>60275</v>
      </c>
      <c r="B39" s="22" t="s">
        <v>20</v>
      </c>
      <c r="C39" s="26"/>
      <c r="D39" s="49">
        <v>1</v>
      </c>
      <c r="E39" s="11">
        <f>O38</f>
        <v>153900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65">
        <f>E39</f>
        <v>153900</v>
      </c>
      <c r="Q39" s="57"/>
      <c r="R39" s="11"/>
      <c r="S39" s="11"/>
      <c r="T39" s="11"/>
      <c r="U39" s="11">
        <v>153900</v>
      </c>
      <c r="V39" s="23" t="s">
        <v>78</v>
      </c>
      <c r="W39" s="17"/>
    </row>
    <row r="40" spans="1:23" ht="24.9" customHeight="1" x14ac:dyDescent="0.3">
      <c r="A40" s="25">
        <v>60275</v>
      </c>
      <c r="B40" s="22"/>
      <c r="C40" s="26"/>
      <c r="D40" s="4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57"/>
      <c r="R40" s="11"/>
      <c r="S40" s="11"/>
      <c r="T40" s="11"/>
      <c r="U40" s="11">
        <v>250000</v>
      </c>
      <c r="V40" s="23" t="s">
        <v>82</v>
      </c>
      <c r="W40" s="17"/>
    </row>
    <row r="41" spans="1:23" ht="24.9" customHeight="1" x14ac:dyDescent="0.3">
      <c r="A41" s="17"/>
      <c r="B41" s="22"/>
      <c r="C41" s="26"/>
      <c r="D41" s="49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57"/>
      <c r="R41" s="11"/>
      <c r="S41" s="11"/>
      <c r="T41" s="11"/>
      <c r="U41" s="11"/>
      <c r="V41" s="23"/>
      <c r="W41" s="17"/>
    </row>
    <row r="42" spans="1:23" ht="24.9" customHeight="1" x14ac:dyDescent="0.3">
      <c r="A42" s="17"/>
      <c r="B42" s="22"/>
      <c r="C42" s="26"/>
      <c r="D42" s="49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57"/>
      <c r="R42" s="11"/>
      <c r="S42" s="11"/>
      <c r="T42" s="11"/>
      <c r="U42" s="11"/>
      <c r="V42" s="23"/>
      <c r="W42" s="17"/>
    </row>
    <row r="43" spans="1:23" ht="24.9" customHeight="1" x14ac:dyDescent="0.3">
      <c r="A43" s="25">
        <v>61142</v>
      </c>
      <c r="B43" s="24"/>
      <c r="C43" s="15"/>
      <c r="D43" s="50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58">
        <v>61142</v>
      </c>
      <c r="R43" s="15"/>
      <c r="S43" s="15"/>
      <c r="T43" s="15"/>
      <c r="U43" s="15"/>
      <c r="V43" s="25"/>
      <c r="W43" s="18">
        <f>SUM(P32:P42,0)-SUM(U32:U42,0)</f>
        <v>58700</v>
      </c>
    </row>
    <row r="44" spans="1:23" ht="24.9" customHeight="1" x14ac:dyDescent="0.3">
      <c r="A44" s="25">
        <v>61142</v>
      </c>
      <c r="B44" s="22" t="s">
        <v>109</v>
      </c>
      <c r="C44" s="26">
        <v>45255</v>
      </c>
      <c r="D44" s="49">
        <v>33</v>
      </c>
      <c r="E44" s="11">
        <v>261000</v>
      </c>
      <c r="F44" s="11">
        <v>253795</v>
      </c>
      <c r="G44" s="11">
        <f>ROUND(E44-F44,)</f>
        <v>7205</v>
      </c>
      <c r="H44" s="11">
        <f>ROUND(G44*$H$6,0)</f>
        <v>1297</v>
      </c>
      <c r="I44" s="11">
        <f>G44+H44</f>
        <v>8502</v>
      </c>
      <c r="J44" s="11">
        <f>ROUND(G44*$J$6,)</f>
        <v>72</v>
      </c>
      <c r="K44" s="11">
        <f>ROUND(G44*$K$6,)</f>
        <v>360</v>
      </c>
      <c r="L44" s="11">
        <f>ROUND(G44*$L$6,)</f>
        <v>0</v>
      </c>
      <c r="M44" s="11"/>
      <c r="N44" s="11"/>
      <c r="O44" s="65">
        <f>H44</f>
        <v>1297</v>
      </c>
      <c r="P44" s="11">
        <f>ROUND(I44-SUM(J44:O44),0)</f>
        <v>6773</v>
      </c>
      <c r="Q44" s="57"/>
      <c r="R44" s="11" t="s">
        <v>14</v>
      </c>
      <c r="S44" s="11">
        <v>6773</v>
      </c>
      <c r="T44" s="11">
        <v>0</v>
      </c>
      <c r="U44" s="11">
        <f>S44-T44</f>
        <v>6773</v>
      </c>
      <c r="V44" s="23" t="s">
        <v>26</v>
      </c>
      <c r="W44" s="18"/>
    </row>
    <row r="45" spans="1:23" ht="24.9" customHeight="1" x14ac:dyDescent="0.3">
      <c r="A45" s="25">
        <v>61142</v>
      </c>
      <c r="B45" s="22" t="s">
        <v>20</v>
      </c>
      <c r="C45" s="26">
        <v>45283</v>
      </c>
      <c r="D45" s="49">
        <v>33</v>
      </c>
      <c r="E45" s="11">
        <f>O44</f>
        <v>1297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65">
        <f>E45</f>
        <v>1297</v>
      </c>
      <c r="Q45" s="57"/>
      <c r="R45" s="11" t="s">
        <v>14</v>
      </c>
      <c r="S45" s="11">
        <v>736020</v>
      </c>
      <c r="T45" s="11">
        <v>0</v>
      </c>
      <c r="U45" s="11">
        <f>S45-T45</f>
        <v>736020</v>
      </c>
      <c r="V45" s="23" t="s">
        <v>42</v>
      </c>
      <c r="W45" s="18"/>
    </row>
    <row r="46" spans="1:23" ht="24.9" customHeight="1" x14ac:dyDescent="0.3">
      <c r="A46" s="25">
        <v>61142</v>
      </c>
      <c r="B46" s="22" t="s">
        <v>109</v>
      </c>
      <c r="C46" s="26">
        <v>45321</v>
      </c>
      <c r="D46" s="49">
        <v>39</v>
      </c>
      <c r="E46" s="11">
        <v>783000</v>
      </c>
      <c r="F46" s="11">
        <v>0</v>
      </c>
      <c r="G46" s="11">
        <f>ROUND(E46-F46,)</f>
        <v>783000</v>
      </c>
      <c r="H46" s="11">
        <f>ROUND(G46*$H$6,0)</f>
        <v>140940</v>
      </c>
      <c r="I46" s="11">
        <f>G46+H46</f>
        <v>923940</v>
      </c>
      <c r="J46" s="11">
        <f>ROUND(G46*$J$6,)</f>
        <v>7830</v>
      </c>
      <c r="K46" s="11">
        <f>ROUND(G46*$K$6,)</f>
        <v>39150</v>
      </c>
      <c r="L46" s="11">
        <f>ROUND(G46*$L$6,)</f>
        <v>0</v>
      </c>
      <c r="M46" s="11"/>
      <c r="N46" s="11"/>
      <c r="O46" s="65">
        <f>H46</f>
        <v>140940</v>
      </c>
      <c r="P46" s="11">
        <f>ROUND(I46-SUM(J46:O46),0)</f>
        <v>736020</v>
      </c>
      <c r="Q46" s="57"/>
      <c r="R46" s="11"/>
      <c r="S46" s="11"/>
      <c r="T46" s="11"/>
      <c r="U46" s="11">
        <v>1297</v>
      </c>
      <c r="V46" s="23" t="s">
        <v>63</v>
      </c>
      <c r="W46" s="18"/>
    </row>
    <row r="47" spans="1:23" ht="24.9" customHeight="1" x14ac:dyDescent="0.3">
      <c r="A47" s="25">
        <v>61142</v>
      </c>
      <c r="B47" s="22" t="s">
        <v>20</v>
      </c>
      <c r="C47" s="26"/>
      <c r="D47" s="49">
        <v>39</v>
      </c>
      <c r="E47" s="11">
        <f>O46</f>
        <v>140940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65">
        <f>E47</f>
        <v>140940</v>
      </c>
      <c r="Q47" s="57"/>
      <c r="R47" s="11"/>
      <c r="S47" s="11"/>
      <c r="T47" s="11"/>
      <c r="U47" s="11">
        <v>140940</v>
      </c>
      <c r="V47" s="23" t="s">
        <v>64</v>
      </c>
      <c r="W47" s="18">
        <f>SUM(P44:P47,0)-SUM(U44:U47,0)</f>
        <v>0</v>
      </c>
    </row>
    <row r="48" spans="1:23" ht="24.9" customHeight="1" x14ac:dyDescent="0.3">
      <c r="A48" s="25">
        <v>62014</v>
      </c>
      <c r="B48" s="24"/>
      <c r="C48" s="15"/>
      <c r="D48" s="50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58">
        <v>62014</v>
      </c>
      <c r="R48" s="15"/>
      <c r="S48" s="15"/>
      <c r="T48" s="15"/>
      <c r="U48" s="15"/>
      <c r="V48" s="25"/>
      <c r="W48" s="18"/>
    </row>
    <row r="49" spans="1:23" ht="24.9" customHeight="1" x14ac:dyDescent="0.3">
      <c r="A49" s="25">
        <v>62014</v>
      </c>
      <c r="B49" s="22" t="s">
        <v>110</v>
      </c>
      <c r="C49" s="26">
        <v>45321</v>
      </c>
      <c r="D49" s="49">
        <v>42</v>
      </c>
      <c r="E49" s="11">
        <v>259875</v>
      </c>
      <c r="F49" s="11"/>
      <c r="G49" s="11">
        <f>ROUND(E49-F49,)</f>
        <v>259875</v>
      </c>
      <c r="H49" s="11">
        <f>ROUND(G49*$H$6,0)</f>
        <v>46778</v>
      </c>
      <c r="I49" s="11">
        <f>G49+H49</f>
        <v>306653</v>
      </c>
      <c r="J49" s="11">
        <f>ROUND(G49*$J$6,)</f>
        <v>2599</v>
      </c>
      <c r="K49" s="11">
        <f>ROUND(G49*$K$6,)</f>
        <v>12994</v>
      </c>
      <c r="L49" s="11">
        <f>ROUND(G49*$L$6,)</f>
        <v>0</v>
      </c>
      <c r="M49" s="11"/>
      <c r="N49" s="11"/>
      <c r="O49" s="65">
        <f>H49</f>
        <v>46778</v>
      </c>
      <c r="P49" s="11">
        <f>ROUND(I49-SUM(J49:O49),0)</f>
        <v>244282</v>
      </c>
      <c r="Q49" s="57">
        <v>3412500</v>
      </c>
      <c r="R49" s="11"/>
      <c r="S49" s="11"/>
      <c r="T49" s="11"/>
      <c r="U49" s="11">
        <v>244282</v>
      </c>
      <c r="V49" s="23" t="s">
        <v>61</v>
      </c>
      <c r="W49" s="18"/>
    </row>
    <row r="50" spans="1:23" ht="24.9" customHeight="1" x14ac:dyDescent="0.3">
      <c r="A50" s="25">
        <v>62014</v>
      </c>
      <c r="B50" s="22" t="s">
        <v>20</v>
      </c>
      <c r="C50" s="26"/>
      <c r="D50" s="49">
        <v>42</v>
      </c>
      <c r="E50" s="11">
        <f>O49</f>
        <v>46778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65">
        <f>E50</f>
        <v>46778</v>
      </c>
      <c r="Q50" s="57"/>
      <c r="R50" s="11"/>
      <c r="S50" s="11"/>
      <c r="T50" s="11"/>
      <c r="U50" s="11">
        <v>46778</v>
      </c>
      <c r="V50" s="23" t="s">
        <v>62</v>
      </c>
      <c r="W50" s="18"/>
    </row>
    <row r="51" spans="1:23" ht="24.9" customHeight="1" x14ac:dyDescent="0.3">
      <c r="A51" s="25">
        <v>62014</v>
      </c>
      <c r="B51" s="36"/>
      <c r="C51" s="37">
        <v>45366</v>
      </c>
      <c r="D51" s="51">
        <v>45</v>
      </c>
      <c r="E51" s="38">
        <v>389812.5</v>
      </c>
      <c r="F51" s="38"/>
      <c r="G51" s="11">
        <f>ROUND(E51-F51,)</f>
        <v>389813</v>
      </c>
      <c r="H51" s="11">
        <f>ROUND(G51*$H$6,0)</f>
        <v>70166</v>
      </c>
      <c r="I51" s="11">
        <f>G51+H51</f>
        <v>459979</v>
      </c>
      <c r="J51" s="11">
        <f>ROUND(G51*$J$6,)</f>
        <v>3898</v>
      </c>
      <c r="K51" s="11">
        <f>ROUND(G51*$K$6,)</f>
        <v>19491</v>
      </c>
      <c r="L51" s="11">
        <f>ROUND(G51*$L$6,)</f>
        <v>0</v>
      </c>
      <c r="M51" s="11"/>
      <c r="N51" s="11"/>
      <c r="O51" s="65">
        <f>H51</f>
        <v>70166</v>
      </c>
      <c r="P51" s="11">
        <f>ROUND(I51-SUM(J51:O51),0)</f>
        <v>366424</v>
      </c>
      <c r="Q51" s="59"/>
      <c r="R51" s="38"/>
      <c r="S51" s="38"/>
      <c r="T51" s="38"/>
      <c r="U51" s="38">
        <v>366424</v>
      </c>
      <c r="V51" s="39" t="s">
        <v>67</v>
      </c>
      <c r="W51" s="40"/>
    </row>
    <row r="52" spans="1:23" ht="24.9" customHeight="1" x14ac:dyDescent="0.3">
      <c r="A52" s="25">
        <v>62014</v>
      </c>
      <c r="B52" s="22" t="s">
        <v>20</v>
      </c>
      <c r="C52" s="37"/>
      <c r="D52" s="51">
        <v>45</v>
      </c>
      <c r="E52" s="38">
        <f>O51</f>
        <v>70166</v>
      </c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66">
        <f>E52</f>
        <v>70166</v>
      </c>
      <c r="Q52" s="59"/>
      <c r="R52" s="38"/>
      <c r="S52" s="38"/>
      <c r="T52" s="38"/>
      <c r="U52" s="38">
        <v>70166</v>
      </c>
      <c r="V52" s="39" t="s">
        <v>72</v>
      </c>
      <c r="W52" s="18">
        <f>SUM(P49:P52,0)-SUM(U49:U52,0)</f>
        <v>0</v>
      </c>
    </row>
    <row r="53" spans="1:23" ht="24.9" customHeight="1" x14ac:dyDescent="0.3">
      <c r="A53" s="25"/>
      <c r="B53" s="36"/>
      <c r="C53" s="37"/>
      <c r="D53" s="51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59"/>
      <c r="R53" s="38"/>
      <c r="S53" s="38"/>
      <c r="T53" s="38"/>
      <c r="U53" s="38"/>
      <c r="V53" s="39"/>
      <c r="W53" s="18"/>
    </row>
    <row r="54" spans="1:23" ht="24.9" customHeight="1" x14ac:dyDescent="0.3">
      <c r="A54" s="35"/>
      <c r="B54" s="36"/>
      <c r="C54" s="37"/>
      <c r="D54" s="51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59"/>
      <c r="R54" s="38"/>
      <c r="S54" s="38"/>
      <c r="T54" s="38"/>
      <c r="U54" s="38"/>
      <c r="V54" s="39"/>
      <c r="W54" s="18"/>
    </row>
    <row r="55" spans="1:23" ht="24.9" customHeight="1" x14ac:dyDescent="0.3">
      <c r="A55" s="25">
        <v>62015</v>
      </c>
      <c r="B55" s="24"/>
      <c r="C55" s="15"/>
      <c r="D55" s="50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58">
        <v>62015</v>
      </c>
      <c r="R55" s="15"/>
      <c r="S55" s="15"/>
      <c r="T55" s="15"/>
      <c r="U55" s="15"/>
      <c r="V55" s="25"/>
      <c r="W55" s="18"/>
    </row>
    <row r="56" spans="1:23" ht="24.9" customHeight="1" x14ac:dyDescent="0.3">
      <c r="A56" s="25">
        <v>62015</v>
      </c>
      <c r="B56" s="22" t="s">
        <v>111</v>
      </c>
      <c r="C56" s="26">
        <v>45321</v>
      </c>
      <c r="D56" s="49">
        <v>41</v>
      </c>
      <c r="E56" s="11">
        <v>1406250</v>
      </c>
      <c r="F56" s="11">
        <v>0</v>
      </c>
      <c r="G56" s="11">
        <f>ROUND(E56-F56,)</f>
        <v>1406250</v>
      </c>
      <c r="H56" s="11">
        <f>ROUND(G56*$H$6,0)</f>
        <v>253125</v>
      </c>
      <c r="I56" s="11">
        <f>G56+H56</f>
        <v>1659375</v>
      </c>
      <c r="J56" s="11">
        <f>ROUND(G56*$J$6,)</f>
        <v>14063</v>
      </c>
      <c r="K56" s="11">
        <f>ROUND(G56*$K$6,)</f>
        <v>70313</v>
      </c>
      <c r="L56" s="11">
        <f>ROUND(G56*$L$6,)</f>
        <v>0</v>
      </c>
      <c r="M56" s="11"/>
      <c r="N56" s="11"/>
      <c r="O56" s="65">
        <f>H56</f>
        <v>253125</v>
      </c>
      <c r="P56" s="11">
        <f>ROUND(I56-SUM(J56:O56),0)</f>
        <v>1321874</v>
      </c>
      <c r="Q56" s="57"/>
      <c r="R56" s="11"/>
      <c r="S56" s="11"/>
      <c r="T56" s="11"/>
      <c r="U56" s="11">
        <v>1321874</v>
      </c>
      <c r="V56" s="23" t="s">
        <v>57</v>
      </c>
      <c r="W56" s="18"/>
    </row>
    <row r="57" spans="1:23" ht="24.9" customHeight="1" x14ac:dyDescent="0.3">
      <c r="A57" s="25">
        <v>62015</v>
      </c>
      <c r="B57" s="22" t="s">
        <v>20</v>
      </c>
      <c r="C57" s="26"/>
      <c r="D57" s="49">
        <v>41</v>
      </c>
      <c r="E57" s="11">
        <f>O56</f>
        <v>253125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65">
        <f>E57</f>
        <v>253125</v>
      </c>
      <c r="Q57" s="57"/>
      <c r="R57" s="11"/>
      <c r="S57" s="11"/>
      <c r="T57" s="11"/>
      <c r="U57" s="11">
        <v>253125</v>
      </c>
      <c r="V57" s="23" t="s">
        <v>58</v>
      </c>
      <c r="W57" s="18"/>
    </row>
    <row r="58" spans="1:23" ht="24.9" customHeight="1" x14ac:dyDescent="0.3">
      <c r="A58" s="25">
        <v>62015</v>
      </c>
      <c r="B58" s="22"/>
      <c r="C58" s="26">
        <v>45468</v>
      </c>
      <c r="D58" s="49">
        <v>2</v>
      </c>
      <c r="E58" s="11">
        <v>468750</v>
      </c>
      <c r="F58" s="11"/>
      <c r="G58" s="11">
        <f>ROUND(E58-F58,)</f>
        <v>468750</v>
      </c>
      <c r="H58" s="11">
        <f>ROUND(G58*$H$6,0)</f>
        <v>84375</v>
      </c>
      <c r="I58" s="11">
        <f>G58+H58</f>
        <v>553125</v>
      </c>
      <c r="J58" s="11">
        <f>ROUND(G58*$J$6,)</f>
        <v>4688</v>
      </c>
      <c r="K58" s="11">
        <f>ROUND(G58*$K$6,)</f>
        <v>23438</v>
      </c>
      <c r="L58" s="11">
        <f>ROUND(G58*$L$6,)</f>
        <v>0</v>
      </c>
      <c r="M58" s="11"/>
      <c r="N58" s="11"/>
      <c r="O58" s="65">
        <f>H58</f>
        <v>84375</v>
      </c>
      <c r="P58" s="11">
        <f>ROUND(I58-SUM(J58:O58),0)</f>
        <v>440624</v>
      </c>
      <c r="Q58" s="57"/>
      <c r="R58" s="11"/>
      <c r="S58" s="11"/>
      <c r="T58" s="11"/>
      <c r="U58" s="11">
        <v>440624</v>
      </c>
      <c r="V58" s="23" t="s">
        <v>76</v>
      </c>
      <c r="W58" s="18"/>
    </row>
    <row r="59" spans="1:23" ht="24.9" customHeight="1" x14ac:dyDescent="0.3">
      <c r="A59" s="25">
        <v>62015</v>
      </c>
      <c r="B59" s="22" t="s">
        <v>20</v>
      </c>
      <c r="C59" s="26"/>
      <c r="D59" s="49">
        <v>2</v>
      </c>
      <c r="E59" s="11">
        <f>O58</f>
        <v>84375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65">
        <f>E59</f>
        <v>84375</v>
      </c>
      <c r="Q59" s="57"/>
      <c r="R59" s="11"/>
      <c r="S59" s="11"/>
      <c r="T59" s="11"/>
      <c r="U59" s="11">
        <v>84375</v>
      </c>
      <c r="V59" s="67" t="s">
        <v>79</v>
      </c>
      <c r="W59" s="18"/>
    </row>
    <row r="60" spans="1:23" ht="24.9" customHeight="1" x14ac:dyDescent="0.3">
      <c r="A60" s="17"/>
      <c r="B60" s="22"/>
      <c r="C60" s="26"/>
      <c r="D60" s="49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57"/>
      <c r="R60" s="11"/>
      <c r="S60" s="11"/>
      <c r="T60" s="11"/>
      <c r="U60" s="11"/>
      <c r="V60" s="23"/>
      <c r="W60" s="18"/>
    </row>
    <row r="61" spans="1:23" ht="24.9" customHeight="1" x14ac:dyDescent="0.3">
      <c r="A61" s="25">
        <v>62016</v>
      </c>
      <c r="B61" s="24"/>
      <c r="C61" s="15"/>
      <c r="D61" s="50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58">
        <v>62016</v>
      </c>
      <c r="R61" s="15"/>
      <c r="S61" s="15"/>
      <c r="T61" s="15"/>
      <c r="U61" s="15"/>
      <c r="V61" s="25"/>
      <c r="W61" s="18">
        <f>SUM(P56:P59,0)-SUM(U56:U59,0)</f>
        <v>0</v>
      </c>
    </row>
    <row r="62" spans="1:23" ht="24.9" customHeight="1" x14ac:dyDescent="0.3">
      <c r="A62" s="25">
        <v>62016</v>
      </c>
      <c r="B62" s="22" t="s">
        <v>112</v>
      </c>
      <c r="C62" s="26">
        <v>45321</v>
      </c>
      <c r="D62" s="49">
        <v>40</v>
      </c>
      <c r="E62" s="11">
        <f>A62*15%</f>
        <v>9302.4</v>
      </c>
      <c r="F62" s="11">
        <v>0</v>
      </c>
      <c r="G62" s="11">
        <f>ROUND(E62-F62,)</f>
        <v>9302</v>
      </c>
      <c r="H62" s="11">
        <f>ROUND(G62*$H$6,0)</f>
        <v>1674</v>
      </c>
      <c r="I62" s="11">
        <f>G62+H62</f>
        <v>10976</v>
      </c>
      <c r="J62" s="11">
        <f>ROUND(G62*$J$6,)</f>
        <v>93</v>
      </c>
      <c r="K62" s="11">
        <f>ROUND(G62*$K$6,)</f>
        <v>465</v>
      </c>
      <c r="L62" s="11">
        <f>ROUND(G62*$L$6,)</f>
        <v>0</v>
      </c>
      <c r="M62" s="11"/>
      <c r="N62" s="11"/>
      <c r="O62" s="65">
        <f>H62</f>
        <v>1674</v>
      </c>
      <c r="P62" s="11">
        <f>ROUND(I62-SUM(J62:O62),0)</f>
        <v>8744</v>
      </c>
      <c r="Q62" s="57">
        <v>3330000</v>
      </c>
      <c r="R62" s="11"/>
      <c r="S62" s="11"/>
      <c r="T62" s="11"/>
      <c r="U62" s="11">
        <v>469530</v>
      </c>
      <c r="V62" s="23" t="s">
        <v>59</v>
      </c>
      <c r="W62" s="18"/>
    </row>
    <row r="63" spans="1:23" ht="24.9" customHeight="1" x14ac:dyDescent="0.3">
      <c r="A63" s="25">
        <v>62016</v>
      </c>
      <c r="B63" s="22" t="s">
        <v>20</v>
      </c>
      <c r="C63" s="26"/>
      <c r="D63" s="49">
        <v>40</v>
      </c>
      <c r="E63" s="11">
        <f>O62</f>
        <v>1674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65">
        <f>E63</f>
        <v>1674</v>
      </c>
      <c r="Q63" s="57"/>
      <c r="R63" s="11"/>
      <c r="S63" s="11"/>
      <c r="T63" s="11"/>
      <c r="U63" s="11">
        <v>89910</v>
      </c>
      <c r="V63" s="23" t="s">
        <v>60</v>
      </c>
      <c r="W63" s="18"/>
    </row>
    <row r="64" spans="1:23" ht="24.9" customHeight="1" x14ac:dyDescent="0.3">
      <c r="A64" s="25">
        <v>62016</v>
      </c>
      <c r="B64" s="36"/>
      <c r="C64" s="37">
        <v>45366</v>
      </c>
      <c r="D64" s="51">
        <v>44</v>
      </c>
      <c r="E64" s="38">
        <v>999000</v>
      </c>
      <c r="F64" s="38">
        <v>162750.15</v>
      </c>
      <c r="G64" s="11">
        <f>ROUND(E64-F64,)</f>
        <v>836250</v>
      </c>
      <c r="H64" s="11">
        <f>ROUND(G64*$H$6,0)</f>
        <v>150525</v>
      </c>
      <c r="I64" s="11">
        <f>G64+H64</f>
        <v>986775</v>
      </c>
      <c r="J64" s="11">
        <f>ROUND(G64*$J$6,)</f>
        <v>8363</v>
      </c>
      <c r="K64" s="11">
        <f>ROUND(G64*$K$6,)</f>
        <v>41813</v>
      </c>
      <c r="L64" s="11">
        <f>ROUND(G64*$L$6,)</f>
        <v>0</v>
      </c>
      <c r="M64" s="11"/>
      <c r="N64" s="11"/>
      <c r="O64" s="65">
        <f>H64</f>
        <v>150525</v>
      </c>
      <c r="P64" s="11">
        <f>ROUND(I64-SUM(J64:O64),0)</f>
        <v>786074</v>
      </c>
      <c r="Q64" s="59"/>
      <c r="R64" s="38"/>
      <c r="S64" s="38"/>
      <c r="T64" s="38"/>
      <c r="U64" s="38">
        <v>786076</v>
      </c>
      <c r="V64" s="39" t="s">
        <v>66</v>
      </c>
      <c r="W64" s="40"/>
    </row>
    <row r="65" spans="1:23" ht="24.9" customHeight="1" x14ac:dyDescent="0.3">
      <c r="A65" s="25">
        <v>62016</v>
      </c>
      <c r="B65" s="22" t="s">
        <v>20</v>
      </c>
      <c r="C65" s="37"/>
      <c r="D65" s="51">
        <v>44</v>
      </c>
      <c r="E65" s="38">
        <f>O64</f>
        <v>150525</v>
      </c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66">
        <f>E65</f>
        <v>150525</v>
      </c>
      <c r="Q65" s="59"/>
      <c r="R65" s="38"/>
      <c r="S65" s="38"/>
      <c r="T65" s="38"/>
      <c r="U65" s="38">
        <v>150525</v>
      </c>
      <c r="V65" s="39" t="s">
        <v>73</v>
      </c>
      <c r="W65" s="40"/>
    </row>
    <row r="66" spans="1:23" ht="24.9" customHeight="1" x14ac:dyDescent="0.3">
      <c r="A66" s="35"/>
      <c r="B66" s="36"/>
      <c r="C66" s="37"/>
      <c r="D66" s="51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59"/>
      <c r="R66" s="38"/>
      <c r="S66" s="38"/>
      <c r="T66" s="38"/>
      <c r="U66" s="38"/>
      <c r="V66" s="39"/>
      <c r="W66" s="18">
        <f>SUM(P62:P66,0)-SUM(U62:U66,0)</f>
        <v>-549024</v>
      </c>
    </row>
    <row r="67" spans="1:23" ht="24.9" customHeight="1" x14ac:dyDescent="0.3">
      <c r="A67" s="25">
        <v>62867</v>
      </c>
      <c r="B67" s="24"/>
      <c r="C67" s="15"/>
      <c r="D67" s="50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58">
        <v>62867</v>
      </c>
      <c r="R67" s="15"/>
      <c r="S67" s="15"/>
      <c r="T67" s="15"/>
      <c r="U67" s="15"/>
      <c r="V67" s="25"/>
      <c r="W67" s="18"/>
    </row>
    <row r="68" spans="1:23" ht="24.9" customHeight="1" x14ac:dyDescent="0.3">
      <c r="A68" s="25">
        <v>62867</v>
      </c>
      <c r="B68" s="22" t="s">
        <v>113</v>
      </c>
      <c r="C68" s="26">
        <v>45366</v>
      </c>
      <c r="D68" s="49">
        <v>46</v>
      </c>
      <c r="E68" s="11">
        <f>30%*A68</f>
        <v>18860.099999999999</v>
      </c>
      <c r="F68" s="11"/>
      <c r="G68" s="11">
        <f>ROUND(E68-F68,)</f>
        <v>18860</v>
      </c>
      <c r="H68" s="11">
        <f>ROUND(G68*$H$6,0)</f>
        <v>3395</v>
      </c>
      <c r="I68" s="11">
        <f>G68+H68</f>
        <v>22255</v>
      </c>
      <c r="J68" s="11">
        <f>ROUND(G68*$J$6,)</f>
        <v>189</v>
      </c>
      <c r="K68" s="11">
        <f>ROUND(G68*$K$6,)</f>
        <v>943</v>
      </c>
      <c r="L68" s="11">
        <f>ROUND(G68*$L$6,)</f>
        <v>0</v>
      </c>
      <c r="M68" s="11"/>
      <c r="N68" s="11">
        <v>51187</v>
      </c>
      <c r="O68" s="65">
        <f>H68</f>
        <v>3395</v>
      </c>
      <c r="P68" s="11">
        <f>ROUND(I68-SUM(J68:O68),0)</f>
        <v>-33459</v>
      </c>
      <c r="Q68" s="57">
        <v>3412500</v>
      </c>
      <c r="R68" s="11"/>
      <c r="S68" s="11"/>
      <c r="T68" s="11"/>
      <c r="U68" s="11">
        <v>911137</v>
      </c>
      <c r="V68" s="23" t="s">
        <v>68</v>
      </c>
      <c r="W68" s="18"/>
    </row>
    <row r="69" spans="1:23" ht="24.9" customHeight="1" x14ac:dyDescent="0.3">
      <c r="A69" s="25">
        <v>62867</v>
      </c>
      <c r="B69" s="22"/>
      <c r="C69" s="26"/>
      <c r="D69" s="49">
        <v>46</v>
      </c>
      <c r="E69" s="38">
        <f>O68</f>
        <v>3395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65">
        <f>E69</f>
        <v>3395</v>
      </c>
      <c r="Q69" s="57"/>
      <c r="R69" s="11"/>
      <c r="S69" s="11"/>
      <c r="T69" s="11"/>
      <c r="U69" s="11">
        <v>184275</v>
      </c>
      <c r="V69" s="23" t="s">
        <v>74</v>
      </c>
      <c r="W69" s="18"/>
    </row>
    <row r="70" spans="1:23" ht="24.9" customHeight="1" x14ac:dyDescent="0.3">
      <c r="A70" s="17"/>
      <c r="B70" s="22"/>
      <c r="C70" s="26"/>
      <c r="D70" s="49"/>
      <c r="E70" s="38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57"/>
      <c r="R70" s="11"/>
      <c r="S70" s="11"/>
      <c r="T70" s="11"/>
      <c r="U70" s="11"/>
      <c r="V70" s="23"/>
      <c r="W70" s="18"/>
    </row>
    <row r="71" spans="1:23" ht="24.9" customHeight="1" x14ac:dyDescent="0.3">
      <c r="A71" s="25">
        <v>64474</v>
      </c>
      <c r="B71" s="24"/>
      <c r="C71" s="15"/>
      <c r="D71" s="50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58">
        <f>A71</f>
        <v>64474</v>
      </c>
      <c r="R71" s="15"/>
      <c r="S71" s="15"/>
      <c r="T71" s="15"/>
      <c r="U71" s="15"/>
      <c r="V71" s="25"/>
      <c r="W71" s="18">
        <f>SUM(P68:P70,0)-SUM(U68:U70,0)</f>
        <v>-1125476</v>
      </c>
    </row>
    <row r="72" spans="1:23" ht="24.9" customHeight="1" x14ac:dyDescent="0.3">
      <c r="A72" s="25">
        <v>64474</v>
      </c>
      <c r="B72" s="36" t="s">
        <v>114</v>
      </c>
      <c r="C72" s="37">
        <v>45469</v>
      </c>
      <c r="D72" s="51">
        <v>3</v>
      </c>
      <c r="E72" s="38">
        <v>742500</v>
      </c>
      <c r="F72" s="38"/>
      <c r="G72" s="11">
        <f>ROUND(E72-F72,)</f>
        <v>742500</v>
      </c>
      <c r="H72" s="11">
        <f>ROUND(G72*$H$6,0)</f>
        <v>133650</v>
      </c>
      <c r="I72" s="11">
        <f>G72+H72</f>
        <v>876150</v>
      </c>
      <c r="J72" s="11">
        <f>ROUND(G72*$J$6,)</f>
        <v>7425</v>
      </c>
      <c r="K72" s="11">
        <f>ROUND(G72*$K$6,)</f>
        <v>37125</v>
      </c>
      <c r="L72" s="11">
        <f>ROUND(G72*$L$6,)</f>
        <v>0</v>
      </c>
      <c r="M72" s="11"/>
      <c r="N72" s="11"/>
      <c r="O72" s="65">
        <f>H72</f>
        <v>133650</v>
      </c>
      <c r="P72" s="11">
        <f>ROUND(I72-SUM(J72:O72),0)</f>
        <v>697950</v>
      </c>
      <c r="Q72" s="59"/>
      <c r="R72" s="38"/>
      <c r="S72" s="38"/>
      <c r="T72" s="38"/>
      <c r="U72" s="38">
        <v>697950</v>
      </c>
      <c r="V72" s="39" t="s">
        <v>75</v>
      </c>
      <c r="W72" s="18"/>
    </row>
    <row r="73" spans="1:23" ht="24.9" customHeight="1" x14ac:dyDescent="0.3">
      <c r="A73" s="25">
        <v>64474</v>
      </c>
      <c r="B73" s="22" t="s">
        <v>20</v>
      </c>
      <c r="C73" s="37"/>
      <c r="D73" s="51">
        <v>3</v>
      </c>
      <c r="E73" s="38">
        <f>O72</f>
        <v>133650</v>
      </c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66">
        <f>E73</f>
        <v>133650</v>
      </c>
      <c r="Q73" s="59"/>
      <c r="R73" s="38"/>
      <c r="S73" s="38"/>
      <c r="T73" s="38"/>
      <c r="U73" s="38">
        <v>133650</v>
      </c>
      <c r="V73" s="39" t="s">
        <v>80</v>
      </c>
      <c r="W73" s="40"/>
    </row>
    <row r="74" spans="1:23" ht="24.9" customHeight="1" x14ac:dyDescent="0.3">
      <c r="A74" s="25"/>
      <c r="B74" s="36"/>
      <c r="C74" s="37"/>
      <c r="D74" s="51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59"/>
      <c r="R74" s="38"/>
      <c r="S74" s="38"/>
      <c r="T74" s="38"/>
      <c r="U74" s="38"/>
      <c r="V74" s="39"/>
      <c r="W74" s="40"/>
    </row>
    <row r="75" spans="1:23" ht="24.9" customHeight="1" x14ac:dyDescent="0.3">
      <c r="A75" s="35"/>
      <c r="B75" s="36"/>
      <c r="C75" s="37"/>
      <c r="D75" s="51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59"/>
      <c r="R75" s="38"/>
      <c r="S75" s="38"/>
      <c r="T75" s="38"/>
      <c r="U75" s="38"/>
      <c r="V75" s="39"/>
      <c r="W75" s="18">
        <f>SUM(P72:P73,0)-SUM(U72:U73,0)</f>
        <v>0</v>
      </c>
    </row>
    <row r="76" spans="1:23" ht="24.9" customHeight="1" x14ac:dyDescent="0.3">
      <c r="A76" s="25">
        <v>64475</v>
      </c>
      <c r="B76" s="24"/>
      <c r="C76" s="15"/>
      <c r="D76" s="50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58">
        <f>A76</f>
        <v>64475</v>
      </c>
      <c r="R76" s="15"/>
      <c r="S76" s="15"/>
      <c r="T76" s="15"/>
      <c r="U76" s="15"/>
      <c r="V76" s="25"/>
      <c r="W76" s="40"/>
    </row>
    <row r="77" spans="1:23" ht="24.9" customHeight="1" x14ac:dyDescent="0.3">
      <c r="A77" s="25">
        <v>64475</v>
      </c>
      <c r="B77" s="36" t="s">
        <v>115</v>
      </c>
      <c r="C77" s="37">
        <v>45469</v>
      </c>
      <c r="D77" s="51">
        <v>4</v>
      </c>
      <c r="E77" s="38">
        <v>912000</v>
      </c>
      <c r="F77" s="38"/>
      <c r="G77" s="11">
        <f>ROUND(E77-F77,)</f>
        <v>912000</v>
      </c>
      <c r="H77" s="11">
        <f>ROUND(G77*$H$6,0)</f>
        <v>164160</v>
      </c>
      <c r="I77" s="11">
        <f>G77+H77</f>
        <v>1076160</v>
      </c>
      <c r="J77" s="11">
        <f>ROUND(G77*$J$6,)</f>
        <v>9120</v>
      </c>
      <c r="K77" s="11">
        <f>ROUND(G77*$K$6,)</f>
        <v>45600</v>
      </c>
      <c r="L77" s="11">
        <f>ROUND(G77*$L$6,)</f>
        <v>0</v>
      </c>
      <c r="M77" s="11"/>
      <c r="N77" s="11"/>
      <c r="O77" s="65">
        <f>H77</f>
        <v>164160</v>
      </c>
      <c r="P77" s="11">
        <f>ROUND(I77-SUM(J77:O77),0)</f>
        <v>857280</v>
      </c>
      <c r="Q77" s="59"/>
      <c r="R77" s="38"/>
      <c r="S77" s="38"/>
      <c r="T77" s="38"/>
      <c r="U77" s="38">
        <v>164160</v>
      </c>
      <c r="V77" s="39" t="s">
        <v>81</v>
      </c>
      <c r="W77" s="40"/>
    </row>
    <row r="78" spans="1:23" ht="24.9" customHeight="1" x14ac:dyDescent="0.3">
      <c r="A78" s="25">
        <v>64475</v>
      </c>
      <c r="B78" s="22" t="s">
        <v>20</v>
      </c>
      <c r="C78" s="37"/>
      <c r="D78" s="51">
        <v>4</v>
      </c>
      <c r="E78" s="38">
        <f>O77</f>
        <v>164160</v>
      </c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66">
        <f>E78</f>
        <v>164160</v>
      </c>
      <c r="Q78" s="59"/>
      <c r="R78" s="38"/>
      <c r="S78" s="38"/>
      <c r="T78" s="38"/>
      <c r="U78" s="38">
        <v>297000</v>
      </c>
      <c r="V78" s="39" t="s">
        <v>83</v>
      </c>
      <c r="W78" s="18"/>
    </row>
    <row r="79" spans="1:23" ht="24.9" customHeight="1" x14ac:dyDescent="0.2">
      <c r="A79" s="25">
        <v>64475</v>
      </c>
      <c r="B79" s="36"/>
      <c r="C79" s="37"/>
      <c r="D79" s="51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59"/>
      <c r="R79" s="38"/>
      <c r="S79" s="38"/>
      <c r="T79" s="38"/>
      <c r="U79" s="38">
        <v>200000</v>
      </c>
      <c r="V79" s="68" t="s">
        <v>85</v>
      </c>
      <c r="W79" s="18">
        <f>SUM(P77:P78,0)-SUM(U77:U78,0)</f>
        <v>560280</v>
      </c>
    </row>
    <row r="80" spans="1:23" ht="24.9" customHeight="1" x14ac:dyDescent="0.3">
      <c r="A80" s="35"/>
      <c r="B80" s="36"/>
      <c r="C80" s="37"/>
      <c r="D80" s="51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59"/>
      <c r="R80" s="38"/>
      <c r="S80" s="38"/>
      <c r="T80" s="38"/>
      <c r="U80" s="38"/>
      <c r="V80" s="39"/>
      <c r="W80" s="18"/>
    </row>
    <row r="81" spans="1:23" ht="24.9" customHeight="1" x14ac:dyDescent="0.3">
      <c r="A81" s="35"/>
      <c r="B81" s="36"/>
      <c r="C81" s="37"/>
      <c r="D81" s="51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59"/>
      <c r="R81" s="38"/>
      <c r="S81" s="38"/>
      <c r="T81" s="38"/>
      <c r="U81" s="38"/>
      <c r="V81" s="39"/>
      <c r="W81" s="18"/>
    </row>
    <row r="82" spans="1:23" ht="24.9" customHeight="1" x14ac:dyDescent="0.3">
      <c r="A82" s="25"/>
      <c r="B82" s="24"/>
      <c r="C82" s="15"/>
      <c r="D82" s="50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58"/>
      <c r="R82" s="15"/>
      <c r="S82" s="15"/>
      <c r="T82" s="15"/>
      <c r="U82" s="15"/>
      <c r="V82" s="25"/>
      <c r="W82" s="18"/>
    </row>
    <row r="83" spans="1:23" ht="24.9" customHeight="1" x14ac:dyDescent="0.3">
      <c r="A83" s="35"/>
      <c r="B83" s="36"/>
      <c r="C83" s="38"/>
      <c r="D83" s="51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59"/>
      <c r="R83" s="38"/>
      <c r="S83" s="38"/>
      <c r="T83" s="38"/>
      <c r="U83" s="38"/>
      <c r="V83" s="35"/>
      <c r="W83" s="40"/>
    </row>
    <row r="84" spans="1:23" ht="24.9" customHeight="1" x14ac:dyDescent="0.3">
      <c r="A84" s="35"/>
      <c r="B84" s="36"/>
      <c r="C84" s="38"/>
      <c r="D84" s="51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59"/>
      <c r="R84" s="38"/>
      <c r="S84" s="38"/>
      <c r="T84" s="38"/>
      <c r="U84" s="38"/>
      <c r="V84" s="35"/>
      <c r="W84" s="40"/>
    </row>
    <row r="85" spans="1:23" ht="24.9" customHeight="1" x14ac:dyDescent="0.3">
      <c r="A85" s="35"/>
      <c r="B85" s="36"/>
      <c r="C85" s="38"/>
      <c r="D85" s="51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59"/>
      <c r="R85" s="38"/>
      <c r="S85" s="38"/>
      <c r="T85" s="38"/>
      <c r="U85" s="38"/>
      <c r="V85" s="35"/>
      <c r="W85" s="40"/>
    </row>
    <row r="86" spans="1:23" ht="24.9" customHeight="1" x14ac:dyDescent="0.3">
      <c r="A86" s="35"/>
      <c r="B86" s="36"/>
      <c r="C86" s="38"/>
      <c r="D86" s="51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59"/>
      <c r="R86" s="38"/>
      <c r="S86" s="38"/>
      <c r="T86" s="38"/>
      <c r="U86" s="38"/>
      <c r="V86" s="35"/>
      <c r="W86" s="40"/>
    </row>
    <row r="87" spans="1:23" ht="24.9" customHeight="1" thickBot="1" x14ac:dyDescent="0.35">
      <c r="A87" s="35"/>
      <c r="B87" s="36"/>
      <c r="C87" s="37"/>
      <c r="D87" s="51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59"/>
      <c r="R87" s="38"/>
      <c r="S87" s="38"/>
      <c r="T87" s="38"/>
      <c r="U87" s="38"/>
      <c r="V87" s="39"/>
      <c r="W87" s="40"/>
    </row>
    <row r="88" spans="1:23" ht="24.9" customHeight="1" x14ac:dyDescent="0.3">
      <c r="A88" s="19"/>
      <c r="B88" s="19"/>
      <c r="C88" s="19"/>
      <c r="D88" s="52"/>
      <c r="E88" s="19"/>
      <c r="F88" s="19"/>
      <c r="G88" s="19"/>
      <c r="H88" s="19"/>
      <c r="I88" s="19"/>
      <c r="J88" s="19"/>
      <c r="K88" s="27">
        <f t="shared" ref="K88:O88" si="6">SUM(K8:K87)</f>
        <v>572048</v>
      </c>
      <c r="L88" s="27">
        <f t="shared" si="6"/>
        <v>0</v>
      </c>
      <c r="M88" s="27">
        <f t="shared" si="6"/>
        <v>190868.9</v>
      </c>
      <c r="N88" s="27">
        <f t="shared" si="6"/>
        <v>427372</v>
      </c>
      <c r="O88" s="27">
        <f t="shared" si="6"/>
        <v>2059361</v>
      </c>
      <c r="P88" s="27">
        <f>SUM(P8:P87)</f>
        <v>12571733</v>
      </c>
      <c r="Q88" s="60"/>
      <c r="R88" s="19"/>
      <c r="S88" s="19"/>
      <c r="T88" s="19"/>
      <c r="U88" s="27">
        <f>SUM(U6:U87)</f>
        <v>14303313</v>
      </c>
      <c r="V88" s="19"/>
      <c r="W88" s="21"/>
    </row>
    <row r="89" spans="1:23" ht="24.9" customHeight="1" x14ac:dyDescent="0.3">
      <c r="A89" s="11"/>
      <c r="B89" s="11"/>
      <c r="C89" s="11"/>
      <c r="D89" s="49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61"/>
      <c r="R89" s="11"/>
      <c r="S89" s="11"/>
      <c r="T89" s="11"/>
      <c r="U89" s="11"/>
      <c r="V89" s="11"/>
      <c r="W89" s="64">
        <f>SUM(W7:W87)</f>
        <v>-1531580</v>
      </c>
    </row>
    <row r="90" spans="1:23" ht="24.9" customHeight="1" thickBot="1" x14ac:dyDescent="0.35">
      <c r="A90" s="12"/>
      <c r="B90" s="12"/>
      <c r="C90" s="12"/>
      <c r="D90" s="47"/>
      <c r="E90" s="12"/>
      <c r="F90" s="12"/>
      <c r="G90" s="12"/>
      <c r="H90" s="12"/>
      <c r="I90" s="12"/>
      <c r="J90" s="12"/>
      <c r="K90" s="41"/>
      <c r="L90" s="12"/>
      <c r="M90" s="41"/>
      <c r="N90" s="41"/>
      <c r="O90" s="41"/>
      <c r="P90" s="41"/>
      <c r="Q90" s="62"/>
      <c r="R90" s="41" t="s">
        <v>4</v>
      </c>
      <c r="S90" s="41"/>
      <c r="T90" s="12"/>
      <c r="U90" s="41">
        <f>P88-U88</f>
        <v>-1731580</v>
      </c>
      <c r="V90" s="12"/>
      <c r="W90" s="33"/>
    </row>
    <row r="94" spans="1:23" ht="24.9" customHeight="1" thickBot="1" x14ac:dyDescent="0.35"/>
    <row r="95" spans="1:23" ht="24.9" customHeight="1" thickBot="1" x14ac:dyDescent="0.35">
      <c r="I95" s="71" t="s">
        <v>38</v>
      </c>
      <c r="J95" s="72"/>
      <c r="K95" s="72"/>
      <c r="L95" s="73"/>
    </row>
    <row r="96" spans="1:23" ht="24.9" customHeight="1" thickBot="1" x14ac:dyDescent="0.35">
      <c r="I96" s="74">
        <v>45584</v>
      </c>
      <c r="J96" s="75"/>
      <c r="K96" s="75"/>
      <c r="L96" s="76"/>
    </row>
    <row r="97" spans="9:12" ht="24.9" customHeight="1" thickBot="1" x14ac:dyDescent="0.35">
      <c r="I97" s="77" t="s">
        <v>35</v>
      </c>
      <c r="J97" s="77"/>
      <c r="K97" s="78">
        <f>K88+L88+M88</f>
        <v>762916.9</v>
      </c>
      <c r="L97" s="78"/>
    </row>
    <row r="98" spans="9:12" ht="24.9" customHeight="1" thickBot="1" x14ac:dyDescent="0.35">
      <c r="I98" s="77" t="s">
        <v>36</v>
      </c>
      <c r="J98" s="77"/>
      <c r="K98" s="78">
        <f>U90</f>
        <v>-1731580</v>
      </c>
      <c r="L98" s="78"/>
    </row>
    <row r="99" spans="9:12" ht="24.9" customHeight="1" thickBot="1" x14ac:dyDescent="0.35">
      <c r="I99" s="77" t="s">
        <v>77</v>
      </c>
      <c r="J99" s="77"/>
      <c r="K99" s="78">
        <f>N68</f>
        <v>51187</v>
      </c>
      <c r="L99" s="78"/>
    </row>
    <row r="100" spans="9:12" ht="24.9" customHeight="1" thickBot="1" x14ac:dyDescent="0.35">
      <c r="I100" s="69" t="s">
        <v>55</v>
      </c>
      <c r="J100" s="69"/>
      <c r="K100" s="70" t="s">
        <v>37</v>
      </c>
      <c r="L100" s="70"/>
    </row>
  </sheetData>
  <mergeCells count="10">
    <mergeCell ref="I100:J100"/>
    <mergeCell ref="K100:L100"/>
    <mergeCell ref="I95:L95"/>
    <mergeCell ref="I96:L96"/>
    <mergeCell ref="I97:J97"/>
    <mergeCell ref="K97:L97"/>
    <mergeCell ref="I98:J98"/>
    <mergeCell ref="K98:L98"/>
    <mergeCell ref="I99:J99"/>
    <mergeCell ref="K99:L9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2025-05-27T11:31:06Z</dcterms:modified>
</cp:coreProperties>
</file>