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Anish (1)\Anish\Sarvodaya Enterprises\Sarvada traders\"/>
    </mc:Choice>
  </mc:AlternateContent>
  <xr:revisionPtr revIDLastSave="0" documentId="13_ncr:1_{06DE65A0-AB7D-41C6-B22A-955C2A4D56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 (2)" sheetId="3" r:id="rId2"/>
    <sheet name="Sheet2" sheetId="2" r:id="rId3"/>
  </sheets>
  <definedNames>
    <definedName name="_xlnm.Print_Area" localSheetId="0">Sheet1!$A$1:$V$62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8" i="2"/>
  <c r="P43" i="1" l="1"/>
  <c r="P34" i="1"/>
  <c r="P26" i="1"/>
  <c r="P20" i="1"/>
  <c r="P14" i="1"/>
  <c r="P13" i="1"/>
  <c r="G48" i="1"/>
  <c r="K48" i="1" s="1"/>
  <c r="U47" i="1"/>
  <c r="G46" i="1"/>
  <c r="K46" i="1" s="1"/>
  <c r="U46" i="1"/>
  <c r="N36" i="1"/>
  <c r="U38" i="1"/>
  <c r="U43" i="1"/>
  <c r="U44" i="1"/>
  <c r="U34" i="1"/>
  <c r="U35" i="1"/>
  <c r="T37" i="1"/>
  <c r="U37" i="1" s="1"/>
  <c r="T36" i="1"/>
  <c r="U36" i="1" s="1"/>
  <c r="U19" i="1"/>
  <c r="U20" i="1"/>
  <c r="U21" i="1"/>
  <c r="U22" i="1"/>
  <c r="U25" i="1"/>
  <c r="U26" i="1"/>
  <c r="U27" i="1"/>
  <c r="U28" i="1"/>
  <c r="U29" i="1"/>
  <c r="U30" i="1"/>
  <c r="T13" i="1"/>
  <c r="U13" i="1" s="1"/>
  <c r="T12" i="1"/>
  <c r="U12" i="1" s="1"/>
  <c r="U9" i="1"/>
  <c r="U10" i="1"/>
  <c r="U11" i="1"/>
  <c r="U15" i="1"/>
  <c r="U16" i="1"/>
  <c r="T45" i="1"/>
  <c r="U45" i="1" s="1"/>
  <c r="G35" i="1"/>
  <c r="N35" i="1" s="1"/>
  <c r="E36" i="1" s="1"/>
  <c r="P36" i="1" s="1"/>
  <c r="G25" i="1"/>
  <c r="K25" i="1" s="1"/>
  <c r="T24" i="1"/>
  <c r="U24" i="1" s="1"/>
  <c r="P24" i="1"/>
  <c r="T23" i="1"/>
  <c r="U23" i="1" s="1"/>
  <c r="P23" i="1"/>
  <c r="G22" i="1"/>
  <c r="K22" i="1" s="1"/>
  <c r="G21" i="1"/>
  <c r="M21" i="1" s="1"/>
  <c r="G19" i="1"/>
  <c r="L19" i="1" s="1"/>
  <c r="T18" i="1"/>
  <c r="U18" i="1" s="1"/>
  <c r="G18" i="1"/>
  <c r="K18" i="1" s="1"/>
  <c r="L48" i="1" l="1"/>
  <c r="M48" i="1"/>
  <c r="H48" i="1"/>
  <c r="J48" i="1"/>
  <c r="H18" i="1"/>
  <c r="I18" i="1" s="1"/>
  <c r="H22" i="1"/>
  <c r="N22" i="1" s="1"/>
  <c r="M46" i="1"/>
  <c r="L46" i="1"/>
  <c r="H25" i="1"/>
  <c r="J22" i="1"/>
  <c r="H46" i="1"/>
  <c r="N46" i="1" s="1"/>
  <c r="E47" i="1" s="1"/>
  <c r="P47" i="1" s="1"/>
  <c r="J46" i="1"/>
  <c r="J21" i="1"/>
  <c r="L21" i="1"/>
  <c r="J25" i="1"/>
  <c r="H21" i="1"/>
  <c r="N21" i="1" s="1"/>
  <c r="L25" i="1"/>
  <c r="H19" i="1"/>
  <c r="N19" i="1" s="1"/>
  <c r="H35" i="1"/>
  <c r="I35" i="1" s="1"/>
  <c r="M35" i="1" s="1"/>
  <c r="N25" i="1"/>
  <c r="L22" i="1"/>
  <c r="N18" i="1"/>
  <c r="J18" i="1"/>
  <c r="L18" i="1"/>
  <c r="K19" i="1"/>
  <c r="M19" i="1"/>
  <c r="M18" i="1"/>
  <c r="J19" i="1"/>
  <c r="K21" i="1"/>
  <c r="I22" i="1"/>
  <c r="M22" i="1"/>
  <c r="M25" i="1"/>
  <c r="N48" i="1" l="1"/>
  <c r="E49" i="1"/>
  <c r="P49" i="1" s="1"/>
  <c r="I48" i="1"/>
  <c r="P48" i="1" s="1"/>
  <c r="I21" i="1"/>
  <c r="P21" i="1" s="1"/>
  <c r="K35" i="1"/>
  <c r="L35" i="1"/>
  <c r="I46" i="1"/>
  <c r="P46" i="1" s="1"/>
  <c r="J35" i="1"/>
  <c r="I25" i="1"/>
  <c r="P25" i="1" s="1"/>
  <c r="I19" i="1"/>
  <c r="P19" i="1" s="1"/>
  <c r="P22" i="1"/>
  <c r="P18" i="1"/>
  <c r="G44" i="1"/>
  <c r="K44" i="1" s="1"/>
  <c r="M44" i="1" l="1"/>
  <c r="J44" i="1"/>
  <c r="H44" i="1"/>
  <c r="N44" i="1" s="1"/>
  <c r="E45" i="1" s="1"/>
  <c r="P45" i="1" s="1"/>
  <c r="L44" i="1"/>
  <c r="U42" i="1"/>
  <c r="Q41" i="1"/>
  <c r="Q32" i="1"/>
  <c r="Q17" i="1"/>
  <c r="Q7" i="1"/>
  <c r="I44" i="1" l="1"/>
  <c r="P44" i="1" s="1"/>
  <c r="G42" i="1"/>
  <c r="L42" i="1" s="1"/>
  <c r="H42" i="1" l="1"/>
  <c r="I42" i="1" s="1"/>
  <c r="M42" i="1"/>
  <c r="J42" i="1"/>
  <c r="K42" i="1"/>
  <c r="N42" i="1" l="1"/>
  <c r="P42" i="1" s="1"/>
  <c r="G33" i="1"/>
  <c r="L33" i="1" s="1"/>
  <c r="J33" i="1" l="1"/>
  <c r="M33" i="1"/>
  <c r="H33" i="1"/>
  <c r="K33" i="1"/>
  <c r="N33" i="1" l="1"/>
  <c r="I33" i="1"/>
  <c r="T33" i="1"/>
  <c r="U33" i="1" s="1"/>
  <c r="P33" i="1" l="1"/>
  <c r="G12" i="1" l="1"/>
  <c r="K12" i="1" s="1"/>
  <c r="G11" i="1"/>
  <c r="M11" i="1" s="1"/>
  <c r="L11" i="1" l="1"/>
  <c r="H12" i="1"/>
  <c r="N12" i="1" s="1"/>
  <c r="L12" i="1"/>
  <c r="M12" i="1"/>
  <c r="J12" i="1"/>
  <c r="J11" i="1"/>
  <c r="H11" i="1"/>
  <c r="I11" i="1" s="1"/>
  <c r="K11" i="1"/>
  <c r="N11" i="1" l="1"/>
  <c r="P11" i="1" s="1"/>
  <c r="I12" i="1"/>
  <c r="P12" i="1" s="1"/>
  <c r="T8" i="1"/>
  <c r="U8" i="1" s="1"/>
  <c r="G8" i="1" l="1"/>
  <c r="M8" i="1" l="1"/>
  <c r="L8" i="1"/>
  <c r="K8" i="1"/>
  <c r="J8" i="1"/>
  <c r="H8" i="1"/>
  <c r="I8" i="1" l="1"/>
  <c r="N8" i="1"/>
  <c r="G9" i="1" l="1"/>
  <c r="P8" i="1"/>
  <c r="K9" i="1" l="1"/>
  <c r="J9" i="1"/>
  <c r="M9" i="1"/>
  <c r="H9" i="1"/>
  <c r="L9" i="1"/>
  <c r="N9" i="1" l="1"/>
  <c r="I9" i="1"/>
  <c r="P9" i="1" l="1"/>
  <c r="E10" i="1"/>
  <c r="P10" i="1" s="1"/>
  <c r="U14" i="1" l="1"/>
</calcChain>
</file>

<file path=xl/sharedStrings.xml><?xml version="1.0" encoding="utf-8"?>
<sst xmlns="http://schemas.openxmlformats.org/spreadsheetml/2006/main" count="161" uniqueCount="122">
  <si>
    <t>Amount</t>
  </si>
  <si>
    <t>PAYMENT NOTE No.</t>
  </si>
  <si>
    <t>UTR</t>
  </si>
  <si>
    <t>TDS Amount @ 1% on BASIC AMOUNT</t>
  </si>
  <si>
    <t>Hold the Amount because the Qty. is more then the DPR</t>
  </si>
  <si>
    <t>Sarvda Traders</t>
  </si>
  <si>
    <t xml:space="preserve">Mandla  Village Pipe laying work </t>
  </si>
  <si>
    <t>18-11-2022 IFT/IFT22322010589/RIUP22/1292/SARVDA TRADERS 148500.00</t>
  </si>
  <si>
    <t>RIUP22/1292</t>
  </si>
  <si>
    <t>30-11-2022 IFT/IFT22334202221/RIUP22/1384/SARVDA TRADERS 300024.00</t>
  </si>
  <si>
    <t>RIUP22/1384</t>
  </si>
  <si>
    <t>31-12-2022 IFT/IFT22365031248/RIUP22/1715/SARVDA TRADERS 252430.00</t>
  </si>
  <si>
    <t>RIUP22/1715</t>
  </si>
  <si>
    <t>GST Release Note</t>
  </si>
  <si>
    <t>1 &amp; 3</t>
  </si>
  <si>
    <t>17-01-2023 IFT/IFT23017016211/RIUP22/1866/SARVDA TRADERS 176577.00</t>
  </si>
  <si>
    <t>01-03-2023 IFT/IFT23060041292/RIUP22/2395/SARVDA TRADERS 148500.00</t>
  </si>
  <si>
    <t>12-04-2023 12-04-2023 IFT/IFT23102027049/SPUP23/0101/SARVDA TRADERS 148500.00</t>
  </si>
  <si>
    <t>RIUP22/1866</t>
  </si>
  <si>
    <t>RIUP22/2395</t>
  </si>
  <si>
    <t>SPUP23/0101</t>
  </si>
  <si>
    <t>26-04-2023 26-04-2023 IFT/IFT23116013271/SPUP23/0267/SARVDA TRADERS 29245.00</t>
  </si>
  <si>
    <t>18-05-2023 IFT/IFT23138055171/RIUP23/247/SARVDA TRADERS 40499.00</t>
  </si>
  <si>
    <t>20-06-2023 IFT/IFT23171012032/RIUP23/703/SARVDA TRADERS 25854.00</t>
  </si>
  <si>
    <t xml:space="preserve">Godhna Village Pipe laying work </t>
  </si>
  <si>
    <t>2 &amp; 4</t>
  </si>
  <si>
    <t>RIUP22/1293</t>
  </si>
  <si>
    <t>18-11-2022 IFT/IFT22322010590/RIUP22/1293/SARVDA TRADERS 148500.00</t>
  </si>
  <si>
    <t>RIUP22/1383</t>
  </si>
  <si>
    <t>30-11-2022 IFT/IFT22334202220/RIUP22/1383/SARVDA TRADERS 332733.00</t>
  </si>
  <si>
    <t>RIUP22/1676</t>
  </si>
  <si>
    <t>29-12-2022 IFT/IFT22363024663/RIUP22/1676/SARVDA TRADERS 3,60,177.00</t>
  </si>
  <si>
    <t>RIUP22/1867</t>
  </si>
  <si>
    <t>17-01-2023 IFT/IFT23017016212/RIUP22/1867/SARVDA TRADERS 229757.00</t>
  </si>
  <si>
    <t>RIUP22/1935</t>
  </si>
  <si>
    <t>21-01-2023 IFT/IFT23021020480/RIUP22/1935/SARVDA TRADERS ₹ 74,250.00</t>
  </si>
  <si>
    <t>RIUP22/2411</t>
  </si>
  <si>
    <t>02-03-2023 IFT/IFT23061020773/RIUP22/2411/SARVDA TRADERS 148500.00</t>
  </si>
  <si>
    <t>SPUP23/0100</t>
  </si>
  <si>
    <t>12-04-2023 12-04-2023 IFT/IFT23102027050/SPUP23/0100/SARVDA TRADERS 198000.00</t>
  </si>
  <si>
    <t>26-04-2023 26-04-2023 IFT/IFT23116013272/SPUP23/0269/SARVDA TRADERS 190107.00</t>
  </si>
  <si>
    <t>26-04-2023 26-04-2023 IFT/IFT23116015374/SPUP23/0270/SARVDA TRADERS 1337.00</t>
  </si>
  <si>
    <t>16-05-2023 IFT/IFT23136007302/RIUP23/248/SARVDA TRADERS 94070.00</t>
  </si>
  <si>
    <t>20-06-2023 IFT/IFT23171012033/RIUP23/702/SARVDA TRADERS 45419.00</t>
  </si>
  <si>
    <t>RIUP22/2665</t>
  </si>
  <si>
    <t>18-03-2023 IFT/IFT23077009788/RIUP22/2665/SARVDA TRADERS 198000.00</t>
  </si>
  <si>
    <t>Bhojaheri Village Pipe layng work</t>
  </si>
  <si>
    <t>Rettanangala Village Pipe layng work</t>
  </si>
  <si>
    <t>25-08-2023 IFT/IFT23237026565/RIUP23/1698/SARVDA TRADERS 134750.00</t>
  </si>
  <si>
    <t>18-08-2023 IFT/IFT23230028919/RIUP23/1608/SARVDA TRADERS 251768.00</t>
  </si>
  <si>
    <t>RIUP22/1608</t>
  </si>
  <si>
    <t>15-09-2023 IFT/IFT23258027569/RIUP23/2033/SARVDA TRADERS 81954.00</t>
  </si>
  <si>
    <t>RIUP23/1698</t>
  </si>
  <si>
    <t>RIUP23/2035</t>
  </si>
  <si>
    <t>22-09-2023 IFT/IFT23265052078/RIUP23/2035/SARVDA TRADERS 30703.00</t>
  </si>
  <si>
    <t>GST Release note</t>
  </si>
  <si>
    <t>RIUP23/2034</t>
  </si>
  <si>
    <t>22-09-2023 IFT/IFT23265052079/RIUP23/2034/SARVDA TRADERS 102479.00</t>
  </si>
  <si>
    <t>SPUP23/0269</t>
  </si>
  <si>
    <t>SPUP23/0270</t>
  </si>
  <si>
    <t>RIUP23/248</t>
  </si>
  <si>
    <t>RIUP23/702</t>
  </si>
  <si>
    <t>RIUP23/2033</t>
  </si>
  <si>
    <t>11-10-2023 IFT/IFT23284017591/RIUP23/2584/SARVDA TRADERS 276192.00</t>
  </si>
  <si>
    <t>02-11-2023 IFT/IFT23306063102/RIUP23/3044/SARVDA TRADERS 148500.00</t>
  </si>
  <si>
    <t>10-11-2023 IFT/IFT23314061988/RIUP23/3220/SARVDA TRADERS 49500.00</t>
  </si>
  <si>
    <t>RIUP23/3044</t>
  </si>
  <si>
    <t>RIUP23/3220</t>
  </si>
  <si>
    <t>02-11-2023 IFT/IFT23306063091/RIUP23/1350/SARVDA TRADERS 58747.00</t>
  </si>
  <si>
    <t>RIUP23/1350</t>
  </si>
  <si>
    <t>09-11-2023 IFT/IFT23313075547/RIUP23/3208/SARVDA TRADERS 148500.00</t>
  </si>
  <si>
    <t>RIUP23/2584</t>
  </si>
  <si>
    <t>RIUP23/3208</t>
  </si>
  <si>
    <t>SPUP23/0267</t>
  </si>
  <si>
    <t>SPUP23/0247</t>
  </si>
  <si>
    <t>SPUP23/0703</t>
  </si>
  <si>
    <t xml:space="preserve">19-12-2023 IFT/IFT23353019564/RIUP23/3479/SARVDA TRADERS 104686.00 </t>
  </si>
  <si>
    <t>RIUP23/3479</t>
  </si>
  <si>
    <t>19-12-2023 IFT/IFT23353022391/RIUP23/3744/SARVDA TRADERS 132533.00</t>
  </si>
  <si>
    <t>20-12-2023 IFT/IFT23354020919/RIUP23/3873/SARVDA TRADERS 62930.00</t>
  </si>
  <si>
    <t>RIUP23/3744</t>
  </si>
  <si>
    <t>RIUP23/3879</t>
  </si>
  <si>
    <t>Advance / Surplus</t>
  </si>
  <si>
    <t>16-03-2024 IFT/IFT24076016194/RIUP23/5067/SARVDA TRADERS 155233.00</t>
  </si>
  <si>
    <t>20-03-2024 IFT/IFT24080019605/RIUP23/4299/SARVDA TRADERS 68359.00</t>
  </si>
  <si>
    <t>Hold</t>
  </si>
  <si>
    <t>In process</t>
  </si>
  <si>
    <t xml:space="preserve">S.No. </t>
  </si>
  <si>
    <t xml:space="preserve">Vendor </t>
  </si>
  <si>
    <t>Pending Payment</t>
  </si>
  <si>
    <t>PMC</t>
  </si>
  <si>
    <t>Remarks</t>
  </si>
  <si>
    <t xml:space="preserve">Sarvada </t>
  </si>
  <si>
    <t>Sarvodaya</t>
  </si>
  <si>
    <t>Gurtej Infra</t>
  </si>
  <si>
    <t>GST- Rs.78660 &amp; 37759</t>
  </si>
  <si>
    <t>Bill- Rs.313724</t>
  </si>
  <si>
    <t>GST- Rs.66825 Bill- Rs.362525 &amp;  Bill- Rs.345262</t>
  </si>
  <si>
    <t>58504 &amp; 58503</t>
  </si>
  <si>
    <t>54428 &amp; 58565</t>
  </si>
  <si>
    <t>Payable amount after Adjusting 5 lakh is                       Rs.552632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</si>
  <si>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</si>
  <si>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</si>
  <si>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</si>
  <si>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</si>
  <si>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</si>
  <si>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</si>
  <si>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</si>
  <si>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</si>
  <si>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</si>
  <si>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</si>
  <si>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</si>
  <si>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</si>
  <si>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</si>
  <si>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</si>
  <si>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On_Commission</t>
  </si>
  <si>
    <t>SD_Amount</t>
  </si>
  <si>
    <t>TDS_Amount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</si>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</sst>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15" fontId="3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64" fontId="3" fillId="3" borderId="2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0" fillId="2" borderId="0" xfId="0" applyNumberFormat="1" applyFill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164" fontId="3" fillId="3" borderId="13" xfId="1" applyNumberFormat="1" applyFont="1" applyFill="1" applyBorder="1" applyAlignment="1">
      <alignment vertical="center"/>
    </xf>
    <xf numFmtId="9" fontId="3" fillId="3" borderId="13" xfId="1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horizontal="center" vertical="center" wrapText="1"/>
    </xf>
    <xf numFmtId="9" fontId="3" fillId="2" borderId="3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164" fontId="3" fillId="2" borderId="4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164" fontId="5" fillId="2" borderId="13" xfId="1" applyNumberFormat="1" applyFont="1" applyFill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43" fontId="9" fillId="0" borderId="5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43" fontId="9" fillId="0" borderId="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6" fillId="2" borderId="5" xfId="0" applyFont="1" applyFill="1" applyBorder="1" applyAlignment="1">
      <alignment vertical="center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12" fillId="2" borderId="5" xfId="1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64" fontId="8" fillId="2" borderId="7" xfId="1" applyNumberFormat="1" applyFont="1" applyFill="1" applyBorder="1" applyAlignment="1">
      <alignment horizontal="center" vertical="center"/>
    </xf>
    <xf numFmtId="164" fontId="8" fillId="2" borderId="12" xfId="1" applyNumberFormat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64" fontId="8" fillId="2" borderId="9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2"/>
  <sheetViews>
    <sheetView tabSelected="1" view="pageBreakPreview" zoomScaleNormal="100" zoomScaleSheetLayoutView="100" workbookViewId="0">
      <pane ySplit="5" topLeftCell="A30" activePane="bottomLeft" state="frozen"/>
      <selection pane="bottomLeft" activeCell="E3" sqref="E3"/>
    </sheetView>
  </sheetViews>
  <sheetFormatPr defaultColWidth="9" defaultRowHeight="24.9" customHeight="1" x14ac:dyDescent="0.3"/>
  <cols>
    <col min="1" max="1" width="6.88671875" style="2" customWidth="1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14" customWidth="1"/>
    <col min="9" max="9" width="12.88671875" style="14" bestFit="1" customWidth="1"/>
    <col min="10" max="10" width="10.6640625" style="2" bestFit="1" customWidth="1"/>
    <col min="11" max="14" width="14.88671875" style="2" customWidth="1"/>
    <col min="15" max="15" width="16.6640625" style="2" customWidth="1"/>
    <col min="16" max="16" width="14.88671875" style="2" customWidth="1"/>
    <col min="17" max="17" width="8.5546875" style="2" customWidth="1"/>
    <col min="18" max="18" width="21.6640625" style="2" hidden="1" customWidth="1"/>
    <col min="19" max="19" width="12.6640625" style="2" hidden="1" customWidth="1"/>
    <col min="20" max="20" width="14.5546875" style="2" hidden="1" customWidth="1"/>
    <col min="21" max="21" width="17.33203125" style="2" customWidth="1"/>
    <col min="22" max="22" width="75.109375" style="2" customWidth="1"/>
    <col min="23" max="16384" width="9" style="2"/>
  </cols>
  <sheetData>
    <row r="1" spans="1:56" ht="24.9" customHeight="1" x14ac:dyDescent="0.3">
      <c r="A1" s="53" t="s">
        <v>101</v>
      </c>
      <c r="B1" s="5" t="s">
        <v>5</v>
      </c>
      <c r="E1" s="3"/>
      <c r="F1" s="3"/>
      <c r="G1" s="3"/>
      <c r="H1" s="4"/>
      <c r="I1" s="4"/>
    </row>
    <row r="2" spans="1:56" ht="24.9" customHeight="1" x14ac:dyDescent="0.3">
      <c r="A2" s="53" t="s">
        <v>102</v>
      </c>
      <c r="B2" t="s">
        <v>105</v>
      </c>
      <c r="C2" s="5"/>
      <c r="D2" s="5"/>
      <c r="G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56" ht="24.9" customHeight="1" thickBot="1" x14ac:dyDescent="0.35">
      <c r="A3" s="53" t="s">
        <v>103</v>
      </c>
      <c r="B3" t="s">
        <v>106</v>
      </c>
      <c r="C3" s="5"/>
      <c r="D3" s="5"/>
      <c r="G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56" ht="24.9" customHeight="1" thickBot="1" x14ac:dyDescent="0.35">
      <c r="A4" s="53" t="s">
        <v>104</v>
      </c>
      <c r="B4" t="s">
        <v>106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R4" s="7"/>
      <c r="S4" s="10"/>
      <c r="T4" s="10"/>
      <c r="U4" s="10"/>
      <c r="V4" s="10"/>
    </row>
    <row r="5" spans="1:56" ht="24.9" customHeight="1" x14ac:dyDescent="0.3">
      <c r="A5" s="54" t="s">
        <v>107</v>
      </c>
      <c r="B5" s="52" t="s">
        <v>108</v>
      </c>
      <c r="C5" s="55" t="s">
        <v>109</v>
      </c>
      <c r="D5" s="56" t="s">
        <v>110</v>
      </c>
      <c r="E5" s="52" t="s">
        <v>111</v>
      </c>
      <c r="F5" s="52" t="s">
        <v>112</v>
      </c>
      <c r="G5" s="56" t="s">
        <v>113</v>
      </c>
      <c r="H5" s="57" t="s">
        <v>114</v>
      </c>
      <c r="I5" s="27" t="s">
        <v>0</v>
      </c>
      <c r="J5" s="52" t="s">
        <v>117</v>
      </c>
      <c r="K5" s="52" t="s">
        <v>116</v>
      </c>
      <c r="L5" s="52" t="s">
        <v>115</v>
      </c>
      <c r="M5" s="52" t="s">
        <v>118</v>
      </c>
      <c r="N5" s="52" t="s">
        <v>119</v>
      </c>
      <c r="O5" s="28" t="s">
        <v>4</v>
      </c>
      <c r="P5" s="52" t="s">
        <v>120</v>
      </c>
      <c r="Q5" s="28"/>
      <c r="R5" s="28" t="s">
        <v>1</v>
      </c>
      <c r="S5" s="28" t="s">
        <v>0</v>
      </c>
      <c r="T5" s="28" t="s">
        <v>3</v>
      </c>
      <c r="U5" s="52" t="s">
        <v>121</v>
      </c>
      <c r="V5" s="28" t="s">
        <v>2</v>
      </c>
    </row>
    <row r="6" spans="1:56" ht="24.9" customHeight="1" thickBot="1" x14ac:dyDescent="0.35">
      <c r="A6" s="33"/>
      <c r="B6" s="13"/>
      <c r="C6" s="13"/>
      <c r="D6" s="13"/>
      <c r="E6" s="13"/>
      <c r="F6" s="13"/>
      <c r="G6" s="13"/>
      <c r="H6" s="38">
        <v>0.18</v>
      </c>
      <c r="I6" s="13"/>
      <c r="J6" s="38">
        <v>0.01</v>
      </c>
      <c r="K6" s="38">
        <v>0.05</v>
      </c>
      <c r="L6" s="38">
        <v>0.1</v>
      </c>
      <c r="M6" s="38">
        <v>0.1</v>
      </c>
      <c r="N6" s="38">
        <v>0.18</v>
      </c>
      <c r="O6" s="38"/>
      <c r="P6" s="13"/>
      <c r="Q6" s="23"/>
      <c r="R6" s="13"/>
      <c r="S6" s="13"/>
      <c r="T6" s="38">
        <v>0.01</v>
      </c>
      <c r="U6" s="13"/>
      <c r="V6" s="13"/>
    </row>
    <row r="7" spans="1:56" s="15" customFormat="1" ht="24.9" customHeight="1" x14ac:dyDescent="0.3">
      <c r="A7" s="34"/>
      <c r="B7" s="35"/>
      <c r="C7" s="35"/>
      <c r="D7" s="35"/>
      <c r="E7" s="35"/>
      <c r="F7" s="35"/>
      <c r="G7" s="35"/>
      <c r="H7" s="36"/>
      <c r="I7" s="35"/>
      <c r="J7" s="36"/>
      <c r="K7" s="36"/>
      <c r="L7" s="36"/>
      <c r="M7" s="36"/>
      <c r="N7" s="36"/>
      <c r="O7" s="36"/>
      <c r="P7" s="35"/>
      <c r="Q7" s="37">
        <f>A8</f>
        <v>52909</v>
      </c>
      <c r="R7" s="35"/>
      <c r="S7" s="35"/>
      <c r="T7" s="36"/>
      <c r="U7" s="35"/>
      <c r="V7" s="35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24.9" customHeight="1" x14ac:dyDescent="0.3">
      <c r="A8" s="29">
        <v>52909</v>
      </c>
      <c r="B8" s="17" t="s">
        <v>6</v>
      </c>
      <c r="C8" s="1">
        <v>44886</v>
      </c>
      <c r="D8" s="18">
        <v>1</v>
      </c>
      <c r="E8" s="11">
        <v>625583</v>
      </c>
      <c r="F8" s="11">
        <v>0</v>
      </c>
      <c r="G8" s="11">
        <f>E8-F8</f>
        <v>625583</v>
      </c>
      <c r="H8" s="11">
        <f>ROUND(G8*H6,0)</f>
        <v>112605</v>
      </c>
      <c r="I8" s="11">
        <f>ROUND(G8+H8,)</f>
        <v>738188</v>
      </c>
      <c r="J8" s="11">
        <f>ROUND(G8*$J$6,)</f>
        <v>6256</v>
      </c>
      <c r="K8" s="11">
        <f>ROUND(G8*$K$6,)</f>
        <v>31279</v>
      </c>
      <c r="L8" s="11">
        <f>ROUND(G8*$L$6,)</f>
        <v>62558</v>
      </c>
      <c r="M8" s="11">
        <f>ROUND(G8*$M$6,)</f>
        <v>62558</v>
      </c>
      <c r="N8" s="11">
        <f>H8</f>
        <v>112605</v>
      </c>
      <c r="O8" s="11">
        <v>14409</v>
      </c>
      <c r="P8" s="11">
        <f>ROUND(I8-SUM(J8:O8),0)</f>
        <v>448523</v>
      </c>
      <c r="Q8" s="19"/>
      <c r="R8" s="11" t="s">
        <v>8</v>
      </c>
      <c r="S8" s="11">
        <v>150000</v>
      </c>
      <c r="T8" s="11">
        <f>S8*$T$6</f>
        <v>1500</v>
      </c>
      <c r="U8" s="11">
        <f>ROUND(S8-T8,0)</f>
        <v>148500</v>
      </c>
      <c r="V8" s="31" t="s">
        <v>7</v>
      </c>
    </row>
    <row r="9" spans="1:56" ht="24.9" customHeight="1" x14ac:dyDescent="0.3">
      <c r="A9" s="29">
        <v>52909</v>
      </c>
      <c r="B9" s="17" t="s">
        <v>6</v>
      </c>
      <c r="C9" s="1">
        <v>44914</v>
      </c>
      <c r="D9" s="20">
        <v>3</v>
      </c>
      <c r="E9" s="11">
        <v>355399</v>
      </c>
      <c r="F9" s="11">
        <v>0</v>
      </c>
      <c r="G9" s="11">
        <f>E9-F9</f>
        <v>355399</v>
      </c>
      <c r="H9" s="11">
        <f>ROUND(G9*H6,0)</f>
        <v>63972</v>
      </c>
      <c r="I9" s="11">
        <f>G9+H9</f>
        <v>419371</v>
      </c>
      <c r="J9" s="11">
        <f>ROUND(G9*$J$6,)</f>
        <v>3554</v>
      </c>
      <c r="K9" s="11">
        <f>ROUND(G9*$K$6,)</f>
        <v>17770</v>
      </c>
      <c r="L9" s="11">
        <f>ROUND(G9*$L$6,)</f>
        <v>35540</v>
      </c>
      <c r="M9" s="11">
        <f>ROUND(G9*$M$6,)</f>
        <v>35540</v>
      </c>
      <c r="N9" s="11">
        <f>H9</f>
        <v>63972</v>
      </c>
      <c r="O9" s="11">
        <v>10565</v>
      </c>
      <c r="P9" s="11">
        <f>ROUND(I9-SUM(J9:O9),0)</f>
        <v>252430</v>
      </c>
      <c r="Q9" s="19"/>
      <c r="R9" s="11" t="s">
        <v>10</v>
      </c>
      <c r="S9" s="11">
        <v>300024</v>
      </c>
      <c r="T9" s="11">
        <v>0</v>
      </c>
      <c r="U9" s="11">
        <f t="shared" ref="U9:U30" si="0">ROUND(S9-T9,0)</f>
        <v>300024</v>
      </c>
      <c r="V9" s="31" t="s">
        <v>9</v>
      </c>
    </row>
    <row r="10" spans="1:56" ht="24.9" customHeight="1" x14ac:dyDescent="0.3">
      <c r="A10" s="29">
        <v>52909</v>
      </c>
      <c r="B10" s="17" t="s">
        <v>13</v>
      </c>
      <c r="C10" s="1">
        <v>44931</v>
      </c>
      <c r="D10" s="20" t="s">
        <v>14</v>
      </c>
      <c r="E10" s="11">
        <f>N8+N9</f>
        <v>176577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f>E10</f>
        <v>176577</v>
      </c>
      <c r="Q10" s="19"/>
      <c r="R10" s="11" t="s">
        <v>12</v>
      </c>
      <c r="S10" s="11">
        <v>252430</v>
      </c>
      <c r="T10" s="11">
        <v>0</v>
      </c>
      <c r="U10" s="11">
        <f t="shared" si="0"/>
        <v>252430</v>
      </c>
      <c r="V10" s="31" t="s">
        <v>11</v>
      </c>
    </row>
    <row r="11" spans="1:56" ht="24.9" customHeight="1" x14ac:dyDescent="0.3">
      <c r="A11" s="29">
        <v>52909</v>
      </c>
      <c r="B11" s="17" t="s">
        <v>6</v>
      </c>
      <c r="C11" s="1">
        <v>44961</v>
      </c>
      <c r="D11" s="20">
        <v>5</v>
      </c>
      <c r="E11" s="11">
        <v>224994</v>
      </c>
      <c r="F11" s="11">
        <v>0</v>
      </c>
      <c r="G11" s="11">
        <f>E11-F11</f>
        <v>224994</v>
      </c>
      <c r="H11" s="11">
        <f>ROUND(G11*H6,0)</f>
        <v>40499</v>
      </c>
      <c r="I11" s="11">
        <f>G11+H11</f>
        <v>265493</v>
      </c>
      <c r="J11" s="11">
        <f>ROUND(G11*$J$6,)</f>
        <v>2250</v>
      </c>
      <c r="K11" s="11">
        <f>ROUND(G11*$K$6,)</f>
        <v>11250</v>
      </c>
      <c r="L11" s="11">
        <f>ROUND(G11*5%,)</f>
        <v>11250</v>
      </c>
      <c r="M11" s="11">
        <f>ROUND(G11*$M$6,)</f>
        <v>22499</v>
      </c>
      <c r="N11" s="11">
        <f>H11</f>
        <v>40499</v>
      </c>
      <c r="O11" s="11"/>
      <c r="P11" s="11">
        <f>ROUND(I11-SUM(J11:O11),0)</f>
        <v>177745</v>
      </c>
      <c r="Q11" s="19"/>
      <c r="R11" s="11" t="s">
        <v>18</v>
      </c>
      <c r="S11" s="11">
        <v>176577</v>
      </c>
      <c r="T11" s="11"/>
      <c r="U11" s="11">
        <f t="shared" si="0"/>
        <v>176577</v>
      </c>
      <c r="V11" s="31" t="s">
        <v>15</v>
      </c>
    </row>
    <row r="12" spans="1:56" ht="24.9" customHeight="1" x14ac:dyDescent="0.3">
      <c r="A12" s="29">
        <v>52909</v>
      </c>
      <c r="B12" s="17" t="s">
        <v>6</v>
      </c>
      <c r="C12" s="1">
        <v>45024</v>
      </c>
      <c r="D12" s="20">
        <v>2</v>
      </c>
      <c r="E12" s="11">
        <v>143632</v>
      </c>
      <c r="F12" s="11">
        <v>0</v>
      </c>
      <c r="G12" s="11">
        <f>E12-F12</f>
        <v>143632</v>
      </c>
      <c r="H12" s="11">
        <f>ROUND(G12*H6,0)</f>
        <v>25854</v>
      </c>
      <c r="I12" s="11">
        <f>G12+H12</f>
        <v>169486</v>
      </c>
      <c r="J12" s="11">
        <f>ROUND(G12*$J$6,)</f>
        <v>1436</v>
      </c>
      <c r="K12" s="11">
        <f>ROUND(G12*$K$6,)</f>
        <v>7182</v>
      </c>
      <c r="L12" s="11">
        <f>ROUND(G12*5%,)</f>
        <v>7182</v>
      </c>
      <c r="M12" s="11">
        <f>ROUND(G12*$M$6,)</f>
        <v>14363</v>
      </c>
      <c r="N12" s="11">
        <f>H12</f>
        <v>25854</v>
      </c>
      <c r="O12" s="11"/>
      <c r="P12" s="11">
        <f>ROUND(I12-SUM(J12:O12),0)</f>
        <v>113469</v>
      </c>
      <c r="Q12" s="19"/>
      <c r="R12" s="11" t="s">
        <v>19</v>
      </c>
      <c r="S12" s="11">
        <v>150000</v>
      </c>
      <c r="T12" s="11">
        <f>S12*$T$6</f>
        <v>1500</v>
      </c>
      <c r="U12" s="11">
        <f t="shared" si="0"/>
        <v>148500</v>
      </c>
      <c r="V12" s="31" t="s">
        <v>16</v>
      </c>
    </row>
    <row r="13" spans="1:56" ht="24.9" customHeight="1" x14ac:dyDescent="0.3">
      <c r="A13" s="29">
        <v>52909</v>
      </c>
      <c r="B13" s="17" t="s">
        <v>13</v>
      </c>
      <c r="C13" s="11"/>
      <c r="D13" s="20">
        <v>5</v>
      </c>
      <c r="E13" s="11">
        <v>40499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>
        <f>E13</f>
        <v>40499</v>
      </c>
      <c r="Q13" s="19"/>
      <c r="R13" s="11" t="s">
        <v>20</v>
      </c>
      <c r="S13" s="11">
        <v>150000</v>
      </c>
      <c r="T13" s="11">
        <f>S13*$T$6</f>
        <v>1500</v>
      </c>
      <c r="U13" s="11">
        <f t="shared" si="0"/>
        <v>148500</v>
      </c>
      <c r="V13" s="31" t="s">
        <v>17</v>
      </c>
    </row>
    <row r="14" spans="1:56" ht="24.9" customHeight="1" x14ac:dyDescent="0.3">
      <c r="A14" s="29">
        <v>52909</v>
      </c>
      <c r="B14" s="17" t="s">
        <v>13</v>
      </c>
      <c r="C14" s="11"/>
      <c r="D14" s="20">
        <v>2</v>
      </c>
      <c r="E14" s="11">
        <v>25854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f>E14</f>
        <v>25854</v>
      </c>
      <c r="Q14" s="19"/>
      <c r="R14" s="11" t="s">
        <v>73</v>
      </c>
      <c r="S14" s="11">
        <v>29245</v>
      </c>
      <c r="T14" s="11"/>
      <c r="U14" s="11">
        <f t="shared" si="0"/>
        <v>29245</v>
      </c>
      <c r="V14" s="31" t="s">
        <v>21</v>
      </c>
    </row>
    <row r="15" spans="1:56" ht="24.9" customHeight="1" x14ac:dyDescent="0.3">
      <c r="A15" s="29">
        <v>52909</v>
      </c>
      <c r="B15" s="17"/>
      <c r="C15" s="11"/>
      <c r="D15" s="2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9"/>
      <c r="R15" s="11" t="s">
        <v>74</v>
      </c>
      <c r="S15" s="11">
        <v>40499</v>
      </c>
      <c r="T15" s="11"/>
      <c r="U15" s="11">
        <f t="shared" si="0"/>
        <v>40499</v>
      </c>
      <c r="V15" s="31" t="s">
        <v>22</v>
      </c>
    </row>
    <row r="16" spans="1:56" ht="24.9" customHeight="1" x14ac:dyDescent="0.3">
      <c r="A16" s="29">
        <v>52909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9"/>
      <c r="R16" s="11" t="s">
        <v>75</v>
      </c>
      <c r="S16" s="11">
        <v>25854</v>
      </c>
      <c r="T16" s="11"/>
      <c r="U16" s="11">
        <f t="shared" si="0"/>
        <v>25854</v>
      </c>
      <c r="V16" s="31" t="s">
        <v>23</v>
      </c>
    </row>
    <row r="17" spans="1:56" s="15" customFormat="1" ht="24.9" customHeight="1" x14ac:dyDescent="0.3">
      <c r="A17" s="30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1">
        <f>A18</f>
        <v>52910</v>
      </c>
      <c r="R17" s="16"/>
      <c r="S17" s="16"/>
      <c r="T17" s="16"/>
      <c r="U17" s="16"/>
      <c r="V17" s="30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24.9" customHeight="1" x14ac:dyDescent="0.3">
      <c r="A18" s="29">
        <v>52910</v>
      </c>
      <c r="B18" s="17" t="s">
        <v>24</v>
      </c>
      <c r="C18" s="1">
        <v>44886</v>
      </c>
      <c r="D18" s="18">
        <v>2</v>
      </c>
      <c r="E18" s="11">
        <v>662821</v>
      </c>
      <c r="F18" s="11">
        <v>0</v>
      </c>
      <c r="G18" s="11">
        <f>E18-F18</f>
        <v>662821</v>
      </c>
      <c r="H18" s="11">
        <f>G18*18%</f>
        <v>119307.78</v>
      </c>
      <c r="I18" s="11">
        <f>ROUND(G18+H18,)</f>
        <v>782129</v>
      </c>
      <c r="J18" s="11">
        <f>G18*$J$6</f>
        <v>6628.21</v>
      </c>
      <c r="K18" s="11">
        <f>G18*$K$6</f>
        <v>33141.050000000003</v>
      </c>
      <c r="L18" s="11">
        <f>G18*$L$6</f>
        <v>66282.100000000006</v>
      </c>
      <c r="M18" s="11">
        <f>G18*$M$6</f>
        <v>66282.100000000006</v>
      </c>
      <c r="N18" s="11">
        <f>H18</f>
        <v>119307.78</v>
      </c>
      <c r="O18" s="11">
        <v>9255</v>
      </c>
      <c r="P18" s="11">
        <f>ROUND(I18-SUM(J18:O18),0)</f>
        <v>481233</v>
      </c>
      <c r="Q18" s="22"/>
      <c r="R18" s="11" t="s">
        <v>26</v>
      </c>
      <c r="S18" s="11">
        <v>150000</v>
      </c>
      <c r="T18" s="11">
        <f>S18*$T$6</f>
        <v>1500</v>
      </c>
      <c r="U18" s="11">
        <f t="shared" si="0"/>
        <v>148500</v>
      </c>
      <c r="V18" s="31" t="s">
        <v>27</v>
      </c>
    </row>
    <row r="19" spans="1:56" ht="24.9" customHeight="1" x14ac:dyDescent="0.3">
      <c r="A19" s="29">
        <v>52910</v>
      </c>
      <c r="B19" s="17" t="s">
        <v>24</v>
      </c>
      <c r="C19" s="1">
        <v>44914</v>
      </c>
      <c r="D19" s="20">
        <v>4</v>
      </c>
      <c r="E19" s="11">
        <v>613606</v>
      </c>
      <c r="F19" s="11">
        <v>0</v>
      </c>
      <c r="G19" s="11">
        <f>E19-F19</f>
        <v>613606</v>
      </c>
      <c r="H19" s="11">
        <f t="shared" ref="H19:H22" si="1">G19*18%</f>
        <v>110449.08</v>
      </c>
      <c r="I19" s="11">
        <f>ROUND(G19+H19,)</f>
        <v>724055</v>
      </c>
      <c r="J19" s="11">
        <f>G19*$J$6</f>
        <v>6136.06</v>
      </c>
      <c r="K19" s="11">
        <f>G19*$K$6</f>
        <v>30680.300000000003</v>
      </c>
      <c r="L19" s="11">
        <f>G19*$L$6</f>
        <v>61360.600000000006</v>
      </c>
      <c r="M19" s="11">
        <f>G19*$M$6</f>
        <v>61360.600000000006</v>
      </c>
      <c r="N19" s="11">
        <f>H19</f>
        <v>110449.08</v>
      </c>
      <c r="O19" s="11">
        <v>93891</v>
      </c>
      <c r="P19" s="11">
        <f>ROUND(I19-SUM(J19:O19),0)</f>
        <v>360177</v>
      </c>
      <c r="Q19" s="19"/>
      <c r="R19" s="11" t="s">
        <v>28</v>
      </c>
      <c r="S19" s="11">
        <v>332733</v>
      </c>
      <c r="T19" s="11">
        <v>0</v>
      </c>
      <c r="U19" s="11">
        <f t="shared" si="0"/>
        <v>332733</v>
      </c>
      <c r="V19" s="31" t="s">
        <v>29</v>
      </c>
    </row>
    <row r="20" spans="1:56" ht="24.9" customHeight="1" x14ac:dyDescent="0.3">
      <c r="A20" s="29">
        <v>52910</v>
      </c>
      <c r="B20" s="17" t="s">
        <v>13</v>
      </c>
      <c r="C20" s="1"/>
      <c r="D20" s="20" t="s">
        <v>25</v>
      </c>
      <c r="E20" s="11">
        <v>229757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>
        <f>E20</f>
        <v>229757</v>
      </c>
      <c r="Q20" s="19"/>
      <c r="R20" s="11" t="s">
        <v>30</v>
      </c>
      <c r="S20" s="11">
        <v>360177</v>
      </c>
      <c r="T20" s="11">
        <v>0</v>
      </c>
      <c r="U20" s="11">
        <f t="shared" si="0"/>
        <v>360177</v>
      </c>
      <c r="V20" s="31" t="s">
        <v>31</v>
      </c>
    </row>
    <row r="21" spans="1:56" ht="24.9" customHeight="1" x14ac:dyDescent="0.3">
      <c r="A21" s="29">
        <v>52910</v>
      </c>
      <c r="B21" s="17" t="s">
        <v>24</v>
      </c>
      <c r="C21" s="1">
        <v>44596</v>
      </c>
      <c r="D21" s="20">
        <v>6</v>
      </c>
      <c r="E21" s="11">
        <v>522604</v>
      </c>
      <c r="F21" s="11">
        <v>0</v>
      </c>
      <c r="G21" s="11">
        <f>E21-F21</f>
        <v>522604</v>
      </c>
      <c r="H21" s="11">
        <f t="shared" si="1"/>
        <v>94068.72</v>
      </c>
      <c r="I21" s="11">
        <f>ROUND(G21+H21,)</f>
        <v>616673</v>
      </c>
      <c r="J21" s="11">
        <f>G21*$J$6</f>
        <v>5226.04</v>
      </c>
      <c r="K21" s="11">
        <f>G21*$K$6</f>
        <v>26130.2</v>
      </c>
      <c r="L21" s="11">
        <f>G21*5%</f>
        <v>26130.2</v>
      </c>
      <c r="M21" s="11">
        <f>G21*$M$6</f>
        <v>52260.4</v>
      </c>
      <c r="N21" s="11">
        <f>H21</f>
        <v>94068.72</v>
      </c>
      <c r="O21" s="11"/>
      <c r="P21" s="11">
        <f>ROUND(I21-SUM(J21:O21),0)</f>
        <v>412857</v>
      </c>
      <c r="Q21" s="19"/>
      <c r="R21" s="11" t="s">
        <v>32</v>
      </c>
      <c r="S21" s="11">
        <v>229757</v>
      </c>
      <c r="T21" s="11">
        <v>0</v>
      </c>
      <c r="U21" s="11">
        <f t="shared" si="0"/>
        <v>229757</v>
      </c>
      <c r="V21" s="31" t="s">
        <v>33</v>
      </c>
    </row>
    <row r="22" spans="1:56" ht="24.9" customHeight="1" x14ac:dyDescent="0.3">
      <c r="A22" s="29">
        <v>52910</v>
      </c>
      <c r="B22" s="17" t="s">
        <v>24</v>
      </c>
      <c r="C22" s="1">
        <v>44659</v>
      </c>
      <c r="D22" s="20">
        <v>1</v>
      </c>
      <c r="E22" s="11">
        <v>252325</v>
      </c>
      <c r="F22" s="11">
        <v>0</v>
      </c>
      <c r="G22" s="11">
        <f>E22-F22</f>
        <v>252325</v>
      </c>
      <c r="H22" s="11">
        <f t="shared" si="1"/>
        <v>45418.5</v>
      </c>
      <c r="I22" s="11">
        <f>ROUND(G22+H22,)</f>
        <v>297744</v>
      </c>
      <c r="J22" s="11">
        <f>G22*$J$6</f>
        <v>2523.25</v>
      </c>
      <c r="K22" s="11">
        <f>G22*$K$6</f>
        <v>12616.25</v>
      </c>
      <c r="L22" s="11">
        <f>G22*5%</f>
        <v>12616.25</v>
      </c>
      <c r="M22" s="11">
        <f>G22*$M$6</f>
        <v>25232.5</v>
      </c>
      <c r="N22" s="11">
        <f>H22</f>
        <v>45418.5</v>
      </c>
      <c r="O22" s="11"/>
      <c r="P22" s="11">
        <f>ROUND(I22-SUM(J22:O22),0)</f>
        <v>199337</v>
      </c>
      <c r="Q22" s="19"/>
      <c r="R22" s="11" t="s">
        <v>34</v>
      </c>
      <c r="S22" s="11">
        <v>74250</v>
      </c>
      <c r="T22" s="11">
        <v>0</v>
      </c>
      <c r="U22" s="11">
        <f t="shared" si="0"/>
        <v>74250</v>
      </c>
      <c r="V22" s="31" t="s">
        <v>35</v>
      </c>
    </row>
    <row r="23" spans="1:56" ht="24.9" customHeight="1" x14ac:dyDescent="0.3">
      <c r="A23" s="29">
        <v>52910</v>
      </c>
      <c r="B23" s="17" t="s">
        <v>13</v>
      </c>
      <c r="C23" s="11"/>
      <c r="D23" s="20">
        <v>6</v>
      </c>
      <c r="E23" s="11">
        <v>94069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>
        <f>E23</f>
        <v>94069</v>
      </c>
      <c r="Q23" s="19"/>
      <c r="R23" s="11" t="s">
        <v>36</v>
      </c>
      <c r="S23" s="11">
        <v>150000</v>
      </c>
      <c r="T23" s="11">
        <f t="shared" ref="T23:T24" si="2">S23*$T$6</f>
        <v>1500</v>
      </c>
      <c r="U23" s="11">
        <f t="shared" si="0"/>
        <v>148500</v>
      </c>
      <c r="V23" s="31" t="s">
        <v>37</v>
      </c>
    </row>
    <row r="24" spans="1:56" ht="24.9" customHeight="1" x14ac:dyDescent="0.3">
      <c r="A24" s="29">
        <v>52910</v>
      </c>
      <c r="B24" s="17" t="s">
        <v>13</v>
      </c>
      <c r="C24" s="11"/>
      <c r="D24" s="20">
        <v>1</v>
      </c>
      <c r="E24" s="11">
        <v>45419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f>E24</f>
        <v>45419</v>
      </c>
      <c r="Q24" s="19"/>
      <c r="R24" s="11" t="s">
        <v>38</v>
      </c>
      <c r="S24" s="11">
        <v>200000</v>
      </c>
      <c r="T24" s="11">
        <f t="shared" si="2"/>
        <v>2000</v>
      </c>
      <c r="U24" s="11">
        <f t="shared" si="0"/>
        <v>198000</v>
      </c>
      <c r="V24" s="31" t="s">
        <v>39</v>
      </c>
    </row>
    <row r="25" spans="1:56" ht="24.9" customHeight="1" x14ac:dyDescent="0.3">
      <c r="A25" s="29">
        <v>52910</v>
      </c>
      <c r="B25" s="17" t="s">
        <v>24</v>
      </c>
      <c r="C25" s="1">
        <v>45126</v>
      </c>
      <c r="D25" s="20">
        <v>3</v>
      </c>
      <c r="E25" s="11">
        <v>455301</v>
      </c>
      <c r="F25" s="11"/>
      <c r="G25" s="11">
        <f>E25-F25</f>
        <v>455301</v>
      </c>
      <c r="H25" s="11">
        <f t="shared" ref="H25" si="3">G25*18%</f>
        <v>81954.179999999993</v>
      </c>
      <c r="I25" s="11">
        <f>ROUND(G25+H25,)</f>
        <v>537255</v>
      </c>
      <c r="J25" s="11">
        <f>G25*$J$6</f>
        <v>4553.01</v>
      </c>
      <c r="K25" s="11">
        <f>G25*$K$6</f>
        <v>22765.050000000003</v>
      </c>
      <c r="L25" s="11">
        <f>G25*5%</f>
        <v>22765.050000000003</v>
      </c>
      <c r="M25" s="11">
        <f>G25*$M$6</f>
        <v>45530.100000000006</v>
      </c>
      <c r="N25" s="11">
        <f>H25</f>
        <v>81954.179999999993</v>
      </c>
      <c r="O25" s="11">
        <v>300941</v>
      </c>
      <c r="P25" s="11">
        <f>ROUND(I25-SUM(J25:O25),0)</f>
        <v>58747</v>
      </c>
      <c r="Q25" s="19"/>
      <c r="R25" s="11" t="s">
        <v>58</v>
      </c>
      <c r="S25" s="11">
        <v>190107</v>
      </c>
      <c r="T25" s="11">
        <v>0</v>
      </c>
      <c r="U25" s="11">
        <f t="shared" si="0"/>
        <v>190107</v>
      </c>
      <c r="V25" s="31" t="s">
        <v>40</v>
      </c>
    </row>
    <row r="26" spans="1:56" ht="24.9" customHeight="1" x14ac:dyDescent="0.3">
      <c r="A26" s="29">
        <v>52910</v>
      </c>
      <c r="B26" s="17" t="s">
        <v>13</v>
      </c>
      <c r="C26" s="1">
        <v>45152</v>
      </c>
      <c r="D26" s="20">
        <v>3</v>
      </c>
      <c r="E26" s="11">
        <v>81954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f>E26</f>
        <v>81954</v>
      </c>
      <c r="Q26" s="19"/>
      <c r="R26" s="11" t="s">
        <v>59</v>
      </c>
      <c r="S26" s="11">
        <v>1337</v>
      </c>
      <c r="T26" s="11">
        <v>0</v>
      </c>
      <c r="U26" s="11">
        <f t="shared" si="0"/>
        <v>1337</v>
      </c>
      <c r="V26" s="31" t="s">
        <v>41</v>
      </c>
    </row>
    <row r="27" spans="1:56" ht="24.9" customHeight="1" x14ac:dyDescent="0.3">
      <c r="A27" s="29">
        <v>52910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9"/>
      <c r="R27" s="11" t="s">
        <v>60</v>
      </c>
      <c r="S27" s="11">
        <v>94070</v>
      </c>
      <c r="T27" s="11">
        <v>0</v>
      </c>
      <c r="U27" s="11">
        <f t="shared" si="0"/>
        <v>94070</v>
      </c>
      <c r="V27" s="31" t="s">
        <v>42</v>
      </c>
    </row>
    <row r="28" spans="1:56" ht="24.9" customHeight="1" x14ac:dyDescent="0.3">
      <c r="A28" s="29">
        <v>52910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9"/>
      <c r="R28" s="11" t="s">
        <v>61</v>
      </c>
      <c r="S28" s="11">
        <v>45419</v>
      </c>
      <c r="T28" s="11">
        <v>0</v>
      </c>
      <c r="U28" s="11">
        <f t="shared" si="0"/>
        <v>45419</v>
      </c>
      <c r="V28" s="31" t="s">
        <v>43</v>
      </c>
    </row>
    <row r="29" spans="1:56" ht="24.9" customHeight="1" x14ac:dyDescent="0.3">
      <c r="A29" s="29">
        <v>52910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9"/>
      <c r="R29" s="11" t="s">
        <v>62</v>
      </c>
      <c r="S29" s="11">
        <v>81945</v>
      </c>
      <c r="T29" s="11">
        <v>0</v>
      </c>
      <c r="U29" s="11">
        <f t="shared" si="0"/>
        <v>81945</v>
      </c>
      <c r="V29" s="31" t="s">
        <v>51</v>
      </c>
    </row>
    <row r="30" spans="1:56" ht="24.9" customHeight="1" x14ac:dyDescent="0.3">
      <c r="A30" s="29">
        <v>52910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9"/>
      <c r="R30" s="11" t="s">
        <v>69</v>
      </c>
      <c r="S30" s="11">
        <v>58747</v>
      </c>
      <c r="T30" s="11"/>
      <c r="U30" s="11">
        <f t="shared" si="0"/>
        <v>58747</v>
      </c>
      <c r="V30" s="31" t="s">
        <v>68</v>
      </c>
    </row>
    <row r="31" spans="1:56" ht="24.9" customHeight="1" x14ac:dyDescent="0.3">
      <c r="A31" s="2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9"/>
      <c r="R31" s="11"/>
      <c r="S31" s="11"/>
      <c r="T31" s="11"/>
      <c r="U31" s="11"/>
      <c r="V31" s="31"/>
    </row>
    <row r="32" spans="1:56" s="15" customFormat="1" ht="24.9" customHeight="1" x14ac:dyDescent="0.3">
      <c r="A32" s="30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1">
        <f>A33</f>
        <v>54428</v>
      </c>
      <c r="R32" s="16"/>
      <c r="S32" s="16"/>
      <c r="T32" s="16"/>
      <c r="U32" s="16"/>
      <c r="V32" s="30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ht="24.9" customHeight="1" x14ac:dyDescent="0.3">
      <c r="A33" s="29">
        <v>54428</v>
      </c>
      <c r="B33" s="17" t="s">
        <v>46</v>
      </c>
      <c r="C33" s="1">
        <v>45149</v>
      </c>
      <c r="D33" s="18">
        <v>4</v>
      </c>
      <c r="E33" s="11">
        <v>569325.5</v>
      </c>
      <c r="F33" s="11">
        <v>0</v>
      </c>
      <c r="G33" s="11">
        <f>E33-F33</f>
        <v>569325.5</v>
      </c>
      <c r="H33" s="11">
        <f>ROUND(G33*H6,0)</f>
        <v>102479</v>
      </c>
      <c r="I33" s="11">
        <f>ROUND(G33+H33,)</f>
        <v>671805</v>
      </c>
      <c r="J33" s="11">
        <f>ROUND(G33*$J$6,)</f>
        <v>5693</v>
      </c>
      <c r="K33" s="11">
        <f>ROUND(G33*$K$6,)</f>
        <v>28466</v>
      </c>
      <c r="L33" s="11">
        <f>ROUND(G33*5%,)</f>
        <v>28466</v>
      </c>
      <c r="M33" s="11">
        <f>ROUND(G33*$M$6,)</f>
        <v>56933</v>
      </c>
      <c r="N33" s="11">
        <f>H33</f>
        <v>102479</v>
      </c>
      <c r="O33" s="11"/>
      <c r="P33" s="11">
        <f>ROUND(I33-SUM(J33:O33),0)</f>
        <v>449768</v>
      </c>
      <c r="Q33" s="19"/>
      <c r="R33" s="11" t="s">
        <v>44</v>
      </c>
      <c r="S33" s="11">
        <v>200000</v>
      </c>
      <c r="T33" s="11">
        <f>S33*$T$6</f>
        <v>2000</v>
      </c>
      <c r="U33" s="11">
        <f>S33-T33</f>
        <v>198000</v>
      </c>
      <c r="V33" s="31" t="s">
        <v>45</v>
      </c>
    </row>
    <row r="34" spans="1:56" ht="24.9" customHeight="1" x14ac:dyDescent="0.3">
      <c r="A34" s="29">
        <v>54428</v>
      </c>
      <c r="B34" s="17" t="s">
        <v>55</v>
      </c>
      <c r="C34" s="1"/>
      <c r="D34" s="20">
        <v>4</v>
      </c>
      <c r="E34" s="11">
        <v>102479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>
        <f>E34</f>
        <v>102479</v>
      </c>
      <c r="Q34" s="19"/>
      <c r="R34" s="11" t="s">
        <v>50</v>
      </c>
      <c r="S34" s="11">
        <v>251768</v>
      </c>
      <c r="T34" s="11"/>
      <c r="U34" s="11">
        <f t="shared" ref="U34:U37" si="4">S34-T34</f>
        <v>251768</v>
      </c>
      <c r="V34" s="31" t="s">
        <v>49</v>
      </c>
    </row>
    <row r="35" spans="1:56" ht="24.9" customHeight="1" x14ac:dyDescent="0.3">
      <c r="A35" s="29">
        <v>54428</v>
      </c>
      <c r="B35" s="17" t="s">
        <v>46</v>
      </c>
      <c r="C35" s="1">
        <v>45233</v>
      </c>
      <c r="D35" s="18">
        <v>7</v>
      </c>
      <c r="E35" s="11">
        <v>451502</v>
      </c>
      <c r="F35" s="11">
        <v>14500</v>
      </c>
      <c r="G35" s="11">
        <f>E35-F35</f>
        <v>437002</v>
      </c>
      <c r="H35" s="11">
        <f>G35*18%</f>
        <v>78660.36</v>
      </c>
      <c r="I35" s="11">
        <f>G35+H35</f>
        <v>515662.36</v>
      </c>
      <c r="J35" s="11">
        <f>I35*1%</f>
        <v>5156.6235999999999</v>
      </c>
      <c r="K35" s="11">
        <f>I35*5%</f>
        <v>25783.118000000002</v>
      </c>
      <c r="L35" s="11">
        <f>I35*10%</f>
        <v>51566.236000000004</v>
      </c>
      <c r="M35" s="11">
        <f>I35*10%</f>
        <v>51566.236000000004</v>
      </c>
      <c r="N35" s="11">
        <f>G35*18%</f>
        <v>78660.36</v>
      </c>
      <c r="O35" s="11">
        <v>20696</v>
      </c>
      <c r="P35" s="11">
        <v>302685</v>
      </c>
      <c r="Q35" s="19"/>
      <c r="R35" s="11" t="s">
        <v>56</v>
      </c>
      <c r="S35" s="11">
        <v>102479</v>
      </c>
      <c r="T35" s="11">
        <v>0</v>
      </c>
      <c r="U35" s="11">
        <f t="shared" si="4"/>
        <v>102479</v>
      </c>
      <c r="V35" s="31" t="s">
        <v>57</v>
      </c>
    </row>
    <row r="36" spans="1:56" ht="24.9" customHeight="1" x14ac:dyDescent="0.3">
      <c r="A36" s="29">
        <v>54428</v>
      </c>
      <c r="B36" s="17" t="s">
        <v>55</v>
      </c>
      <c r="C36" s="1"/>
      <c r="D36" s="20">
        <v>7</v>
      </c>
      <c r="E36" s="11">
        <f>N35</f>
        <v>78660.36</v>
      </c>
      <c r="F36" s="11"/>
      <c r="G36" s="11"/>
      <c r="H36" s="11"/>
      <c r="I36" s="11"/>
      <c r="J36" s="11"/>
      <c r="K36" s="11"/>
      <c r="L36" s="11"/>
      <c r="M36" s="11"/>
      <c r="N36" s="11">
        <f>H36</f>
        <v>0</v>
      </c>
      <c r="O36" s="11" t="s">
        <v>85</v>
      </c>
      <c r="P36" s="11">
        <f>E36</f>
        <v>78660.36</v>
      </c>
      <c r="Q36" s="19"/>
      <c r="R36" s="11" t="s">
        <v>66</v>
      </c>
      <c r="S36" s="11">
        <v>150000</v>
      </c>
      <c r="T36" s="11">
        <f>S36*$T$6</f>
        <v>1500</v>
      </c>
      <c r="U36" s="11">
        <f t="shared" si="4"/>
        <v>148500</v>
      </c>
      <c r="V36" s="31" t="s">
        <v>64</v>
      </c>
    </row>
    <row r="37" spans="1:56" ht="24.9" customHeight="1" x14ac:dyDescent="0.3">
      <c r="A37" s="29">
        <v>54428</v>
      </c>
      <c r="B37" s="17"/>
      <c r="C37" s="1"/>
      <c r="D37" s="18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9"/>
      <c r="R37" s="11" t="s">
        <v>67</v>
      </c>
      <c r="S37" s="11">
        <v>50000</v>
      </c>
      <c r="T37" s="11">
        <f>S37*$T$6</f>
        <v>500</v>
      </c>
      <c r="U37" s="11">
        <f t="shared" si="4"/>
        <v>49500</v>
      </c>
      <c r="V37" s="31" t="s">
        <v>65</v>
      </c>
    </row>
    <row r="38" spans="1:56" ht="24.9" customHeight="1" x14ac:dyDescent="0.3">
      <c r="A38" s="29">
        <v>54428</v>
      </c>
      <c r="B38" s="17"/>
      <c r="C38" s="1"/>
      <c r="D38" s="18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9"/>
      <c r="R38" s="11" t="s">
        <v>77</v>
      </c>
      <c r="S38" s="11">
        <v>104686</v>
      </c>
      <c r="T38" s="11">
        <v>0</v>
      </c>
      <c r="U38" s="11">
        <f t="shared" ref="U38" si="5">S38-T38</f>
        <v>104686</v>
      </c>
      <c r="V38" s="31" t="s">
        <v>76</v>
      </c>
    </row>
    <row r="39" spans="1:56" ht="24.9" customHeight="1" x14ac:dyDescent="0.3">
      <c r="A39" s="29"/>
      <c r="B39" s="17"/>
      <c r="C39" s="1"/>
      <c r="D39" s="18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9"/>
      <c r="R39" s="11"/>
      <c r="S39" s="11"/>
      <c r="T39" s="11"/>
      <c r="U39" s="11"/>
      <c r="V39" s="31"/>
    </row>
    <row r="40" spans="1:56" ht="24.9" customHeight="1" x14ac:dyDescent="0.3">
      <c r="A40" s="29"/>
      <c r="B40" s="17"/>
      <c r="C40" s="1"/>
      <c r="D40" s="18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9"/>
      <c r="R40" s="11"/>
      <c r="S40" s="11"/>
      <c r="T40" s="11"/>
      <c r="U40" s="11"/>
      <c r="V40" s="31"/>
    </row>
    <row r="41" spans="1:56" s="15" customFormat="1" ht="24.9" customHeight="1" x14ac:dyDescent="0.3">
      <c r="A41" s="30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21">
        <f>A42</f>
        <v>58565</v>
      </c>
      <c r="R41" s="16"/>
      <c r="S41" s="16"/>
      <c r="T41" s="16"/>
      <c r="U41" s="16"/>
      <c r="V41" s="30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24.9" customHeight="1" x14ac:dyDescent="0.3">
      <c r="A42" s="29">
        <v>58565</v>
      </c>
      <c r="B42" s="17" t="s">
        <v>47</v>
      </c>
      <c r="C42" s="1">
        <v>45156</v>
      </c>
      <c r="D42" s="18">
        <v>5</v>
      </c>
      <c r="E42" s="11">
        <v>170571</v>
      </c>
      <c r="F42" s="11">
        <v>0</v>
      </c>
      <c r="G42" s="11">
        <f t="shared" ref="G42:G46" si="6">E42-F42</f>
        <v>170571</v>
      </c>
      <c r="H42" s="11">
        <f>ROUND(G42*H6,0)</f>
        <v>30703</v>
      </c>
      <c r="I42" s="11">
        <f>ROUND(G42+H42,)</f>
        <v>201274</v>
      </c>
      <c r="J42" s="11">
        <f>ROUND(G42*$J$6,)</f>
        <v>1706</v>
      </c>
      <c r="K42" s="11">
        <f>ROUND(G42*$K$6,)</f>
        <v>8529</v>
      </c>
      <c r="L42" s="11">
        <f>ROUND(G42*5%,)</f>
        <v>8529</v>
      </c>
      <c r="M42" s="11">
        <f>ROUND(G42*$M$6,)</f>
        <v>17057</v>
      </c>
      <c r="N42" s="11">
        <f t="shared" ref="N42:N46" si="7">H42</f>
        <v>30703</v>
      </c>
      <c r="O42" s="11"/>
      <c r="P42" s="11">
        <f t="shared" ref="P42:P46" si="8">ROUND(I42-SUM(J42:O42),0)</f>
        <v>134750</v>
      </c>
      <c r="Q42" s="19"/>
      <c r="R42" s="11" t="s">
        <v>52</v>
      </c>
      <c r="S42" s="11">
        <v>134750</v>
      </c>
      <c r="T42" s="11">
        <v>0</v>
      </c>
      <c r="U42" s="11">
        <f>S42-T42</f>
        <v>134750</v>
      </c>
      <c r="V42" s="31" t="s">
        <v>48</v>
      </c>
    </row>
    <row r="43" spans="1:56" ht="24.9" customHeight="1" x14ac:dyDescent="0.3">
      <c r="A43" s="29">
        <v>58565</v>
      </c>
      <c r="B43" s="17" t="s">
        <v>55</v>
      </c>
      <c r="C43" s="1">
        <v>45185</v>
      </c>
      <c r="D43" s="20">
        <v>5</v>
      </c>
      <c r="E43" s="11">
        <v>30703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f>E43</f>
        <v>30703</v>
      </c>
      <c r="Q43" s="19"/>
      <c r="R43" s="11" t="s">
        <v>53</v>
      </c>
      <c r="S43" s="11">
        <v>30703</v>
      </c>
      <c r="T43" s="11">
        <v>0</v>
      </c>
      <c r="U43" s="11">
        <f t="shared" ref="U43:U45" si="9">S43-T43</f>
        <v>30703</v>
      </c>
      <c r="V43" s="31" t="s">
        <v>54</v>
      </c>
    </row>
    <row r="44" spans="1:56" ht="24.9" customHeight="1" x14ac:dyDescent="0.3">
      <c r="A44" s="29">
        <v>58565</v>
      </c>
      <c r="B44" s="17" t="s">
        <v>47</v>
      </c>
      <c r="C44" s="1">
        <v>45202</v>
      </c>
      <c r="D44" s="20">
        <v>6</v>
      </c>
      <c r="E44" s="11">
        <v>349609.5</v>
      </c>
      <c r="F44" s="11"/>
      <c r="G44" s="11">
        <f t="shared" si="6"/>
        <v>349609.5</v>
      </c>
      <c r="H44" s="11">
        <f>ROUND(G44*H6,0)</f>
        <v>62930</v>
      </c>
      <c r="I44" s="11">
        <f t="shared" ref="I44:I48" si="10">G44+H44</f>
        <v>412539.5</v>
      </c>
      <c r="J44" s="11">
        <f>ROUND(G44*$J$6,)</f>
        <v>3496</v>
      </c>
      <c r="K44" s="11">
        <f>ROUND(G44*$K$6,)</f>
        <v>17480</v>
      </c>
      <c r="L44" s="11">
        <f>G44*5%</f>
        <v>17480.475000000002</v>
      </c>
      <c r="M44" s="11">
        <f>ROUND(G44*$M$6,)</f>
        <v>34961</v>
      </c>
      <c r="N44" s="11">
        <f t="shared" si="7"/>
        <v>62930</v>
      </c>
      <c r="O44" s="11"/>
      <c r="P44" s="11">
        <f t="shared" si="8"/>
        <v>276192</v>
      </c>
      <c r="Q44" s="19"/>
      <c r="R44" s="11" t="s">
        <v>71</v>
      </c>
      <c r="S44" s="11">
        <v>276192</v>
      </c>
      <c r="T44" s="11">
        <v>0</v>
      </c>
      <c r="U44" s="11">
        <f t="shared" si="9"/>
        <v>276192</v>
      </c>
      <c r="V44" s="31" t="s">
        <v>63</v>
      </c>
    </row>
    <row r="45" spans="1:56" ht="24.9" customHeight="1" x14ac:dyDescent="0.3">
      <c r="A45" s="29">
        <v>58565</v>
      </c>
      <c r="B45" s="17" t="s">
        <v>55</v>
      </c>
      <c r="C45" s="1">
        <v>45203</v>
      </c>
      <c r="D45" s="20">
        <v>6</v>
      </c>
      <c r="E45" s="11">
        <f>N44</f>
        <v>62930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>
        <f>E45</f>
        <v>62930</v>
      </c>
      <c r="Q45" s="19"/>
      <c r="R45" s="11" t="s">
        <v>72</v>
      </c>
      <c r="S45" s="11">
        <v>150000</v>
      </c>
      <c r="T45" s="11">
        <f t="shared" ref="T45" si="11">S45*$T$6</f>
        <v>1500</v>
      </c>
      <c r="U45" s="11">
        <f t="shared" si="9"/>
        <v>148500</v>
      </c>
      <c r="V45" s="31" t="s">
        <v>70</v>
      </c>
    </row>
    <row r="46" spans="1:56" ht="24.9" customHeight="1" x14ac:dyDescent="0.3">
      <c r="A46" s="29">
        <v>58565</v>
      </c>
      <c r="B46" s="17" t="s">
        <v>47</v>
      </c>
      <c r="C46" s="1">
        <v>45236</v>
      </c>
      <c r="D46" s="20">
        <v>8</v>
      </c>
      <c r="E46" s="11">
        <v>384574</v>
      </c>
      <c r="F46" s="11">
        <v>4800</v>
      </c>
      <c r="G46" s="11">
        <f t="shared" si="6"/>
        <v>379774</v>
      </c>
      <c r="H46" s="11">
        <f>G46*18%</f>
        <v>68359.319999999992</v>
      </c>
      <c r="I46" s="11">
        <f t="shared" si="10"/>
        <v>448133.32</v>
      </c>
      <c r="J46" s="11">
        <f>ROUND(G46*$J$6,)</f>
        <v>3798</v>
      </c>
      <c r="K46" s="11">
        <f>ROUND(G46*$K$6,)</f>
        <v>18989</v>
      </c>
      <c r="L46" s="11">
        <f>G46*10%</f>
        <v>37977.4</v>
      </c>
      <c r="M46" s="11">
        <f>G46*10%</f>
        <v>37977.4</v>
      </c>
      <c r="N46" s="11">
        <f t="shared" si="7"/>
        <v>68359.319999999992</v>
      </c>
      <c r="O46" s="11"/>
      <c r="P46" s="11">
        <f t="shared" si="8"/>
        <v>281032</v>
      </c>
      <c r="Q46" s="19"/>
      <c r="R46" s="11" t="s">
        <v>80</v>
      </c>
      <c r="S46" s="11">
        <v>132533</v>
      </c>
      <c r="T46" s="11">
        <v>0</v>
      </c>
      <c r="U46" s="11">
        <f t="shared" ref="U46" si="12">S46-T46</f>
        <v>132533</v>
      </c>
      <c r="V46" s="31" t="s">
        <v>78</v>
      </c>
    </row>
    <row r="47" spans="1:56" ht="24.9" customHeight="1" x14ac:dyDescent="0.3">
      <c r="A47" s="29">
        <v>58565</v>
      </c>
      <c r="B47" s="17" t="s">
        <v>55</v>
      </c>
      <c r="C47" s="1"/>
      <c r="D47" s="20">
        <v>8</v>
      </c>
      <c r="E47" s="11">
        <f>N46</f>
        <v>68359.319999999992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>
        <f>E47</f>
        <v>68359.319999999992</v>
      </c>
      <c r="Q47" s="19"/>
      <c r="R47" s="11" t="s">
        <v>81</v>
      </c>
      <c r="S47" s="11">
        <v>62930</v>
      </c>
      <c r="T47" s="11">
        <v>0</v>
      </c>
      <c r="U47" s="11">
        <f t="shared" ref="U47" si="13">S47-T47</f>
        <v>62930</v>
      </c>
      <c r="V47" s="31" t="s">
        <v>79</v>
      </c>
    </row>
    <row r="48" spans="1:56" ht="24.9" customHeight="1" x14ac:dyDescent="0.3">
      <c r="A48" s="29">
        <v>58565</v>
      </c>
      <c r="B48" s="17" t="s">
        <v>47</v>
      </c>
      <c r="C48" s="1">
        <v>45329</v>
      </c>
      <c r="D48" s="20">
        <v>9</v>
      </c>
      <c r="E48" s="11">
        <v>209774</v>
      </c>
      <c r="F48" s="11">
        <v>0</v>
      </c>
      <c r="G48" s="11">
        <f t="shared" ref="G48" si="14">E48-F48</f>
        <v>209774</v>
      </c>
      <c r="H48" s="11">
        <f>G48*18%</f>
        <v>37759.32</v>
      </c>
      <c r="I48" s="11">
        <f t="shared" si="10"/>
        <v>247533.32</v>
      </c>
      <c r="J48" s="11">
        <f>ROUND(G48*$J$6,)</f>
        <v>2098</v>
      </c>
      <c r="K48" s="11">
        <f>ROUND(G48*$K$6,)</f>
        <v>10489</v>
      </c>
      <c r="L48" s="11">
        <f>G48*10%</f>
        <v>20977.4</v>
      </c>
      <c r="M48" s="11">
        <f>G48*10%</f>
        <v>20977.4</v>
      </c>
      <c r="N48" s="11">
        <f t="shared" ref="N48" si="15">H48</f>
        <v>37759.32</v>
      </c>
      <c r="O48" s="11"/>
      <c r="P48" s="11">
        <f t="shared" ref="P48" si="16">ROUND(I48-SUM(J48:O48),0)</f>
        <v>155232</v>
      </c>
      <c r="Q48" s="19"/>
      <c r="R48" s="11"/>
      <c r="S48" s="11"/>
      <c r="T48" s="11"/>
      <c r="U48" s="11">
        <v>155233</v>
      </c>
      <c r="V48" s="31" t="s">
        <v>83</v>
      </c>
    </row>
    <row r="49" spans="1:56" ht="24.9" customHeight="1" x14ac:dyDescent="0.3">
      <c r="A49" s="29">
        <v>58565</v>
      </c>
      <c r="B49" s="17" t="s">
        <v>55</v>
      </c>
      <c r="C49" s="1"/>
      <c r="D49" s="20">
        <v>9</v>
      </c>
      <c r="E49" s="11">
        <f>H48</f>
        <v>37759.32</v>
      </c>
      <c r="F49" s="11"/>
      <c r="G49" s="11"/>
      <c r="H49" s="11"/>
      <c r="I49" s="11"/>
      <c r="J49" s="11"/>
      <c r="K49" s="11"/>
      <c r="L49" s="11"/>
      <c r="M49" s="11"/>
      <c r="N49" s="11"/>
      <c r="O49" s="11" t="s">
        <v>86</v>
      </c>
      <c r="P49" s="11">
        <f>E49</f>
        <v>37759.32</v>
      </c>
      <c r="Q49" s="19"/>
      <c r="R49" s="11"/>
      <c r="S49" s="11"/>
      <c r="T49" s="11"/>
      <c r="U49" s="11">
        <v>68359</v>
      </c>
      <c r="V49" s="31" t="s">
        <v>84</v>
      </c>
    </row>
    <row r="50" spans="1:56" ht="24.9" customHeight="1" x14ac:dyDescent="0.3">
      <c r="A50" s="29"/>
      <c r="B50" s="17"/>
      <c r="C50" s="1"/>
      <c r="D50" s="2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9"/>
      <c r="R50" s="11"/>
      <c r="S50" s="11"/>
      <c r="T50" s="11"/>
      <c r="U50" s="11"/>
      <c r="V50" s="31"/>
    </row>
    <row r="51" spans="1:56" s="15" customFormat="1" ht="24.9" customHeight="1" x14ac:dyDescent="0.3">
      <c r="A51" s="30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21"/>
      <c r="R51" s="16"/>
      <c r="S51" s="16"/>
      <c r="T51" s="16"/>
      <c r="U51" s="16"/>
      <c r="V51" s="30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24.9" customHeight="1" thickBot="1" x14ac:dyDescent="0.35">
      <c r="A52" s="39"/>
      <c r="B52" s="26"/>
      <c r="C52" s="26"/>
      <c r="D52" s="26"/>
      <c r="E52" s="40"/>
      <c r="F52" s="40"/>
      <c r="G52" s="40"/>
      <c r="H52" s="12"/>
      <c r="I52" s="12"/>
      <c r="J52" s="12"/>
      <c r="K52" s="12"/>
      <c r="L52" s="12"/>
      <c r="M52" s="12"/>
      <c r="N52" s="12"/>
      <c r="O52" s="12"/>
      <c r="P52" s="12"/>
      <c r="Q52" s="24"/>
      <c r="R52" s="12"/>
      <c r="S52" s="12"/>
      <c r="T52" s="12"/>
      <c r="U52" s="12"/>
      <c r="V52" s="12"/>
    </row>
    <row r="53" spans="1:56" ht="24.9" customHeight="1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1"/>
    </row>
    <row r="54" spans="1:56" ht="24.9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43"/>
      <c r="L54" s="43"/>
      <c r="M54" s="43"/>
      <c r="N54" s="43"/>
      <c r="O54" s="43"/>
      <c r="P54" s="11"/>
      <c r="Q54" s="11"/>
      <c r="R54" s="11"/>
      <c r="S54" s="11"/>
      <c r="T54" s="11"/>
      <c r="U54" s="11"/>
      <c r="V54" s="11"/>
    </row>
    <row r="55" spans="1:56" ht="24.9" customHeight="1" thickBo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32"/>
      <c r="L55" s="32"/>
      <c r="M55" s="32"/>
      <c r="N55" s="32"/>
      <c r="O55" s="32"/>
      <c r="P55" s="13"/>
      <c r="Q55" s="13"/>
      <c r="R55" s="13"/>
      <c r="S55" s="13"/>
      <c r="T55" s="32"/>
      <c r="U55" s="32"/>
      <c r="V55" s="13"/>
    </row>
    <row r="57" spans="1:56" ht="24.9" customHeight="1" thickBot="1" x14ac:dyDescent="0.35"/>
    <row r="58" spans="1:56" ht="24.9" customHeight="1" thickBot="1" x14ac:dyDescent="0.35">
      <c r="F58" s="25"/>
      <c r="L58" s="62"/>
      <c r="M58" s="63"/>
      <c r="N58" s="63"/>
      <c r="O58" s="64"/>
    </row>
    <row r="59" spans="1:56" ht="24.9" customHeight="1" x14ac:dyDescent="0.3">
      <c r="L59" s="65"/>
      <c r="M59" s="66"/>
      <c r="N59" s="66"/>
      <c r="O59" s="67"/>
    </row>
    <row r="60" spans="1:56" ht="24.9" customHeight="1" x14ac:dyDescent="0.3">
      <c r="L60" s="58"/>
      <c r="M60" s="59"/>
      <c r="N60" s="60"/>
      <c r="O60" s="61"/>
    </row>
    <row r="61" spans="1:56" ht="18" x14ac:dyDescent="0.3">
      <c r="L61" s="58"/>
      <c r="M61" s="59"/>
      <c r="N61" s="60"/>
      <c r="O61" s="61"/>
    </row>
    <row r="62" spans="1:56" ht="24.9" customHeight="1" x14ac:dyDescent="0.3">
      <c r="L62" s="58"/>
      <c r="M62" s="59"/>
      <c r="N62" s="60"/>
      <c r="O62" s="61"/>
    </row>
  </sheetData>
  <mergeCells count="8">
    <mergeCell ref="L61:M61"/>
    <mergeCell ref="N61:O61"/>
    <mergeCell ref="L62:M62"/>
    <mergeCell ref="N62:O62"/>
    <mergeCell ref="L58:O58"/>
    <mergeCell ref="L59:O59"/>
    <mergeCell ref="L60:M60"/>
    <mergeCell ref="N60:O60"/>
  </mergeCells>
  <phoneticPr fontId="7" type="noConversion"/>
  <pageMargins left="0.70866141732283472" right="0.70866141732283472" top="0.74803149606299213" bottom="0.74803149606299213" header="0.31496062992125984" footer="0.31496062992125984"/>
  <pageSetup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9"/>
  <sheetViews>
    <sheetView workbookViewId="0">
      <selection activeCell="D28" sqref="D28"/>
    </sheetView>
  </sheetViews>
  <sheetFormatPr defaultRowHeight="14.4" x14ac:dyDescent="0.3"/>
  <cols>
    <col min="1" max="1" width="9.109375" customWidth="1"/>
    <col min="2" max="2" width="19.44140625" customWidth="1"/>
    <col min="3" max="3" width="25.44140625" customWidth="1"/>
    <col min="4" max="4" width="24.33203125" customWidth="1"/>
    <col min="5" max="5" width="18.5546875" customWidth="1"/>
    <col min="6" max="6" width="13.109375" customWidth="1"/>
  </cols>
  <sheetData>
    <row r="3" spans="1:6" ht="15" thickBot="1" x14ac:dyDescent="0.35"/>
    <row r="4" spans="1:6" ht="18.600000000000001" thickBot="1" x14ac:dyDescent="0.4">
      <c r="A4" s="51" t="s">
        <v>87</v>
      </c>
      <c r="B4" s="51" t="s">
        <v>88</v>
      </c>
      <c r="C4" s="51" t="s">
        <v>82</v>
      </c>
      <c r="D4" s="51" t="s">
        <v>89</v>
      </c>
      <c r="E4" s="51" t="s">
        <v>90</v>
      </c>
      <c r="F4" s="51" t="s">
        <v>91</v>
      </c>
    </row>
    <row r="5" spans="1:6" ht="15.6" x14ac:dyDescent="0.3">
      <c r="A5" s="44">
        <v>1</v>
      </c>
      <c r="B5" s="44" t="s">
        <v>92</v>
      </c>
      <c r="C5" s="45">
        <v>81393</v>
      </c>
      <c r="D5" s="44" t="s">
        <v>95</v>
      </c>
      <c r="E5" s="44" t="s">
        <v>99</v>
      </c>
      <c r="F5" s="68" t="s">
        <v>100</v>
      </c>
    </row>
    <row r="6" spans="1:6" ht="15.6" x14ac:dyDescent="0.3">
      <c r="A6" s="46">
        <v>2</v>
      </c>
      <c r="B6" s="46" t="s">
        <v>93</v>
      </c>
      <c r="C6" s="47">
        <v>-327301</v>
      </c>
      <c r="D6" s="46" t="s">
        <v>96</v>
      </c>
      <c r="E6" s="46">
        <v>58204</v>
      </c>
      <c r="F6" s="69"/>
    </row>
    <row r="7" spans="1:6" ht="46.8" x14ac:dyDescent="0.3">
      <c r="A7" s="46">
        <v>3</v>
      </c>
      <c r="B7" s="46" t="s">
        <v>94</v>
      </c>
      <c r="C7" s="47">
        <v>798540</v>
      </c>
      <c r="D7" s="48" t="s">
        <v>97</v>
      </c>
      <c r="E7" s="46" t="s">
        <v>98</v>
      </c>
      <c r="F7" s="69"/>
    </row>
    <row r="8" spans="1:6" ht="15.6" x14ac:dyDescent="0.3">
      <c r="A8" s="46"/>
      <c r="B8" s="46"/>
      <c r="C8" s="49">
        <f>SUM(C5:C7)</f>
        <v>552632</v>
      </c>
      <c r="D8" s="46"/>
      <c r="E8" s="46"/>
      <c r="F8" s="69"/>
    </row>
    <row r="9" spans="1:6" ht="16.2" thickBot="1" x14ac:dyDescent="0.35">
      <c r="A9" s="50"/>
      <c r="B9" s="50"/>
      <c r="C9" s="50"/>
      <c r="D9" s="50"/>
      <c r="E9" s="50"/>
      <c r="F9" s="50"/>
    </row>
  </sheetData>
  <mergeCells count="1">
    <mergeCell ref="F5:F8"/>
  </mergeCells>
  <pageMargins left="0.31496062992125984" right="0.31496062992125984" top="0.74803149606299213" bottom="0.74803149606299213" header="0.31496062992125984" footer="0.31496062992125984"/>
  <pageSetup paperSize="9" scale="13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9"/>
  <sheetViews>
    <sheetView workbookViewId="0">
      <selection activeCell="D28" sqref="D28"/>
    </sheetView>
  </sheetViews>
  <sheetFormatPr defaultRowHeight="14.4" x14ac:dyDescent="0.3"/>
  <cols>
    <col min="1" max="1" width="9.109375" customWidth="1"/>
    <col min="2" max="2" width="19.44140625" customWidth="1"/>
    <col min="3" max="3" width="25.44140625" customWidth="1"/>
    <col min="4" max="4" width="24.33203125" customWidth="1"/>
    <col min="5" max="5" width="18.5546875" customWidth="1"/>
    <col min="6" max="6" width="13.109375" customWidth="1"/>
  </cols>
  <sheetData>
    <row r="3" spans="1:6" ht="15" thickBot="1" x14ac:dyDescent="0.35"/>
    <row r="4" spans="1:6" ht="18.600000000000001" thickBot="1" x14ac:dyDescent="0.4">
      <c r="A4" s="51" t="s">
        <v>87</v>
      </c>
      <c r="B4" s="51" t="s">
        <v>88</v>
      </c>
      <c r="C4" s="51" t="s">
        <v>82</v>
      </c>
      <c r="D4" s="51" t="s">
        <v>89</v>
      </c>
      <c r="E4" s="51" t="s">
        <v>90</v>
      </c>
      <c r="F4" s="51" t="s">
        <v>91</v>
      </c>
    </row>
    <row r="5" spans="1:6" ht="15.6" x14ac:dyDescent="0.3">
      <c r="A5" s="44">
        <v>1</v>
      </c>
      <c r="B5" s="44" t="s">
        <v>92</v>
      </c>
      <c r="C5" s="45">
        <v>81393</v>
      </c>
      <c r="D5" s="44" t="s">
        <v>95</v>
      </c>
      <c r="E5" s="44" t="s">
        <v>99</v>
      </c>
      <c r="F5" s="68" t="s">
        <v>100</v>
      </c>
    </row>
    <row r="6" spans="1:6" ht="15.6" x14ac:dyDescent="0.3">
      <c r="A6" s="46">
        <v>2</v>
      </c>
      <c r="B6" s="46" t="s">
        <v>93</v>
      </c>
      <c r="C6" s="47">
        <v>-327301</v>
      </c>
      <c r="D6" s="46" t="s">
        <v>96</v>
      </c>
      <c r="E6" s="46">
        <v>58204</v>
      </c>
      <c r="F6" s="69"/>
    </row>
    <row r="7" spans="1:6" ht="46.8" x14ac:dyDescent="0.3">
      <c r="A7" s="46">
        <v>3</v>
      </c>
      <c r="B7" s="46" t="s">
        <v>94</v>
      </c>
      <c r="C7" s="47">
        <v>798540</v>
      </c>
      <c r="D7" s="48" t="s">
        <v>97</v>
      </c>
      <c r="E7" s="46" t="s">
        <v>98</v>
      </c>
      <c r="F7" s="69"/>
    </row>
    <row r="8" spans="1:6" ht="15.6" x14ac:dyDescent="0.3">
      <c r="A8" s="46"/>
      <c r="B8" s="46"/>
      <c r="C8" s="49">
        <f>SUM(C5:C7)</f>
        <v>552632</v>
      </c>
      <c r="D8" s="46"/>
      <c r="E8" s="46"/>
      <c r="F8" s="69"/>
    </row>
    <row r="9" spans="1:6" ht="16.2" thickBot="1" x14ac:dyDescent="0.35">
      <c r="A9" s="50"/>
      <c r="B9" s="50"/>
      <c r="C9" s="50"/>
      <c r="D9" s="50"/>
      <c r="E9" s="50"/>
      <c r="F9" s="50"/>
    </row>
  </sheetData>
  <mergeCells count="1">
    <mergeCell ref="F5:F8"/>
  </mergeCells>
  <pageMargins left="0.31496062992125984" right="0.31496062992125984" top="0.74803149606299213" bottom="0.74803149606299213" header="0.31496062992125984" footer="0.31496062992125984"/>
  <pageSetup paperSize="9" scale="13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 (2)</vt:lpstr>
      <vt:lpstr>Sheet2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2024-07-02T07:47:50Z</cp:lastPrinted>
  <dcterms:created xsi:type="dcterms:W3CDTF">2022-06-10T14:11:52Z</dcterms:created>
  <dcterms:modified xsi:type="dcterms:W3CDTF">2025-05-31T09:17:18Z</dcterms:modified>
</cp:coreProperties>
</file>