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Server\e\Laxmi\PMC\UP\SWSM-Muzaffarnagar\Billing\Subcontractor\MZN Payment reconciliation\Sarvodaya Enterprises\"/>
    </mc:Choice>
  </mc:AlternateContent>
  <bookViews>
    <workbookView xWindow="0" yWindow="0" windowWidth="24000" windowHeight="9600"/>
  </bookViews>
  <sheets>
    <sheet name="Sheet1" sheetId="1" r:id="rId1"/>
  </sheets>
  <definedNames>
    <definedName name="_xlnm.Print_Area" localSheetId="0">Sheet1!$A$1:$Y$44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10" i="1" l="1"/>
  <c r="G9" i="1"/>
  <c r="J9" i="1" s="1"/>
  <c r="T16" i="1"/>
  <c r="W18" i="1"/>
  <c r="Y21" i="1"/>
  <c r="K9" i="1" l="1"/>
  <c r="H9" i="1"/>
  <c r="N9" i="1" s="1"/>
  <c r="L9" i="1"/>
  <c r="I9" i="1"/>
  <c r="P9" i="1" s="1"/>
  <c r="O32" i="1"/>
  <c r="W24" i="1"/>
  <c r="W12" i="1"/>
  <c r="W13" i="1"/>
  <c r="W14" i="1"/>
  <c r="W15" i="1"/>
  <c r="W16" i="1"/>
  <c r="W17" i="1"/>
  <c r="G15" i="1"/>
  <c r="L15" i="1" s="1"/>
  <c r="Q25" i="1"/>
  <c r="Q21" i="1"/>
  <c r="Q19" i="1"/>
  <c r="Q10" i="1"/>
  <c r="Q6" i="1"/>
  <c r="W23" i="1"/>
  <c r="G23" i="1"/>
  <c r="I23" i="1" s="1"/>
  <c r="P23" i="1" s="1"/>
  <c r="K15" i="1" l="1"/>
  <c r="J15" i="1"/>
  <c r="M15" i="1"/>
  <c r="H15" i="1"/>
  <c r="N15" i="1" s="1"/>
  <c r="E16" i="1" s="1"/>
  <c r="G16" i="1" s="1"/>
  <c r="I16" i="1" s="1"/>
  <c r="P16" i="1" s="1"/>
  <c r="G14" i="1"/>
  <c r="I14" i="1" s="1"/>
  <c r="P14" i="1" s="1"/>
  <c r="I15" i="1" l="1"/>
  <c r="P15" i="1" s="1"/>
  <c r="W8" i="1"/>
  <c r="T11" i="1" l="1"/>
  <c r="T22" i="1" l="1"/>
  <c r="F22" i="1"/>
  <c r="G22" i="1" s="1"/>
  <c r="L22" i="1" s="1"/>
  <c r="M22" i="1" l="1"/>
  <c r="H22" i="1"/>
  <c r="N22" i="1" s="1"/>
  <c r="K22" i="1"/>
  <c r="J22" i="1"/>
  <c r="G8" i="1"/>
  <c r="L8" i="1" s="1"/>
  <c r="I22" i="1" l="1"/>
  <c r="P22" i="1" s="1"/>
  <c r="Y25" i="1" s="1"/>
  <c r="I8" i="1"/>
  <c r="P8" i="1" s="1"/>
  <c r="F13" i="1"/>
  <c r="G13" i="1" s="1"/>
  <c r="L13" i="1" s="1"/>
  <c r="K13" i="1" l="1"/>
  <c r="J13" i="1"/>
  <c r="M13" i="1"/>
  <c r="H13" i="1"/>
  <c r="N13" i="1" s="1"/>
  <c r="T7" i="1"/>
  <c r="W7" i="1" s="1"/>
  <c r="G7" i="1"/>
  <c r="L7" i="1" s="1"/>
  <c r="I13" i="1" l="1"/>
  <c r="P13" i="1" s="1"/>
  <c r="J7" i="1"/>
  <c r="K7" i="1"/>
  <c r="H7" i="1"/>
  <c r="N7" i="1" s="1"/>
  <c r="W33" i="1"/>
  <c r="I7" i="1" l="1"/>
  <c r="P7" i="1" s="1"/>
  <c r="G10" i="1" l="1"/>
  <c r="H10" i="1" s="1"/>
  <c r="G19" i="1"/>
  <c r="M19" i="1" s="1"/>
  <c r="G11" i="1"/>
  <c r="H11" i="1" l="1"/>
  <c r="L11" i="1"/>
  <c r="H19" i="1"/>
  <c r="J10" i="1"/>
  <c r="L10" i="1"/>
  <c r="K10" i="1"/>
  <c r="M10" i="1"/>
  <c r="K11" i="1"/>
  <c r="J11" i="1"/>
  <c r="M11" i="1"/>
  <c r="J19" i="1"/>
  <c r="K19" i="1"/>
  <c r="L19" i="1"/>
  <c r="M33" i="1" l="1"/>
  <c r="K33" i="1"/>
  <c r="L33" i="1"/>
  <c r="N10" i="1"/>
  <c r="I10" i="1"/>
  <c r="P10" i="1" l="1"/>
  <c r="L41" i="1"/>
  <c r="N11" i="1"/>
  <c r="I11" i="1"/>
  <c r="P11" i="1" s="1"/>
  <c r="Y19" i="1" s="1"/>
  <c r="N19" i="1" l="1"/>
  <c r="N33" i="1" s="1"/>
  <c r="L44" i="1" s="1"/>
  <c r="I19" i="1"/>
  <c r="P19" i="1" s="1"/>
  <c r="P33" i="1" l="1"/>
  <c r="W35" i="1" s="1"/>
  <c r="L42" i="1" s="1"/>
</calcChain>
</file>

<file path=xl/sharedStrings.xml><?xml version="1.0" encoding="utf-8"?>
<sst xmlns="http://schemas.openxmlformats.org/spreadsheetml/2006/main" count="76" uniqueCount="69">
  <si>
    <t>Invoice Reconcilation</t>
  </si>
  <si>
    <t>Invoice Details</t>
  </si>
  <si>
    <t>Invoice Date</t>
  </si>
  <si>
    <t>Invoice No</t>
  </si>
  <si>
    <t>Basic Amt</t>
  </si>
  <si>
    <t>18% GST</t>
  </si>
  <si>
    <t>Amount</t>
  </si>
  <si>
    <t>GST SD (18%)</t>
  </si>
  <si>
    <t>Final Amount</t>
  </si>
  <si>
    <t>PAYMENT NOTE No.</t>
  </si>
  <si>
    <t>Total Amount Paid</t>
  </si>
  <si>
    <t>UTR</t>
  </si>
  <si>
    <t>SD (5%)</t>
  </si>
  <si>
    <t>TDS (1%)</t>
  </si>
  <si>
    <t>Advance paid</t>
  </si>
  <si>
    <t>TDS Amount @ 1% on BASIC AMOUNT</t>
  </si>
  <si>
    <t xml:space="preserve">Debit </t>
  </si>
  <si>
    <t>After Debit Amt</t>
  </si>
  <si>
    <t>On Commissioning</t>
  </si>
  <si>
    <t>Total Payable Amount Rs. -</t>
  </si>
  <si>
    <t>Balance Payable Amount Rs. -</t>
  </si>
  <si>
    <t>Total Paid Amount Rs. -</t>
  </si>
  <si>
    <t>OHT Construction work</t>
  </si>
  <si>
    <t>Testing Deposit</t>
  </si>
  <si>
    <t>Shamli UP</t>
  </si>
  <si>
    <t>03-07-2023 IFT/IFT23184234210/RIUP23/997/SARVODAYA ENTERPRIS ₹ 4,95,000.00</t>
  </si>
  <si>
    <t>14-06-2023 IFT/IFT23165032174/RIUP23/655/SARVODAYA ENTERPRIS ₹ 2,97,000.00</t>
  </si>
  <si>
    <t>05-07-2023 IFT/IFT23186053132/RIUP23/1011/SARVODAYA ENTERPRI ₹ 4,95,000.00</t>
  </si>
  <si>
    <t>30-06-2023 IFT/IFT23181234240/RIUP23/962/SARVODAYA ENTERPRIS 148500.00</t>
  </si>
  <si>
    <t>Sarvodaya Enterprises</t>
  </si>
  <si>
    <t>Pipeline work at Bihari Village</t>
  </si>
  <si>
    <t>GST release note</t>
  </si>
  <si>
    <t>Rettanagala Village OHT Work</t>
  </si>
  <si>
    <t>RIUP23/997</t>
  </si>
  <si>
    <t xml:space="preserve"> BIHARI VILLAGE Pipe line work</t>
  </si>
  <si>
    <t>Hold Amount</t>
  </si>
  <si>
    <t>RIUP23/655</t>
  </si>
  <si>
    <t>RIUP23/1205</t>
  </si>
  <si>
    <t>25-07-2023 IFT/IFT23206056301/RIUP23/1205/SARVODAYA ENTERPRI 126501.00</t>
  </si>
  <si>
    <t>GST Release Note</t>
  </si>
  <si>
    <t>Madpur Village Pipe laying /work</t>
  </si>
  <si>
    <t>RIUP23/962</t>
  </si>
  <si>
    <t>RIUP23/1909</t>
  </si>
  <si>
    <t>08-09-2023 IFT/IFT23251034858/RIUP23/1909/SARVODAYA ENTERPRI 459954.00</t>
  </si>
  <si>
    <t>RIUP23/2031</t>
  </si>
  <si>
    <t>15-09-2023 IFT/IFT23258018934/RIUP23/2031/SARVODAYA ENTERPRI ₹ 97,569.00</t>
  </si>
  <si>
    <t>RIUP23/2032</t>
  </si>
  <si>
    <t>15-09-2023 IFT/IFT23258027568/RIUP23/2032/SARVODAYA ENTERPRI 66825.00</t>
  </si>
  <si>
    <t>GST Release note</t>
  </si>
  <si>
    <t>RIUP23/1998</t>
  </si>
  <si>
    <t>13-09-2023 IFT/IFT23256036659/RIUP23/1998/SARVODAYA ENTERPRI 125726.00</t>
  </si>
  <si>
    <t>CONSTRUCTION OF OVERHEAD TANK- VILLAGE MAHRAIPUR- BLOCK- PURKAZI</t>
  </si>
  <si>
    <t xml:space="preserve">06-12-2023 IFT/IFT23340066367/RIUP23/3442/SARVODAYA ENTERPRI 41060.00 </t>
  </si>
  <si>
    <t>RIUP23/3442</t>
  </si>
  <si>
    <t>26-10-2023 IFT/IFT23299016807/RIUP23/2764/SARVODAYA ENTERPRI 122957.00</t>
  </si>
  <si>
    <t>10-11-2023 IFT/IFT23314061989/RIUP23/3228/SARVODAYA ENTERPRI 99000.00</t>
  </si>
  <si>
    <t>RIUP23/2764</t>
  </si>
  <si>
    <t>RIUP23/3228</t>
  </si>
  <si>
    <t>26-10-2023 IFT/IFT23299016806/RIUP23/2763/SARVODAYA ENTERPRI 86670.00</t>
  </si>
  <si>
    <t>RIUP23/2763</t>
  </si>
  <si>
    <t>Total Hold</t>
  </si>
  <si>
    <t>Advance / Surplus</t>
  </si>
  <si>
    <t>Debit</t>
  </si>
  <si>
    <t>Nil</t>
  </si>
  <si>
    <t>GST Remaining</t>
  </si>
  <si>
    <t>Sarvodaya Traders</t>
  </si>
  <si>
    <t>22-12-2023 IFT/IFT23356043570/RIUP23/3785/SARVODAYA ENTERPRI 45028.00</t>
  </si>
  <si>
    <t>ROAD RESTORATION WORK IN MANDLA VILLAGE</t>
  </si>
  <si>
    <t>Updated On 02-07-2024 ( By Vikash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</si>
</sst>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 * #,##0.00_ ;_ * \-#,##0.00_ ;_ * &quot;-&quot;??_ ;_ @_ "/>
    <numFmt numFmtId="164" formatCode="_(* #,##0.00_);_(* \(#,##0.0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3" tint="0.39997558519241921"/>
      <name val="Comic Sans MS"/>
      <family val="4"/>
    </font>
    <font>
      <sz val="9"/>
      <color theme="1"/>
      <name val="Comic Sans MS"/>
      <family val="4"/>
    </font>
    <font>
      <b/>
      <sz val="9"/>
      <color theme="4" tint="-0.249977111117893"/>
      <name val="Comic Sans MS"/>
      <family val="4"/>
    </font>
    <font>
      <b/>
      <sz val="9"/>
      <color theme="1"/>
      <name val="Comic Sans MS"/>
      <family val="4"/>
    </font>
    <font>
      <b/>
      <sz val="9"/>
      <name val="Comic Sans MS"/>
      <family val="4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4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11">
    <xf numFmtId="0" fontId="0" fillId="0" borderId="0" xfId="0"/>
    <xf numFmtId="0" fontId="5" fillId="2" borderId="3" xfId="0" applyFont="1" applyFill="1" applyBorder="1" applyAlignment="1">
      <alignment horizontal="center" vertical="center"/>
    </xf>
    <xf numFmtId="43" fontId="6" fillId="2" borderId="4" xfId="1" applyNumberFormat="1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/>
    </xf>
    <xf numFmtId="15" fontId="3" fillId="2" borderId="21" xfId="0" applyNumberFormat="1" applyFont="1" applyFill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 wrapText="1"/>
    </xf>
    <xf numFmtId="0" fontId="5" fillId="2" borderId="31" xfId="0" applyFont="1" applyFill="1" applyBorder="1" applyAlignment="1">
      <alignment horizontal="center" vertical="center" wrapText="1"/>
    </xf>
    <xf numFmtId="43" fontId="5" fillId="2" borderId="35" xfId="1" applyNumberFormat="1" applyFont="1" applyFill="1" applyBorder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43" fontId="0" fillId="2" borderId="0" xfId="1" applyNumberFormat="1" applyFont="1" applyFill="1" applyBorder="1" applyAlignment="1">
      <alignment vertical="center"/>
    </xf>
    <xf numFmtId="43" fontId="2" fillId="2" borderId="1" xfId="1" applyNumberFormat="1" applyFont="1" applyFill="1" applyBorder="1" applyAlignment="1">
      <alignment vertical="center"/>
    </xf>
    <xf numFmtId="43" fontId="2" fillId="2" borderId="0" xfId="1" applyNumberFormat="1" applyFont="1" applyFill="1" applyBorder="1" applyAlignment="1">
      <alignment vertical="center"/>
    </xf>
    <xf numFmtId="43" fontId="3" fillId="2" borderId="0" xfId="1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3" fillId="2" borderId="2" xfId="0" applyFont="1" applyFill="1" applyBorder="1" applyAlignment="1">
      <alignment vertical="center"/>
    </xf>
    <xf numFmtId="43" fontId="3" fillId="2" borderId="0" xfId="1" applyNumberFormat="1" applyFont="1" applyFill="1" applyBorder="1" applyAlignment="1">
      <alignment vertical="center"/>
    </xf>
    <xf numFmtId="0" fontId="4" fillId="2" borderId="0" xfId="0" applyFont="1" applyFill="1" applyAlignment="1">
      <alignment vertical="center"/>
    </xf>
    <xf numFmtId="43" fontId="3" fillId="2" borderId="8" xfId="1" applyNumberFormat="1" applyFont="1" applyFill="1" applyBorder="1" applyAlignment="1">
      <alignment vertical="center"/>
    </xf>
    <xf numFmtId="43" fontId="3" fillId="2" borderId="21" xfId="1" applyNumberFormat="1" applyFont="1" applyFill="1" applyBorder="1" applyAlignment="1">
      <alignment vertical="center"/>
    </xf>
    <xf numFmtId="43" fontId="3" fillId="2" borderId="18" xfId="1" applyNumberFormat="1" applyFont="1" applyFill="1" applyBorder="1" applyAlignment="1">
      <alignment vertical="center"/>
    </xf>
    <xf numFmtId="43" fontId="3" fillId="2" borderId="7" xfId="1" applyNumberFormat="1" applyFont="1" applyFill="1" applyBorder="1" applyAlignment="1">
      <alignment vertical="center"/>
    </xf>
    <xf numFmtId="43" fontId="3" fillId="2" borderId="10" xfId="1" applyNumberFormat="1" applyFont="1" applyFill="1" applyBorder="1" applyAlignment="1">
      <alignment vertical="center"/>
    </xf>
    <xf numFmtId="9" fontId="3" fillId="2" borderId="12" xfId="1" applyNumberFormat="1" applyFont="1" applyFill="1" applyBorder="1" applyAlignment="1">
      <alignment vertical="center"/>
    </xf>
    <xf numFmtId="9" fontId="3" fillId="2" borderId="32" xfId="1" applyNumberFormat="1" applyFont="1" applyFill="1" applyBorder="1" applyAlignment="1">
      <alignment vertical="center"/>
    </xf>
    <xf numFmtId="43" fontId="3" fillId="2" borderId="32" xfId="1" applyNumberFormat="1" applyFont="1" applyFill="1" applyBorder="1" applyAlignment="1">
      <alignment vertical="center"/>
    </xf>
    <xf numFmtId="43" fontId="3" fillId="2" borderId="11" xfId="1" applyNumberFormat="1" applyFont="1" applyFill="1" applyBorder="1" applyAlignment="1">
      <alignment vertical="center"/>
    </xf>
    <xf numFmtId="9" fontId="3" fillId="2" borderId="7" xfId="1" applyNumberFormat="1" applyFont="1" applyFill="1" applyBorder="1" applyAlignment="1">
      <alignment vertical="center"/>
    </xf>
    <xf numFmtId="9" fontId="3" fillId="2" borderId="10" xfId="1" applyNumberFormat="1" applyFont="1" applyFill="1" applyBorder="1" applyAlignment="1">
      <alignment vertical="center"/>
    </xf>
    <xf numFmtId="43" fontId="3" fillId="2" borderId="9" xfId="1" applyNumberFormat="1" applyFont="1" applyFill="1" applyBorder="1" applyAlignment="1">
      <alignment vertical="center"/>
    </xf>
    <xf numFmtId="43" fontId="3" fillId="2" borderId="19" xfId="1" applyNumberFormat="1" applyFont="1" applyFill="1" applyBorder="1" applyAlignment="1">
      <alignment vertical="center"/>
    </xf>
    <xf numFmtId="43" fontId="3" fillId="2" borderId="12" xfId="1" applyNumberFormat="1" applyFont="1" applyFill="1" applyBorder="1" applyAlignment="1">
      <alignment vertical="center"/>
    </xf>
    <xf numFmtId="43" fontId="3" fillId="2" borderId="33" xfId="1" applyNumberFormat="1" applyFont="1" applyFill="1" applyBorder="1" applyAlignment="1">
      <alignment vertical="center"/>
    </xf>
    <xf numFmtId="0" fontId="0" fillId="0" borderId="24" xfId="0" applyBorder="1" applyAlignment="1">
      <alignment vertical="center"/>
    </xf>
    <xf numFmtId="43" fontId="3" fillId="2" borderId="20" xfId="1" applyNumberFormat="1" applyFont="1" applyFill="1" applyBorder="1" applyAlignment="1">
      <alignment vertical="center"/>
    </xf>
    <xf numFmtId="43" fontId="3" fillId="2" borderId="23" xfId="1" applyNumberFormat="1" applyFont="1" applyFill="1" applyBorder="1" applyAlignment="1">
      <alignment vertical="center"/>
    </xf>
    <xf numFmtId="43" fontId="3" fillId="2" borderId="27" xfId="1" applyNumberFormat="1" applyFont="1" applyFill="1" applyBorder="1" applyAlignment="1">
      <alignment vertical="center"/>
    </xf>
    <xf numFmtId="43" fontId="3" fillId="2" borderId="14" xfId="1" applyNumberFormat="1" applyFont="1" applyFill="1" applyBorder="1" applyAlignment="1">
      <alignment vertical="center"/>
    </xf>
    <xf numFmtId="43" fontId="3" fillId="2" borderId="17" xfId="1" applyNumberFormat="1" applyFont="1" applyFill="1" applyBorder="1" applyAlignment="1">
      <alignment vertical="center"/>
    </xf>
    <xf numFmtId="43" fontId="3" fillId="2" borderId="24" xfId="1" applyNumberFormat="1" applyFont="1" applyFill="1" applyBorder="1" applyAlignment="1">
      <alignment vertical="center"/>
    </xf>
    <xf numFmtId="43" fontId="3" fillId="2" borderId="29" xfId="1" applyNumberFormat="1" applyFont="1" applyFill="1" applyBorder="1" applyAlignment="1">
      <alignment vertical="center"/>
    </xf>
    <xf numFmtId="0" fontId="0" fillId="0" borderId="25" xfId="0" applyBorder="1" applyAlignment="1">
      <alignment vertical="center"/>
    </xf>
    <xf numFmtId="43" fontId="3" fillId="2" borderId="28" xfId="1" applyNumberFormat="1" applyFont="1" applyFill="1" applyBorder="1" applyAlignment="1">
      <alignment horizontal="right" vertical="center"/>
    </xf>
    <xf numFmtId="43" fontId="3" fillId="2" borderId="16" xfId="1" applyNumberFormat="1" applyFont="1" applyFill="1" applyBorder="1" applyAlignment="1">
      <alignment vertical="center"/>
    </xf>
    <xf numFmtId="43" fontId="3" fillId="2" borderId="36" xfId="1" applyNumberFormat="1" applyFont="1" applyFill="1" applyBorder="1" applyAlignment="1">
      <alignment vertical="center"/>
    </xf>
    <xf numFmtId="43" fontId="3" fillId="2" borderId="22" xfId="1" applyNumberFormat="1" applyFont="1" applyFill="1" applyBorder="1" applyAlignment="1">
      <alignment vertical="center"/>
    </xf>
    <xf numFmtId="43" fontId="3" fillId="2" borderId="26" xfId="1" applyNumberFormat="1" applyFont="1" applyFill="1" applyBorder="1" applyAlignment="1">
      <alignment vertical="center"/>
    </xf>
    <xf numFmtId="43" fontId="3" fillId="2" borderId="34" xfId="1" applyNumberFormat="1" applyFont="1" applyFill="1" applyBorder="1" applyAlignment="1">
      <alignment vertical="center"/>
    </xf>
    <xf numFmtId="43" fontId="3" fillId="2" borderId="30" xfId="1" applyNumberFormat="1" applyFont="1" applyFill="1" applyBorder="1" applyAlignment="1">
      <alignment vertical="center"/>
    </xf>
    <xf numFmtId="43" fontId="0" fillId="2" borderId="0" xfId="1" applyNumberFormat="1" applyFont="1" applyFill="1" applyAlignment="1">
      <alignment vertical="center"/>
    </xf>
    <xf numFmtId="43" fontId="5" fillId="2" borderId="10" xfId="1" applyNumberFormat="1" applyFont="1" applyFill="1" applyBorder="1" applyAlignment="1">
      <alignment vertical="center"/>
    </xf>
    <xf numFmtId="43" fontId="3" fillId="2" borderId="37" xfId="1" applyNumberFormat="1" applyFont="1" applyFill="1" applyBorder="1" applyAlignment="1">
      <alignment vertical="center"/>
    </xf>
    <xf numFmtId="43" fontId="3" fillId="2" borderId="38" xfId="1" applyNumberFormat="1" applyFont="1" applyFill="1" applyBorder="1" applyAlignment="1">
      <alignment vertical="center"/>
    </xf>
    <xf numFmtId="14" fontId="3" fillId="2" borderId="23" xfId="1" applyNumberFormat="1" applyFont="1" applyFill="1" applyBorder="1" applyAlignment="1">
      <alignment vertical="center"/>
    </xf>
    <xf numFmtId="43" fontId="5" fillId="2" borderId="7" xfId="1" applyNumberFormat="1" applyFont="1" applyFill="1" applyBorder="1" applyAlignment="1">
      <alignment vertical="center"/>
    </xf>
    <xf numFmtId="0" fontId="5" fillId="2" borderId="5" xfId="0" applyFont="1" applyFill="1" applyBorder="1" applyAlignment="1">
      <alignment horizontal="center" vertical="center" wrapText="1"/>
    </xf>
    <xf numFmtId="0" fontId="0" fillId="3" borderId="0" xfId="0" applyFill="1" applyAlignment="1">
      <alignment vertical="center"/>
    </xf>
    <xf numFmtId="0" fontId="3" fillId="3" borderId="13" xfId="0" applyFont="1" applyFill="1" applyBorder="1" applyAlignment="1">
      <alignment horizontal="center" vertical="center" wrapText="1"/>
    </xf>
    <xf numFmtId="15" fontId="3" fillId="3" borderId="21" xfId="0" applyNumberFormat="1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43" fontId="3" fillId="3" borderId="19" xfId="1" applyNumberFormat="1" applyFont="1" applyFill="1" applyBorder="1" applyAlignment="1">
      <alignment vertical="center"/>
    </xf>
    <xf numFmtId="43" fontId="3" fillId="3" borderId="38" xfId="1" applyNumberFormat="1" applyFont="1" applyFill="1" applyBorder="1" applyAlignment="1">
      <alignment vertical="center"/>
    </xf>
    <xf numFmtId="43" fontId="3" fillId="3" borderId="7" xfId="1" applyNumberFormat="1" applyFont="1" applyFill="1" applyBorder="1" applyAlignment="1">
      <alignment vertical="center"/>
    </xf>
    <xf numFmtId="43" fontId="3" fillId="3" borderId="10" xfId="1" applyNumberFormat="1" applyFont="1" applyFill="1" applyBorder="1" applyAlignment="1">
      <alignment vertical="center"/>
    </xf>
    <xf numFmtId="43" fontId="3" fillId="3" borderId="12" xfId="1" applyNumberFormat="1" applyFont="1" applyFill="1" applyBorder="1" applyAlignment="1">
      <alignment vertical="center"/>
    </xf>
    <xf numFmtId="43" fontId="3" fillId="3" borderId="32" xfId="1" applyNumberFormat="1" applyFont="1" applyFill="1" applyBorder="1" applyAlignment="1">
      <alignment vertical="center"/>
    </xf>
    <xf numFmtId="43" fontId="3" fillId="3" borderId="33" xfId="1" applyNumberFormat="1" applyFont="1" applyFill="1" applyBorder="1" applyAlignment="1">
      <alignment vertical="center"/>
    </xf>
    <xf numFmtId="43" fontId="3" fillId="3" borderId="9" xfId="1" applyNumberFormat="1" applyFont="1" applyFill="1" applyBorder="1" applyAlignment="1">
      <alignment vertical="center"/>
    </xf>
    <xf numFmtId="0" fontId="0" fillId="3" borderId="24" xfId="0" applyFill="1" applyBorder="1" applyAlignment="1">
      <alignment vertical="center"/>
    </xf>
    <xf numFmtId="43" fontId="3" fillId="3" borderId="20" xfId="1" applyNumberFormat="1" applyFont="1" applyFill="1" applyBorder="1" applyAlignment="1">
      <alignment vertical="center"/>
    </xf>
    <xf numFmtId="43" fontId="3" fillId="3" borderId="23" xfId="1" applyNumberFormat="1" applyFont="1" applyFill="1" applyBorder="1" applyAlignment="1">
      <alignment vertical="center"/>
    </xf>
    <xf numFmtId="43" fontId="3" fillId="3" borderId="14" xfId="1" applyNumberFormat="1" applyFont="1" applyFill="1" applyBorder="1" applyAlignment="1">
      <alignment vertical="center"/>
    </xf>
    <xf numFmtId="43" fontId="3" fillId="3" borderId="29" xfId="1" applyNumberFormat="1" applyFont="1" applyFill="1" applyBorder="1" applyAlignment="1">
      <alignment vertical="center"/>
    </xf>
    <xf numFmtId="0" fontId="0" fillId="3" borderId="25" xfId="0" applyFill="1" applyBorder="1" applyAlignment="1">
      <alignment vertical="center"/>
    </xf>
    <xf numFmtId="43" fontId="3" fillId="3" borderId="27" xfId="1" applyNumberFormat="1" applyFont="1" applyFill="1" applyBorder="1" applyAlignment="1">
      <alignment vertical="center"/>
    </xf>
    <xf numFmtId="43" fontId="3" fillId="3" borderId="17" xfId="1" applyNumberFormat="1" applyFont="1" applyFill="1" applyBorder="1" applyAlignment="1">
      <alignment vertical="center"/>
    </xf>
    <xf numFmtId="43" fontId="3" fillId="3" borderId="21" xfId="1" applyNumberFormat="1" applyFont="1" applyFill="1" applyBorder="1" applyAlignment="1">
      <alignment vertical="center"/>
    </xf>
    <xf numFmtId="43" fontId="3" fillId="3" borderId="24" xfId="1" applyNumberFormat="1" applyFont="1" applyFill="1" applyBorder="1" applyAlignment="1">
      <alignment vertical="center"/>
    </xf>
    <xf numFmtId="0" fontId="5" fillId="4" borderId="18" xfId="0" applyFont="1" applyFill="1" applyBorder="1" applyAlignment="1">
      <alignment horizontal="center" vertical="center" wrapText="1"/>
    </xf>
    <xf numFmtId="43" fontId="3" fillId="3" borderId="13" xfId="1" applyNumberFormat="1" applyFont="1" applyFill="1" applyBorder="1" applyAlignment="1">
      <alignment vertical="center"/>
    </xf>
    <xf numFmtId="43" fontId="3" fillId="3" borderId="18" xfId="1" applyNumberFormat="1" applyFont="1" applyFill="1" applyBorder="1" applyAlignment="1">
      <alignment vertical="center"/>
    </xf>
    <xf numFmtId="43" fontId="3" fillId="3" borderId="37" xfId="1" applyNumberFormat="1" applyFont="1" applyFill="1" applyBorder="1" applyAlignment="1">
      <alignment vertical="center"/>
    </xf>
    <xf numFmtId="9" fontId="3" fillId="3" borderId="7" xfId="1" applyNumberFormat="1" applyFont="1" applyFill="1" applyBorder="1" applyAlignment="1">
      <alignment vertical="center"/>
    </xf>
    <xf numFmtId="9" fontId="3" fillId="3" borderId="12" xfId="1" applyNumberFormat="1" applyFont="1" applyFill="1" applyBorder="1" applyAlignment="1">
      <alignment vertical="center"/>
    </xf>
    <xf numFmtId="9" fontId="3" fillId="3" borderId="32" xfId="1" applyNumberFormat="1" applyFont="1" applyFill="1" applyBorder="1" applyAlignment="1">
      <alignment vertical="center"/>
    </xf>
    <xf numFmtId="43" fontId="3" fillId="3" borderId="11" xfId="1" applyNumberFormat="1" applyFont="1" applyFill="1" applyBorder="1" applyAlignment="1">
      <alignment vertical="center"/>
    </xf>
    <xf numFmtId="9" fontId="3" fillId="3" borderId="10" xfId="1" applyNumberFormat="1" applyFont="1" applyFill="1" applyBorder="1" applyAlignment="1">
      <alignment vertical="center"/>
    </xf>
    <xf numFmtId="43" fontId="3" fillId="2" borderId="20" xfId="1" applyNumberFormat="1" applyFont="1" applyFill="1" applyBorder="1" applyAlignment="1">
      <alignment vertical="center" wrapText="1"/>
    </xf>
    <xf numFmtId="0" fontId="3" fillId="2" borderId="39" xfId="0" applyFont="1" applyFill="1" applyBorder="1" applyAlignment="1">
      <alignment horizontal="center" vertical="center" wrapText="1"/>
    </xf>
    <xf numFmtId="15" fontId="3" fillId="2" borderId="23" xfId="0" applyNumberFormat="1" applyFont="1" applyFill="1" applyBorder="1" applyAlignment="1">
      <alignment horizontal="center" vertical="center"/>
    </xf>
    <xf numFmtId="0" fontId="3" fillId="2" borderId="40" xfId="0" applyFont="1" applyFill="1" applyBorder="1" applyAlignment="1">
      <alignment horizontal="center" vertical="center"/>
    </xf>
    <xf numFmtId="43" fontId="0" fillId="2" borderId="40" xfId="0" applyNumberFormat="1" applyFill="1" applyBorder="1" applyAlignment="1">
      <alignment vertical="center"/>
    </xf>
    <xf numFmtId="0" fontId="9" fillId="2" borderId="8" xfId="0" applyFont="1" applyFill="1" applyBorder="1" applyAlignment="1">
      <alignment horizontal="center" vertical="center"/>
    </xf>
    <xf numFmtId="0" fontId="9" fillId="2" borderId="24" xfId="0" applyFont="1" applyFill="1" applyBorder="1" applyAlignment="1">
      <alignment horizontal="center" vertical="center"/>
    </xf>
    <xf numFmtId="43" fontId="9" fillId="2" borderId="8" xfId="1" applyNumberFormat="1" applyFont="1" applyFill="1" applyBorder="1" applyAlignment="1">
      <alignment horizontal="center" vertical="center"/>
    </xf>
    <xf numFmtId="43" fontId="9" fillId="2" borderId="24" xfId="1" applyNumberFormat="1" applyFont="1" applyFill="1" applyBorder="1" applyAlignment="1">
      <alignment horizontal="center" vertical="center"/>
    </xf>
    <xf numFmtId="43" fontId="9" fillId="2" borderId="41" xfId="1" applyNumberFormat="1" applyFont="1" applyFill="1" applyBorder="1" applyAlignment="1">
      <alignment horizontal="center" vertical="center"/>
    </xf>
    <xf numFmtId="43" fontId="9" fillId="2" borderId="2" xfId="1" applyNumberFormat="1" applyFont="1" applyFill="1" applyBorder="1" applyAlignment="1">
      <alignment horizontal="center" vertical="center"/>
    </xf>
    <xf numFmtId="43" fontId="9" fillId="2" borderId="42" xfId="1" applyNumberFormat="1" applyFont="1" applyFill="1" applyBorder="1" applyAlignment="1">
      <alignment horizontal="center" vertical="center"/>
    </xf>
    <xf numFmtId="0" fontId="9" fillId="2" borderId="43" xfId="0" applyFont="1" applyFill="1" applyBorder="1" applyAlignment="1">
      <alignment horizontal="center" vertical="center"/>
    </xf>
    <xf numFmtId="0" fontId="9" fillId="2" borderId="44" xfId="0" applyFont="1" applyFill="1" applyBorder="1" applyAlignment="1">
      <alignment horizontal="center" vertical="center"/>
    </xf>
    <xf numFmtId="0" fontId="9" fillId="2" borderId="45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44"/>
  <sheetViews>
    <sheetView tabSelected="1" view="pageBreakPreview" topLeftCell="O16" zoomScale="90" zoomScaleNormal="85" zoomScaleSheetLayoutView="90" workbookViewId="0">
      <selection activeCell="B20" sqref="B20"/>
    </sheetView>
  </sheetViews>
  <sheetFormatPr defaultColWidth="9" defaultRowHeight="30" customHeight="1" x14ac:dyDescent="0.25"/>
  <cols>
    <col min="1" max="1" width="9" style="17"/>
    <col min="2" max="2" width="30" style="17" customWidth="1"/>
    <col min="3" max="3" width="13.42578125" style="17" bestFit="1" customWidth="1"/>
    <col min="4" max="4" width="11.5703125" style="17" bestFit="1" customWidth="1"/>
    <col min="5" max="5" width="13.28515625" style="17" bestFit="1" customWidth="1"/>
    <col min="6" max="7" width="13.28515625" style="17" customWidth="1"/>
    <col min="8" max="8" width="14.7109375" style="58" customWidth="1"/>
    <col min="9" max="9" width="12.85546875" style="58" bestFit="1" customWidth="1"/>
    <col min="10" max="10" width="10.7109375" style="17" bestFit="1" customWidth="1"/>
    <col min="11" max="11" width="14.28515625" style="17" customWidth="1"/>
    <col min="12" max="12" width="14.42578125" style="17" customWidth="1"/>
    <col min="13" max="13" width="13" style="17" customWidth="1"/>
    <col min="14" max="16" width="14.85546875" style="17" customWidth="1"/>
    <col min="17" max="17" width="9.28515625" style="17" bestFit="1" customWidth="1"/>
    <col min="18" max="18" width="21.7109375" style="17" bestFit="1" customWidth="1"/>
    <col min="19" max="19" width="12.7109375" style="17" bestFit="1" customWidth="1"/>
    <col min="20" max="20" width="14.5703125" style="17" bestFit="1" customWidth="1"/>
    <col min="21" max="22" width="14.5703125" style="17" customWidth="1"/>
    <col min="23" max="23" width="19.7109375" style="17" bestFit="1" customWidth="1"/>
    <col min="24" max="24" width="84.140625" style="17" bestFit="1" customWidth="1"/>
    <col min="25" max="25" width="14.140625" style="17" bestFit="1" customWidth="1"/>
    <col min="26" max="16384" width="9" style="17"/>
  </cols>
  <sheetData>
    <row r="1" spans="1:25" ht="30" customHeight="1" thickBot="1" x14ac:dyDescent="0.3">
      <c r="B1" s="16" t="s">
        <v>24</v>
      </c>
      <c r="E1" s="18"/>
      <c r="F1" s="18"/>
      <c r="G1" s="18"/>
      <c r="H1" s="19"/>
      <c r="I1" s="19"/>
    </row>
    <row r="2" spans="1:25" ht="30" customHeight="1" thickBot="1" x14ac:dyDescent="0.3">
      <c r="B2" s="20" t="s">
        <v>0</v>
      </c>
      <c r="C2" s="21"/>
      <c r="D2" s="21" t="s">
        <v>29</v>
      </c>
      <c r="G2" s="22"/>
      <c r="I2" s="22" t="s">
        <v>22</v>
      </c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</row>
    <row r="3" spans="1:25" ht="30" customHeight="1" thickBot="1" x14ac:dyDescent="0.3">
      <c r="B3" s="24"/>
      <c r="C3" s="24"/>
      <c r="D3" s="24"/>
      <c r="E3" s="24"/>
      <c r="F3" s="23"/>
      <c r="G3" s="23"/>
      <c r="H3" s="25"/>
      <c r="I3" s="25"/>
      <c r="J3" s="23"/>
      <c r="K3" s="23"/>
      <c r="L3" s="23"/>
      <c r="M3" s="23"/>
      <c r="R3" s="23"/>
      <c r="S3" s="26"/>
      <c r="T3" s="26"/>
      <c r="U3" s="26"/>
      <c r="V3" s="26"/>
      <c r="W3" s="26"/>
      <c r="X3" s="26"/>
    </row>
    <row r="4" spans="1:25" ht="30" customHeight="1" thickBot="1" x14ac:dyDescent="0.3">
      <c r="B4" s="1" t="s">
        <v>1</v>
      </c>
      <c r="C4" s="8" t="s">
        <v>2</v>
      </c>
      <c r="D4" s="8" t="s">
        <v>3</v>
      </c>
      <c r="E4" s="11" t="s">
        <v>4</v>
      </c>
      <c r="F4" s="8" t="s">
        <v>16</v>
      </c>
      <c r="G4" s="64" t="s">
        <v>17</v>
      </c>
      <c r="H4" s="2" t="s">
        <v>5</v>
      </c>
      <c r="I4" s="15" t="s">
        <v>6</v>
      </c>
      <c r="J4" s="4" t="s">
        <v>13</v>
      </c>
      <c r="K4" s="14" t="s">
        <v>12</v>
      </c>
      <c r="L4" s="14" t="s">
        <v>18</v>
      </c>
      <c r="M4" s="14" t="s">
        <v>23</v>
      </c>
      <c r="N4" s="14" t="s">
        <v>7</v>
      </c>
      <c r="O4" s="14" t="s">
        <v>35</v>
      </c>
      <c r="P4" s="14" t="s">
        <v>8</v>
      </c>
      <c r="Q4" s="5"/>
      <c r="R4" s="4" t="s">
        <v>9</v>
      </c>
      <c r="S4" s="4" t="s">
        <v>6</v>
      </c>
      <c r="T4" s="4" t="s">
        <v>15</v>
      </c>
      <c r="U4" s="3" t="s">
        <v>12</v>
      </c>
      <c r="V4" s="4" t="s">
        <v>14</v>
      </c>
      <c r="W4" s="4" t="s">
        <v>10</v>
      </c>
      <c r="X4" s="14" t="s">
        <v>11</v>
      </c>
    </row>
    <row r="5" spans="1:25" ht="30" customHeight="1" x14ac:dyDescent="0.25">
      <c r="B5" s="27"/>
      <c r="C5" s="28"/>
      <c r="D5" s="28"/>
      <c r="E5" s="29"/>
      <c r="F5" s="60"/>
      <c r="G5" s="60"/>
      <c r="H5" s="36">
        <v>0.18</v>
      </c>
      <c r="I5" s="31"/>
      <c r="J5" s="32">
        <v>0.01</v>
      </c>
      <c r="K5" s="33">
        <v>0.05</v>
      </c>
      <c r="L5" s="33">
        <v>0</v>
      </c>
      <c r="M5" s="33">
        <v>0.1</v>
      </c>
      <c r="N5" s="33">
        <v>0.18</v>
      </c>
      <c r="O5" s="33"/>
      <c r="P5" s="34"/>
      <c r="Q5" s="5"/>
      <c r="R5" s="35"/>
      <c r="S5" s="30"/>
      <c r="T5" s="36">
        <v>0.01</v>
      </c>
      <c r="U5" s="37">
        <v>0.05</v>
      </c>
      <c r="V5" s="31"/>
      <c r="W5" s="38"/>
      <c r="X5" s="34"/>
    </row>
    <row r="6" spans="1:25" s="65" customFormat="1" ht="30" customHeight="1" x14ac:dyDescent="0.25">
      <c r="B6" s="88"/>
      <c r="C6" s="85"/>
      <c r="D6" s="73"/>
      <c r="E6" s="89"/>
      <c r="F6" s="90"/>
      <c r="G6" s="90"/>
      <c r="H6" s="91"/>
      <c r="I6" s="72"/>
      <c r="J6" s="92"/>
      <c r="K6" s="93"/>
      <c r="L6" s="93"/>
      <c r="M6" s="93"/>
      <c r="N6" s="93"/>
      <c r="O6" s="93"/>
      <c r="P6" s="74"/>
      <c r="Q6" s="87">
        <f>A7</f>
        <v>58204</v>
      </c>
      <c r="R6" s="94"/>
      <c r="S6" s="71"/>
      <c r="T6" s="91"/>
      <c r="U6" s="95"/>
      <c r="V6" s="72"/>
      <c r="W6" s="76"/>
      <c r="X6" s="74"/>
    </row>
    <row r="7" spans="1:25" ht="30" customHeight="1" x14ac:dyDescent="0.25">
      <c r="A7" s="17">
        <v>58204</v>
      </c>
      <c r="B7" s="7" t="s">
        <v>32</v>
      </c>
      <c r="C7" s="9">
        <v>45143</v>
      </c>
      <c r="D7" s="12">
        <v>2</v>
      </c>
      <c r="E7" s="39">
        <v>371250</v>
      </c>
      <c r="F7" s="61">
        <v>0</v>
      </c>
      <c r="G7" s="61">
        <f>ROUND(E7-F7,)</f>
        <v>371250</v>
      </c>
      <c r="H7" s="30">
        <f>ROUND(G7*$H$5,0)</f>
        <v>66825</v>
      </c>
      <c r="I7" s="31">
        <f>G7+H7</f>
        <v>438075</v>
      </c>
      <c r="J7" s="40">
        <f>ROUND(G7*$J$5,)</f>
        <v>3713</v>
      </c>
      <c r="K7" s="34">
        <f>ROUND(G7*$K$5,)</f>
        <v>18563</v>
      </c>
      <c r="L7" s="34">
        <f>ROUND(G7*$L$5,)</f>
        <v>0</v>
      </c>
      <c r="M7" s="34">
        <v>0</v>
      </c>
      <c r="N7" s="34">
        <f>H7</f>
        <v>66825</v>
      </c>
      <c r="O7" s="34"/>
      <c r="P7" s="34">
        <f>ROUND(I7-SUM(J7:N7),0)</f>
        <v>348974</v>
      </c>
      <c r="Q7" s="5"/>
      <c r="R7" s="41" t="s">
        <v>33</v>
      </c>
      <c r="S7" s="30">
        <v>500000</v>
      </c>
      <c r="T7" s="30">
        <f>S7*T5</f>
        <v>5000</v>
      </c>
      <c r="U7" s="31">
        <v>0</v>
      </c>
      <c r="V7" s="31">
        <v>0</v>
      </c>
      <c r="W7" s="38">
        <f>S7-T7</f>
        <v>495000</v>
      </c>
      <c r="X7" s="42" t="s">
        <v>25</v>
      </c>
    </row>
    <row r="8" spans="1:25" ht="30" customHeight="1" x14ac:dyDescent="0.25">
      <c r="B8" s="7" t="s">
        <v>39</v>
      </c>
      <c r="C8" s="9">
        <v>45173</v>
      </c>
      <c r="D8" s="12">
        <v>2</v>
      </c>
      <c r="E8" s="39">
        <v>66825</v>
      </c>
      <c r="F8" s="61"/>
      <c r="G8" s="61">
        <f t="shared" ref="G8" si="0">ROUND(E8-F8,)</f>
        <v>66825</v>
      </c>
      <c r="H8" s="30">
        <v>0</v>
      </c>
      <c r="I8" s="31">
        <f t="shared" ref="I8" si="1">G8+H8</f>
        <v>66825</v>
      </c>
      <c r="J8" s="40">
        <v>0</v>
      </c>
      <c r="K8" s="34">
        <v>0</v>
      </c>
      <c r="L8" s="34">
        <f t="shared" ref="L8" si="2">ROUND(G8*$L$5,)</f>
        <v>0</v>
      </c>
      <c r="M8" s="34">
        <v>0</v>
      </c>
      <c r="N8" s="34">
        <v>0</v>
      </c>
      <c r="P8" s="34">
        <f>ROUND(I8-SUM(J8:N8),0)</f>
        <v>66825</v>
      </c>
      <c r="Q8" s="5"/>
      <c r="R8" s="41" t="s">
        <v>46</v>
      </c>
      <c r="S8" s="30">
        <v>66825</v>
      </c>
      <c r="T8" s="30">
        <v>0</v>
      </c>
      <c r="U8" s="31">
        <v>0</v>
      </c>
      <c r="V8" s="31">
        <v>0</v>
      </c>
      <c r="W8" s="38">
        <f>S8-T8</f>
        <v>66825</v>
      </c>
      <c r="X8" s="42" t="s">
        <v>47</v>
      </c>
    </row>
    <row r="9" spans="1:25" ht="30" customHeight="1" x14ac:dyDescent="0.25">
      <c r="B9" s="7" t="s">
        <v>32</v>
      </c>
      <c r="C9" s="9">
        <v>45467</v>
      </c>
      <c r="D9" s="12">
        <v>1</v>
      </c>
      <c r="E9" s="39">
        <v>371250</v>
      </c>
      <c r="F9" s="61">
        <v>37500</v>
      </c>
      <c r="G9" s="61">
        <f>ROUND(E9-F9,)</f>
        <v>333750</v>
      </c>
      <c r="H9" s="30">
        <f>ROUND(G9*$H$5,0)</f>
        <v>60075</v>
      </c>
      <c r="I9" s="31">
        <f>G9+H9</f>
        <v>393825</v>
      </c>
      <c r="J9" s="40">
        <f>ROUND(G9*$J$5,)</f>
        <v>3338</v>
      </c>
      <c r="K9" s="34">
        <f>ROUND(G9*$K$5,)</f>
        <v>16688</v>
      </c>
      <c r="L9" s="34">
        <f>ROUND(G9*$L$5,)</f>
        <v>0</v>
      </c>
      <c r="M9" s="34">
        <v>0</v>
      </c>
      <c r="N9" s="34">
        <f>H9</f>
        <v>60075</v>
      </c>
      <c r="O9" s="34"/>
      <c r="P9" s="34">
        <f>ROUND(I9-SUM(J9:N9),0)</f>
        <v>313724</v>
      </c>
      <c r="Q9" s="5"/>
      <c r="R9" s="41"/>
      <c r="S9" s="30"/>
      <c r="T9" s="30"/>
      <c r="U9" s="31"/>
      <c r="V9" s="31"/>
      <c r="W9" s="38"/>
      <c r="X9" s="42"/>
    </row>
    <row r="10" spans="1:25" s="65" customFormat="1" ht="30" customHeight="1" x14ac:dyDescent="0.25">
      <c r="B10" s="66"/>
      <c r="C10" s="67"/>
      <c r="D10" s="68"/>
      <c r="E10" s="69"/>
      <c r="F10" s="70"/>
      <c r="G10" s="70">
        <f t="shared" ref="G10:G19" si="3">ROUND(E10-F10,)</f>
        <v>0</v>
      </c>
      <c r="H10" s="71">
        <f t="shared" ref="H10:H19" si="4">ROUND(G10*$H$5,0)</f>
        <v>0</v>
      </c>
      <c r="I10" s="72">
        <f t="shared" ref="I10:I19" si="5">G10+H10</f>
        <v>0</v>
      </c>
      <c r="J10" s="73">
        <f t="shared" ref="J10:J19" si="6">ROUND(G10*$J$5,)</f>
        <v>0</v>
      </c>
      <c r="K10" s="74">
        <f t="shared" ref="K10:K19" si="7">ROUND(G10*$K$5,)</f>
        <v>0</v>
      </c>
      <c r="L10" s="74">
        <f t="shared" ref="L10:L19" si="8">ROUND(G10*$L$5,)</f>
        <v>0</v>
      </c>
      <c r="M10" s="74">
        <f t="shared" ref="M10:M19" si="9">ROUND(G10*$M$5,)</f>
        <v>0</v>
      </c>
      <c r="N10" s="74">
        <f t="shared" ref="N10:N19" si="10">H10</f>
        <v>0</v>
      </c>
      <c r="O10" s="74"/>
      <c r="P10" s="74">
        <f t="shared" ref="P10:P19" si="11">ROUND(I10-SUM(J10:N10),0)</f>
        <v>0</v>
      </c>
      <c r="Q10" s="87">
        <f>A11</f>
        <v>57543</v>
      </c>
      <c r="R10" s="75"/>
      <c r="S10" s="71"/>
      <c r="T10" s="71"/>
      <c r="U10" s="72"/>
      <c r="V10" s="72"/>
      <c r="W10" s="76"/>
      <c r="X10" s="77"/>
      <c r="Y10" s="100">
        <f>SUM(P7:P9,0)-SUM(W7:W9,0)</f>
        <v>167698</v>
      </c>
    </row>
    <row r="11" spans="1:25" ht="30" customHeight="1" x14ac:dyDescent="0.25">
      <c r="A11" s="17">
        <v>57543</v>
      </c>
      <c r="B11" s="7" t="s">
        <v>30</v>
      </c>
      <c r="C11" s="62">
        <v>45125</v>
      </c>
      <c r="D11" s="12">
        <v>1</v>
      </c>
      <c r="E11" s="39">
        <v>542048</v>
      </c>
      <c r="F11" s="61"/>
      <c r="G11" s="61">
        <f t="shared" si="3"/>
        <v>542048</v>
      </c>
      <c r="H11" s="30">
        <f t="shared" si="4"/>
        <v>97569</v>
      </c>
      <c r="I11" s="31">
        <f t="shared" si="5"/>
        <v>639617</v>
      </c>
      <c r="J11" s="40">
        <f t="shared" si="6"/>
        <v>5420</v>
      </c>
      <c r="K11" s="34">
        <f t="shared" si="7"/>
        <v>27102</v>
      </c>
      <c r="L11" s="34">
        <f>+G11*5%</f>
        <v>27102.400000000001</v>
      </c>
      <c r="M11" s="34">
        <f t="shared" si="9"/>
        <v>54205</v>
      </c>
      <c r="N11" s="34">
        <f t="shared" si="10"/>
        <v>97569</v>
      </c>
      <c r="O11" s="34">
        <v>4718</v>
      </c>
      <c r="P11" s="34">
        <f>ROUND(I11-SUM(J11:O11),0)</f>
        <v>423501</v>
      </c>
      <c r="Q11" s="13"/>
      <c r="R11" s="41" t="s">
        <v>36</v>
      </c>
      <c r="S11" s="30">
        <v>300000</v>
      </c>
      <c r="T11" s="30">
        <f>S11*T10</f>
        <v>0</v>
      </c>
      <c r="U11" s="31">
        <v>0</v>
      </c>
      <c r="V11" s="31">
        <v>0</v>
      </c>
      <c r="W11" s="38">
        <v>297000</v>
      </c>
      <c r="X11" s="42" t="s">
        <v>26</v>
      </c>
    </row>
    <row r="12" spans="1:25" ht="30" customHeight="1" x14ac:dyDescent="0.25">
      <c r="B12" s="7" t="s">
        <v>31</v>
      </c>
      <c r="C12" s="62"/>
      <c r="D12" s="12"/>
      <c r="E12" s="39">
        <v>97569</v>
      </c>
      <c r="F12" s="61"/>
      <c r="G12" s="61"/>
      <c r="H12" s="30"/>
      <c r="I12" s="31"/>
      <c r="J12" s="40"/>
      <c r="K12" s="34"/>
      <c r="L12" s="34"/>
      <c r="M12" s="34"/>
      <c r="N12" s="34"/>
      <c r="O12" s="34"/>
      <c r="P12" s="34">
        <v>97569</v>
      </c>
      <c r="Q12" s="13"/>
      <c r="R12" s="41" t="s">
        <v>37</v>
      </c>
      <c r="S12" s="30">
        <v>126501</v>
      </c>
      <c r="T12" s="30">
        <v>0</v>
      </c>
      <c r="U12" s="31">
        <v>0</v>
      </c>
      <c r="V12" s="31">
        <v>0</v>
      </c>
      <c r="W12" s="38">
        <f t="shared" ref="W12:W16" si="12">S12-T12</f>
        <v>126501</v>
      </c>
      <c r="X12" s="42" t="s">
        <v>38</v>
      </c>
    </row>
    <row r="13" spans="1:25" ht="30" customHeight="1" x14ac:dyDescent="0.25">
      <c r="B13" s="7" t="s">
        <v>34</v>
      </c>
      <c r="C13" s="9">
        <v>45174</v>
      </c>
      <c r="D13" s="12">
        <v>3</v>
      </c>
      <c r="E13" s="39">
        <v>702097</v>
      </c>
      <c r="F13" s="61">
        <f>950*20</f>
        <v>19000</v>
      </c>
      <c r="G13" s="61">
        <f t="shared" ref="G13:G14" si="13">ROUND(E13-F13,)</f>
        <v>683097</v>
      </c>
      <c r="H13" s="30">
        <f t="shared" ref="H13" si="14">ROUND(G13*$H$5,0)</f>
        <v>122957</v>
      </c>
      <c r="I13" s="31">
        <f t="shared" ref="I13:I14" si="15">G13+H13</f>
        <v>806054</v>
      </c>
      <c r="J13" s="40">
        <f t="shared" ref="J13" si="16">ROUND(G13*$J$5,)</f>
        <v>6831</v>
      </c>
      <c r="K13" s="34">
        <f t="shared" ref="K13" si="17">ROUND(G13*$K$5,)</f>
        <v>34155</v>
      </c>
      <c r="L13" s="34">
        <f>G13*5%</f>
        <v>34154.85</v>
      </c>
      <c r="M13" s="34">
        <f t="shared" ref="M13" si="18">ROUND(G13*$M$5,)</f>
        <v>68310</v>
      </c>
      <c r="N13" s="34">
        <f t="shared" ref="N13" si="19">H13</f>
        <v>122957</v>
      </c>
      <c r="O13" s="34">
        <v>79692</v>
      </c>
      <c r="P13" s="34">
        <f>ROUND(I13-SUM(J13:O13),0)</f>
        <v>459954</v>
      </c>
      <c r="R13" s="41" t="s">
        <v>42</v>
      </c>
      <c r="S13" s="30">
        <v>459954</v>
      </c>
      <c r="T13" s="30">
        <v>0</v>
      </c>
      <c r="U13" s="31">
        <v>0</v>
      </c>
      <c r="V13" s="31">
        <v>0</v>
      </c>
      <c r="W13" s="38">
        <f t="shared" si="12"/>
        <v>459954</v>
      </c>
      <c r="X13" s="42" t="s">
        <v>43</v>
      </c>
    </row>
    <row r="14" spans="1:25" ht="30" customHeight="1" x14ac:dyDescent="0.25">
      <c r="B14" s="7" t="s">
        <v>48</v>
      </c>
      <c r="C14" s="9">
        <v>45208</v>
      </c>
      <c r="D14" s="12">
        <v>3</v>
      </c>
      <c r="E14" s="39">
        <v>122957</v>
      </c>
      <c r="F14" s="61"/>
      <c r="G14" s="61">
        <f t="shared" si="13"/>
        <v>122957</v>
      </c>
      <c r="H14" s="30"/>
      <c r="I14" s="31">
        <f t="shared" si="15"/>
        <v>122957</v>
      </c>
      <c r="J14" s="40"/>
      <c r="K14" s="34"/>
      <c r="L14" s="34"/>
      <c r="M14" s="34"/>
      <c r="N14" s="34"/>
      <c r="O14" s="34"/>
      <c r="P14" s="34">
        <f>ROUND(I14-SUM(J14:O14),0)</f>
        <v>122957</v>
      </c>
      <c r="Q14" s="13"/>
      <c r="R14" s="41" t="s">
        <v>44</v>
      </c>
      <c r="S14" s="46">
        <v>97569</v>
      </c>
      <c r="T14" s="46"/>
      <c r="U14" s="46"/>
      <c r="V14" s="46"/>
      <c r="W14" s="38">
        <f t="shared" si="12"/>
        <v>97569</v>
      </c>
      <c r="X14" s="50" t="s">
        <v>45</v>
      </c>
    </row>
    <row r="15" spans="1:25" ht="30" customHeight="1" x14ac:dyDescent="0.25">
      <c r="B15" s="7" t="s">
        <v>34</v>
      </c>
      <c r="C15" s="9">
        <v>45236</v>
      </c>
      <c r="D15" s="12">
        <v>5</v>
      </c>
      <c r="E15" s="39">
        <v>250155</v>
      </c>
      <c r="F15" s="61">
        <v>0</v>
      </c>
      <c r="G15" s="61">
        <f t="shared" ref="G15:G16" si="20">ROUND(E15-F15,)</f>
        <v>250155</v>
      </c>
      <c r="H15" s="30">
        <f t="shared" ref="H15" si="21">ROUND(G15*$H$5,0)</f>
        <v>45028</v>
      </c>
      <c r="I15" s="31">
        <f t="shared" ref="I15:I16" si="22">G15+H15</f>
        <v>295183</v>
      </c>
      <c r="J15" s="40">
        <f t="shared" ref="J15" si="23">ROUND(G15*$J$5,)</f>
        <v>2502</v>
      </c>
      <c r="K15" s="34">
        <f t="shared" ref="K15" si="24">ROUND(G15*$K$5,)</f>
        <v>12508</v>
      </c>
      <c r="L15" s="34">
        <f>G15*10%</f>
        <v>25015.5</v>
      </c>
      <c r="M15" s="34">
        <f t="shared" ref="M15" si="25">ROUND(G15*$M$5,)</f>
        <v>25016</v>
      </c>
      <c r="N15" s="34">
        <f t="shared" ref="N15" si="26">H15</f>
        <v>45028</v>
      </c>
      <c r="O15" s="34">
        <v>45053</v>
      </c>
      <c r="P15" s="34">
        <f>ROUND(I15-SUM(J15:O15),0)</f>
        <v>140061</v>
      </c>
      <c r="Q15" s="13"/>
      <c r="R15" s="41" t="s">
        <v>56</v>
      </c>
      <c r="S15" s="46">
        <v>122957</v>
      </c>
      <c r="T15" s="30"/>
      <c r="U15" s="31"/>
      <c r="V15" s="31"/>
      <c r="W15" s="38">
        <f t="shared" si="12"/>
        <v>122957</v>
      </c>
      <c r="X15" s="50" t="s">
        <v>54</v>
      </c>
    </row>
    <row r="16" spans="1:25" ht="30" customHeight="1" x14ac:dyDescent="0.25">
      <c r="B16" s="7" t="s">
        <v>48</v>
      </c>
      <c r="C16" s="9"/>
      <c r="D16" s="12">
        <v>5</v>
      </c>
      <c r="E16" s="39">
        <f>N15</f>
        <v>45028</v>
      </c>
      <c r="F16" s="61"/>
      <c r="G16" s="61">
        <f t="shared" si="20"/>
        <v>45028</v>
      </c>
      <c r="H16" s="30"/>
      <c r="I16" s="31">
        <f t="shared" si="22"/>
        <v>45028</v>
      </c>
      <c r="J16" s="40"/>
      <c r="K16" s="34"/>
      <c r="L16" s="34"/>
      <c r="M16" s="34"/>
      <c r="N16" s="34"/>
      <c r="O16" s="34"/>
      <c r="P16" s="34">
        <f>ROUND(I16-SUM(J16:O16),0)</f>
        <v>45028</v>
      </c>
      <c r="Q16" s="13"/>
      <c r="R16" s="41" t="s">
        <v>57</v>
      </c>
      <c r="S16" s="46">
        <v>100000</v>
      </c>
      <c r="T16" s="30">
        <f>S16*1%</f>
        <v>1000</v>
      </c>
      <c r="U16" s="31"/>
      <c r="V16" s="31"/>
      <c r="W16" s="38">
        <f t="shared" si="12"/>
        <v>99000</v>
      </c>
      <c r="X16" s="50" t="s">
        <v>55</v>
      </c>
    </row>
    <row r="17" spans="1:25" ht="30" customHeight="1" x14ac:dyDescent="0.25">
      <c r="B17" s="7"/>
      <c r="C17" s="98"/>
      <c r="D17" s="98"/>
      <c r="E17" s="39"/>
      <c r="F17" s="61"/>
      <c r="G17" s="61"/>
      <c r="H17" s="30"/>
      <c r="I17" s="31"/>
      <c r="J17" s="40"/>
      <c r="K17" s="34"/>
      <c r="L17" s="34"/>
      <c r="M17" s="34"/>
      <c r="N17" s="34"/>
      <c r="O17" s="34"/>
      <c r="P17" s="34"/>
      <c r="Q17" s="13"/>
      <c r="R17" s="41" t="s">
        <v>53</v>
      </c>
      <c r="S17" s="46">
        <v>41060</v>
      </c>
      <c r="T17" s="30"/>
      <c r="U17" s="31"/>
      <c r="V17" s="31"/>
      <c r="W17" s="38">
        <f>S17-T17</f>
        <v>41060</v>
      </c>
      <c r="X17" s="50" t="s">
        <v>52</v>
      </c>
    </row>
    <row r="18" spans="1:25" ht="30" customHeight="1" x14ac:dyDescent="0.25">
      <c r="B18" s="97"/>
      <c r="C18" s="98"/>
      <c r="D18" s="99"/>
      <c r="E18" s="39"/>
      <c r="F18" s="61"/>
      <c r="G18" s="61"/>
      <c r="H18" s="30"/>
      <c r="I18" s="31"/>
      <c r="J18" s="40"/>
      <c r="K18" s="34"/>
      <c r="L18" s="34"/>
      <c r="M18" s="34"/>
      <c r="N18" s="34"/>
      <c r="O18" s="34"/>
      <c r="P18" s="34"/>
      <c r="Q18" s="13"/>
      <c r="R18" s="41" t="s">
        <v>53</v>
      </c>
      <c r="S18" s="46">
        <v>45028</v>
      </c>
      <c r="T18" s="30"/>
      <c r="U18" s="31"/>
      <c r="V18" s="31"/>
      <c r="W18" s="38">
        <f>S18-T18</f>
        <v>45028</v>
      </c>
      <c r="X18" s="50" t="s">
        <v>66</v>
      </c>
    </row>
    <row r="19" spans="1:25" s="65" customFormat="1" ht="30" customHeight="1" x14ac:dyDescent="0.25">
      <c r="B19" s="78"/>
      <c r="C19" s="79"/>
      <c r="D19" s="79"/>
      <c r="E19" s="69"/>
      <c r="F19" s="70"/>
      <c r="G19" s="70">
        <f t="shared" si="3"/>
        <v>0</v>
      </c>
      <c r="H19" s="71">
        <f t="shared" si="4"/>
        <v>0</v>
      </c>
      <c r="I19" s="72">
        <f t="shared" si="5"/>
        <v>0</v>
      </c>
      <c r="J19" s="73">
        <f t="shared" si="6"/>
        <v>0</v>
      </c>
      <c r="K19" s="74">
        <f t="shared" si="7"/>
        <v>0</v>
      </c>
      <c r="L19" s="74">
        <f t="shared" si="8"/>
        <v>0</v>
      </c>
      <c r="M19" s="74">
        <f t="shared" si="9"/>
        <v>0</v>
      </c>
      <c r="N19" s="74">
        <f t="shared" si="10"/>
        <v>0</v>
      </c>
      <c r="O19" s="74"/>
      <c r="P19" s="74">
        <f t="shared" si="11"/>
        <v>0</v>
      </c>
      <c r="Q19" s="87">
        <f>A20</f>
        <v>58205</v>
      </c>
      <c r="R19" s="75"/>
      <c r="S19" s="80"/>
      <c r="T19" s="80"/>
      <c r="U19" s="80"/>
      <c r="V19" s="80"/>
      <c r="W19" s="81"/>
      <c r="X19" s="82"/>
      <c r="Y19" s="100">
        <f>SUM(P11:P18,0)-SUM(W11:W18,0)</f>
        <v>1</v>
      </c>
    </row>
    <row r="20" spans="1:25" ht="39" customHeight="1" x14ac:dyDescent="0.25">
      <c r="A20" s="17">
        <v>58205</v>
      </c>
      <c r="B20" s="96" t="s">
        <v>51</v>
      </c>
      <c r="C20" s="44"/>
      <c r="D20" s="44"/>
      <c r="E20" s="39"/>
      <c r="F20" s="61"/>
      <c r="G20" s="61"/>
      <c r="H20" s="30"/>
      <c r="I20" s="31"/>
      <c r="J20" s="40"/>
      <c r="K20" s="34"/>
      <c r="L20" s="34"/>
      <c r="M20" s="34"/>
      <c r="N20" s="34"/>
      <c r="O20" s="34"/>
      <c r="P20" s="34"/>
      <c r="Q20" s="13"/>
      <c r="R20" s="41"/>
      <c r="S20" s="46"/>
      <c r="T20" s="46"/>
      <c r="U20" s="46"/>
      <c r="V20" s="46"/>
      <c r="W20" s="38">
        <v>495000</v>
      </c>
      <c r="X20" s="42" t="s">
        <v>27</v>
      </c>
    </row>
    <row r="21" spans="1:25" s="65" customFormat="1" ht="30" customHeight="1" x14ac:dyDescent="0.25">
      <c r="B21" s="78"/>
      <c r="C21" s="79"/>
      <c r="D21" s="79"/>
      <c r="E21" s="69"/>
      <c r="F21" s="70"/>
      <c r="G21" s="70"/>
      <c r="H21" s="71"/>
      <c r="I21" s="72"/>
      <c r="J21" s="73"/>
      <c r="K21" s="74"/>
      <c r="L21" s="74"/>
      <c r="M21" s="74"/>
      <c r="N21" s="74"/>
      <c r="O21" s="74"/>
      <c r="P21" s="74"/>
      <c r="Q21" s="87">
        <f>A22</f>
        <v>55822</v>
      </c>
      <c r="R21" s="75"/>
      <c r="S21" s="80"/>
      <c r="T21" s="80"/>
      <c r="U21" s="80"/>
      <c r="V21" s="80"/>
      <c r="W21" s="81"/>
      <c r="X21" s="82"/>
      <c r="Y21" s="100">
        <f>SUM(P20,0)-SUM(W20,0)</f>
        <v>-495000</v>
      </c>
    </row>
    <row r="22" spans="1:25" ht="30" customHeight="1" x14ac:dyDescent="0.25">
      <c r="A22" s="17">
        <v>55822</v>
      </c>
      <c r="B22" s="7" t="s">
        <v>40</v>
      </c>
      <c r="C22" s="9">
        <v>45180</v>
      </c>
      <c r="D22" s="12">
        <v>4</v>
      </c>
      <c r="E22" s="39">
        <v>485858.5</v>
      </c>
      <c r="F22" s="61">
        <f>218*20</f>
        <v>4360</v>
      </c>
      <c r="G22" s="61">
        <f>ROUND(E22-F22,)</f>
        <v>481499</v>
      </c>
      <c r="H22" s="30">
        <f>ROUND(G22*$H$5,0)</f>
        <v>86670</v>
      </c>
      <c r="I22" s="31">
        <f>G22+H22</f>
        <v>568169</v>
      </c>
      <c r="J22" s="40">
        <f>ROUND(G22*$J$5,)</f>
        <v>4815</v>
      </c>
      <c r="K22" s="34">
        <f>ROUND(G22*$K$5,)</f>
        <v>24075</v>
      </c>
      <c r="L22" s="34">
        <f>G22*5%</f>
        <v>24074.95</v>
      </c>
      <c r="M22" s="34">
        <f>ROUND(G22*$M$5,)</f>
        <v>48150</v>
      </c>
      <c r="N22" s="34">
        <f>H22</f>
        <v>86670</v>
      </c>
      <c r="O22" s="34">
        <v>106158</v>
      </c>
      <c r="P22" s="34">
        <f>ROUND(I22-SUM(J22:O22),0)</f>
        <v>274226</v>
      </c>
      <c r="Q22" s="5"/>
      <c r="R22" s="41" t="s">
        <v>41</v>
      </c>
      <c r="S22" s="30">
        <v>150000</v>
      </c>
      <c r="T22" s="30">
        <f>S22*T21</f>
        <v>0</v>
      </c>
      <c r="U22" s="31">
        <v>0</v>
      </c>
      <c r="V22" s="31">
        <v>0</v>
      </c>
      <c r="W22" s="38">
        <v>148500</v>
      </c>
      <c r="X22" s="42" t="s">
        <v>28</v>
      </c>
    </row>
    <row r="23" spans="1:25" s="65" customFormat="1" ht="30" customHeight="1" x14ac:dyDescent="0.25">
      <c r="A23" s="17"/>
      <c r="B23" s="7" t="s">
        <v>48</v>
      </c>
      <c r="C23" s="9">
        <v>45208</v>
      </c>
      <c r="D23" s="12">
        <v>4</v>
      </c>
      <c r="E23" s="39">
        <v>86670</v>
      </c>
      <c r="F23" s="61"/>
      <c r="G23" s="61">
        <f>ROUND(E23-F23,)</f>
        <v>86670</v>
      </c>
      <c r="H23" s="30"/>
      <c r="I23" s="31">
        <f>G23+H23</f>
        <v>86670</v>
      </c>
      <c r="J23" s="40"/>
      <c r="K23" s="34"/>
      <c r="L23" s="34"/>
      <c r="M23" s="34"/>
      <c r="N23" s="34"/>
      <c r="O23" s="34"/>
      <c r="P23" s="34">
        <f>ROUND(I23-SUM(J23:O23),0)</f>
        <v>86670</v>
      </c>
      <c r="Q23" s="5"/>
      <c r="R23" s="41" t="s">
        <v>49</v>
      </c>
      <c r="S23" s="30">
        <v>125726</v>
      </c>
      <c r="T23" s="30">
        <v>0</v>
      </c>
      <c r="U23" s="31">
        <v>0</v>
      </c>
      <c r="V23" s="31">
        <v>0</v>
      </c>
      <c r="W23" s="38">
        <f>S23-T23</f>
        <v>125726</v>
      </c>
      <c r="X23" s="42" t="s">
        <v>50</v>
      </c>
    </row>
    <row r="24" spans="1:25" s="65" customFormat="1" ht="30" customHeight="1" x14ac:dyDescent="0.25">
      <c r="A24" s="17"/>
      <c r="B24" s="97"/>
      <c r="C24" s="98"/>
      <c r="D24" s="99"/>
      <c r="E24" s="45"/>
      <c r="F24" s="61"/>
      <c r="G24" s="25"/>
      <c r="H24" s="30"/>
      <c r="I24" s="31"/>
      <c r="J24" s="40"/>
      <c r="K24" s="34"/>
      <c r="L24" s="34"/>
      <c r="M24" s="34"/>
      <c r="N24" s="34"/>
      <c r="O24" s="34"/>
      <c r="P24" s="34"/>
      <c r="Q24" s="5"/>
      <c r="R24" s="41" t="s">
        <v>59</v>
      </c>
      <c r="S24" s="30">
        <v>86670</v>
      </c>
      <c r="T24" s="30"/>
      <c r="U24" s="31"/>
      <c r="V24" s="31"/>
      <c r="W24" s="38">
        <f>S24-T24</f>
        <v>86670</v>
      </c>
      <c r="X24" s="50" t="s">
        <v>58</v>
      </c>
    </row>
    <row r="25" spans="1:25" ht="30" customHeight="1" x14ac:dyDescent="0.25">
      <c r="A25" s="65"/>
      <c r="B25" s="78"/>
      <c r="C25" s="79"/>
      <c r="D25" s="79"/>
      <c r="E25" s="83"/>
      <c r="F25" s="80"/>
      <c r="G25" s="83"/>
      <c r="H25" s="80"/>
      <c r="I25" s="84"/>
      <c r="J25" s="85"/>
      <c r="K25" s="86"/>
      <c r="L25" s="86"/>
      <c r="M25" s="86"/>
      <c r="N25" s="86"/>
      <c r="O25" s="86"/>
      <c r="P25" s="86"/>
      <c r="Q25" s="87">
        <f>A26</f>
        <v>58365</v>
      </c>
      <c r="R25" s="75"/>
      <c r="S25" s="80"/>
      <c r="T25" s="80"/>
      <c r="U25" s="80"/>
      <c r="V25" s="80"/>
      <c r="W25" s="81"/>
      <c r="X25" s="50"/>
      <c r="Y25" s="100">
        <f>SUM(P22:P24,0)-SUM(W22:W24,0)</f>
        <v>0</v>
      </c>
    </row>
    <row r="26" spans="1:25" ht="30" customHeight="1" x14ac:dyDescent="0.25">
      <c r="A26" s="17">
        <v>58365</v>
      </c>
      <c r="B26" s="96" t="s">
        <v>67</v>
      </c>
      <c r="C26" s="44"/>
      <c r="D26" s="44"/>
      <c r="E26" s="45"/>
      <c r="F26" s="46"/>
      <c r="G26" s="45"/>
      <c r="H26" s="46"/>
      <c r="I26" s="47"/>
      <c r="J26" s="28"/>
      <c r="K26" s="48"/>
      <c r="L26" s="48"/>
      <c r="M26" s="48"/>
      <c r="N26" s="48"/>
      <c r="O26" s="48"/>
      <c r="P26" s="48"/>
      <c r="Q26" s="13"/>
      <c r="R26" s="41"/>
      <c r="S26" s="46"/>
      <c r="T26" s="46"/>
      <c r="U26" s="46"/>
      <c r="V26" s="46"/>
      <c r="W26" s="49"/>
      <c r="X26" s="50"/>
    </row>
    <row r="27" spans="1:25" ht="30" customHeight="1" x14ac:dyDescent="0.25">
      <c r="B27" s="43"/>
      <c r="C27" s="44"/>
      <c r="D27" s="44"/>
      <c r="E27" s="45"/>
      <c r="F27" s="46"/>
      <c r="G27" s="45"/>
      <c r="H27" s="46"/>
      <c r="I27" s="47"/>
      <c r="J27" s="28"/>
      <c r="K27" s="48"/>
      <c r="L27" s="48"/>
      <c r="M27" s="48"/>
      <c r="N27" s="48"/>
      <c r="O27" s="48"/>
      <c r="P27" s="48"/>
      <c r="Q27" s="13"/>
      <c r="R27" s="41"/>
      <c r="S27" s="46"/>
      <c r="T27" s="46"/>
      <c r="U27" s="46"/>
      <c r="V27" s="46"/>
      <c r="W27" s="49"/>
      <c r="X27" s="50"/>
    </row>
    <row r="28" spans="1:25" ht="30" customHeight="1" x14ac:dyDescent="0.25">
      <c r="B28" s="43"/>
      <c r="C28" s="44"/>
      <c r="D28" s="44"/>
      <c r="E28" s="45"/>
      <c r="F28" s="46"/>
      <c r="G28" s="45"/>
      <c r="H28" s="46"/>
      <c r="I28" s="47"/>
      <c r="J28" s="28"/>
      <c r="K28" s="48"/>
      <c r="L28" s="48"/>
      <c r="M28" s="48"/>
      <c r="N28" s="48"/>
      <c r="O28" s="48"/>
      <c r="P28" s="48"/>
      <c r="Q28" s="13"/>
      <c r="R28" s="41"/>
      <c r="S28" s="46"/>
      <c r="T28" s="46"/>
      <c r="U28" s="46"/>
      <c r="V28" s="46"/>
      <c r="W28" s="49"/>
      <c r="X28" s="50"/>
    </row>
    <row r="29" spans="1:25" ht="30" customHeight="1" thickBot="1" x14ac:dyDescent="0.3">
      <c r="B29" s="43"/>
      <c r="C29" s="44"/>
      <c r="D29" s="44"/>
      <c r="E29" s="45"/>
      <c r="F29" s="46"/>
      <c r="G29" s="45"/>
      <c r="H29" s="46"/>
      <c r="I29" s="47"/>
      <c r="J29" s="28"/>
      <c r="K29" s="48"/>
      <c r="L29" s="48"/>
      <c r="M29" s="48"/>
      <c r="N29" s="48"/>
      <c r="O29" s="48"/>
      <c r="P29" s="48"/>
      <c r="Q29" s="13"/>
      <c r="R29" s="41"/>
      <c r="S29" s="46"/>
      <c r="T29" s="46"/>
      <c r="U29" s="46"/>
      <c r="V29" s="46"/>
      <c r="W29" s="49"/>
      <c r="X29" s="55"/>
    </row>
    <row r="30" spans="1:25" ht="30" customHeight="1" thickBot="1" x14ac:dyDescent="0.3">
      <c r="B30" s="6"/>
      <c r="C30" s="10"/>
      <c r="D30" s="10"/>
      <c r="E30" s="51"/>
      <c r="F30" s="51"/>
      <c r="G30" s="51"/>
      <c r="H30" s="52"/>
      <c r="I30" s="53"/>
      <c r="J30" s="54"/>
      <c r="K30" s="55"/>
      <c r="L30" s="55"/>
      <c r="M30" s="55"/>
      <c r="N30" s="55"/>
      <c r="O30" s="55"/>
      <c r="P30" s="55"/>
      <c r="Q30" s="13"/>
      <c r="R30" s="56"/>
      <c r="S30" s="52"/>
      <c r="T30" s="52"/>
      <c r="U30" s="52"/>
      <c r="V30" s="52"/>
      <c r="W30" s="57"/>
      <c r="X30" s="30"/>
    </row>
    <row r="31" spans="1:25" ht="30" customHeight="1" x14ac:dyDescent="0.25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1"/>
      <c r="X31" s="46"/>
    </row>
    <row r="32" spans="1:25" ht="30" customHeight="1" x14ac:dyDescent="0.25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63">
        <f>SUM(O6:O29)</f>
        <v>235621</v>
      </c>
      <c r="P32" s="30"/>
      <c r="Q32" s="30"/>
      <c r="R32" s="30"/>
      <c r="S32" s="30"/>
      <c r="T32" s="30"/>
      <c r="U32" s="30"/>
      <c r="V32" s="30"/>
      <c r="W32" s="31"/>
      <c r="X32" s="46"/>
    </row>
    <row r="33" spans="1:24" ht="30" customHeight="1" x14ac:dyDescent="0.25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63">
        <f t="shared" ref="K33:M33" si="27">SUM(K7:K30)</f>
        <v>133091</v>
      </c>
      <c r="L33" s="63">
        <f t="shared" si="27"/>
        <v>110347.7</v>
      </c>
      <c r="M33" s="63">
        <f t="shared" si="27"/>
        <v>195681</v>
      </c>
      <c r="N33" s="63">
        <f>SUM(N7:N30)</f>
        <v>479124</v>
      </c>
      <c r="O33" s="63" t="s">
        <v>19</v>
      </c>
      <c r="P33" s="63">
        <f>SUM(P7:P30)</f>
        <v>2379489</v>
      </c>
      <c r="Q33" s="63"/>
      <c r="R33" s="63"/>
      <c r="S33" s="63"/>
      <c r="T33" s="63"/>
      <c r="U33" s="63" t="s">
        <v>21</v>
      </c>
      <c r="V33" s="63"/>
      <c r="W33" s="59">
        <f>SUM(W5:W30)</f>
        <v>2706790</v>
      </c>
      <c r="X33" s="46"/>
    </row>
    <row r="34" spans="1:24" ht="30" customHeight="1" x14ac:dyDescent="0.25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1"/>
      <c r="X34" s="46"/>
    </row>
    <row r="35" spans="1:24" ht="30" customHeight="1" x14ac:dyDescent="0.25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63" t="s">
        <v>20</v>
      </c>
      <c r="V35" s="30"/>
      <c r="W35" s="59">
        <f>P33-W33</f>
        <v>-327301</v>
      </c>
      <c r="X35" s="46"/>
    </row>
    <row r="36" spans="1:24" ht="30" customHeight="1" x14ac:dyDescent="0.25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1"/>
      <c r="X36" s="46"/>
    </row>
    <row r="38" spans="1:24" ht="30" customHeight="1" thickBot="1" x14ac:dyDescent="0.3"/>
    <row r="39" spans="1:24" ht="30" customHeight="1" thickBot="1" x14ac:dyDescent="0.3">
      <c r="J39" s="105" t="s">
        <v>65</v>
      </c>
      <c r="K39" s="106"/>
      <c r="L39" s="106"/>
      <c r="M39" s="107"/>
    </row>
    <row r="40" spans="1:24" ht="30" customHeight="1" x14ac:dyDescent="0.25">
      <c r="J40" s="108" t="s">
        <v>68</v>
      </c>
      <c r="K40" s="109"/>
      <c r="L40" s="109"/>
      <c r="M40" s="110"/>
    </row>
    <row r="41" spans="1:24" ht="30" customHeight="1" x14ac:dyDescent="0.25">
      <c r="J41" s="101" t="s">
        <v>60</v>
      </c>
      <c r="K41" s="102"/>
      <c r="L41" s="103">
        <f>K33+L33+M33</f>
        <v>439119.7</v>
      </c>
      <c r="M41" s="104"/>
    </row>
    <row r="42" spans="1:24" ht="30" customHeight="1" x14ac:dyDescent="0.25">
      <c r="J42" s="101" t="s">
        <v>61</v>
      </c>
      <c r="K42" s="102"/>
      <c r="L42" s="103">
        <f>W35</f>
        <v>-327301</v>
      </c>
      <c r="M42" s="104"/>
    </row>
    <row r="43" spans="1:24" ht="30" customHeight="1" x14ac:dyDescent="0.25">
      <c r="J43" s="101" t="s">
        <v>62</v>
      </c>
      <c r="K43" s="102"/>
      <c r="L43" s="103" t="s">
        <v>63</v>
      </c>
      <c r="M43" s="104"/>
    </row>
    <row r="44" spans="1:24" ht="30" customHeight="1" x14ac:dyDescent="0.25">
      <c r="J44" s="101" t="s">
        <v>64</v>
      </c>
      <c r="K44" s="102"/>
      <c r="L44" s="103">
        <f>N33-P8-P12-P14-P23</f>
        <v>105103</v>
      </c>
      <c r="M44" s="104"/>
    </row>
  </sheetData>
  <mergeCells count="10">
    <mergeCell ref="J43:K43"/>
    <mergeCell ref="L43:M43"/>
    <mergeCell ref="J44:K44"/>
    <mergeCell ref="L44:M44"/>
    <mergeCell ref="J39:M39"/>
    <mergeCell ref="J40:M40"/>
    <mergeCell ref="J41:K41"/>
    <mergeCell ref="L41:M41"/>
    <mergeCell ref="J42:K42"/>
    <mergeCell ref="L42:M42"/>
  </mergeCells>
  <phoneticPr fontId="8" type="noConversion"/>
  <pageMargins left="0.70866141732283472" right="0.70866141732283472" top="0.74803149606299213" bottom="0.74803149606299213" header="0.31496062992125984" footer="0.31496062992125984"/>
  <pageSetup scale="28" fitToHeight="0" orientation="landscape" r:id="rId1"/>
  <colBreaks count="1" manualBreakCount="1">
    <brk id="5" max="42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LG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 GRAM 17</dc:creator>
  <cp:lastModifiedBy>admin</cp:lastModifiedBy>
  <cp:lastPrinted>2024-05-10T11:28:11Z</cp:lastPrinted>
  <dcterms:created xsi:type="dcterms:W3CDTF">2022-06-10T14:11:52Z</dcterms:created>
  <dcterms:modified xsi:type="dcterms:W3CDTF">2024-07-19T11:00:29Z</dcterms:modified>
</cp:coreProperties>
</file>