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648BED43-5178-4324-A550-A44C3B112A8C}" xr6:coauthVersionLast="47" xr6:coauthVersionMax="47" xr10:uidLastSave="{00000000-0000-0000-0000-000000000000}"/>
  <bookViews>
    <workbookView xWindow="0" yWindow="98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S11" i="1"/>
  <c r="G24" i="1"/>
  <c r="P23" i="1"/>
  <c r="N27" i="1"/>
  <c r="J24" i="1" l="1"/>
  <c r="K24" i="1"/>
  <c r="O24" i="1" s="1"/>
  <c r="H24" i="1"/>
  <c r="M24" i="1" s="1"/>
  <c r="E25" i="1" s="1"/>
  <c r="O25" i="1" s="1"/>
  <c r="G19" i="1"/>
  <c r="P18" i="1"/>
  <c r="O17" i="1"/>
  <c r="P15" i="1"/>
  <c r="G16" i="1"/>
  <c r="S24" i="1" l="1"/>
  <c r="I24" i="1"/>
  <c r="J19" i="1"/>
  <c r="L19" i="1"/>
  <c r="K19" i="1"/>
  <c r="H19" i="1"/>
  <c r="M19" i="1" s="1"/>
  <c r="E20" i="1" s="1"/>
  <c r="O20" i="1" s="1"/>
  <c r="H16" i="1"/>
  <c r="M16" i="1" s="1"/>
  <c r="K16" i="1"/>
  <c r="L16" i="1"/>
  <c r="J16" i="1"/>
  <c r="E8" i="1"/>
  <c r="L27" i="1" l="1"/>
  <c r="O16" i="1"/>
  <c r="S16" i="1" s="1"/>
  <c r="O19" i="1"/>
  <c r="S19" i="1" s="1"/>
  <c r="I19" i="1"/>
  <c r="I16" i="1"/>
  <c r="G8" i="1"/>
  <c r="H8" i="1" l="1"/>
  <c r="M8" i="1" s="1"/>
  <c r="M27" i="1" s="1"/>
  <c r="H36" i="1" s="1"/>
  <c r="K8" i="1"/>
  <c r="K27" i="1" s="1"/>
  <c r="H33" i="1" s="1"/>
  <c r="J8" i="1"/>
  <c r="I8" i="1" l="1"/>
  <c r="O8" i="1" s="1"/>
  <c r="S8" i="1" l="1"/>
  <c r="S28" i="1" s="1"/>
  <c r="O10" i="1"/>
  <c r="O28" i="1" s="1"/>
  <c r="Q29" i="1" l="1"/>
  <c r="H35" i="1" s="1"/>
</calcChain>
</file>

<file path=xl/sharedStrings.xml><?xml version="1.0" encoding="utf-8"?>
<sst xmlns="http://schemas.openxmlformats.org/spreadsheetml/2006/main" count="54" uniqueCount="51">
  <si>
    <t>Amount</t>
  </si>
  <si>
    <t>UTR</t>
  </si>
  <si>
    <t>Total Payable Amount Rs. -</t>
  </si>
  <si>
    <t>Pump house work and chamber work</t>
  </si>
  <si>
    <t>M/s Satavic Foods</t>
  </si>
  <si>
    <t>GST Release Note</t>
  </si>
  <si>
    <t>Rajhar Village Pump House work</t>
  </si>
  <si>
    <t>05-11-2022 IFT/IFT22309024004/RIUP22/1199/SATAVIC FOODS 148500.00</t>
  </si>
  <si>
    <t>GST Release NOTE</t>
  </si>
  <si>
    <t>Hold Amount</t>
  </si>
  <si>
    <t>Boundary Wall work Pelkha Village</t>
  </si>
  <si>
    <t>Painting &amp; Finishing</t>
  </si>
  <si>
    <t>03-10-2023 IFT/IFT23276075331/RIUP23/2382/SATAVIC FOODS 323693.00</t>
  </si>
  <si>
    <t xml:space="preserve">Total Hold </t>
  </si>
  <si>
    <t>Total Debit</t>
  </si>
  <si>
    <t>Advance/ Surplus</t>
  </si>
  <si>
    <t>06-04-2024 IFT/IFT24097097236/RIUP23/4767/SATAVIC FOODS 48630.00 79487244.17 CBB</t>
  </si>
  <si>
    <t>17-01-2024 IFT/IFT24017021092/RIUP23/4210/SATAVIC FOODS 199922.0</t>
  </si>
  <si>
    <t>GST</t>
  </si>
  <si>
    <t>18-11-2023 IFT/IFT23322006513/RIUP23/3327/SATAVIC FOODS 69363.00</t>
  </si>
  <si>
    <t>GST Remaining</t>
  </si>
  <si>
    <t>14-08-2024 IFT/IFT24227025321/RIUP24/0899/SATAVIC FOODS 281607.00</t>
  </si>
  <si>
    <t>Advance</t>
  </si>
  <si>
    <t>14-11-2024 IFT/IFT24319018438/RIUP24/1475/SATAVIC FOODS 53925.00</t>
  </si>
  <si>
    <t>Updated On 15-11-2024 ( By Nakshatra )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</si>
  <si>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</si>
  <si>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</si>
  <si>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</si>
  <si>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</si>
  <si>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</si>
  <si>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</si>
  <si>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</si>
  <si>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</si>
  <si>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</si>
  <si>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</si>
  <si>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</si>
  <si>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</si>
  <si>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</si>
  <si>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Subcontractor:</t>
  </si>
  <si>
    <t>State:</t>
  </si>
  <si>
    <t>Uttar Pradesh</t>
  </si>
  <si>
    <t>District:</t>
  </si>
  <si>
    <t>Shamli</t>
  </si>
  <si>
    <t>Block:</t>
  </si>
  <si>
    <t xml:space="preserve">Rangana village Construction of Pump house work </t>
  </si>
  <si>
    <t>CHONDAHERI village BOUNDARY WALL CIVIL CONSTRUCTION Work</t>
  </si>
  <si>
    <t xml:space="preserve">BIDAULI VILLAGE BOUNDARY WALL WORK </t>
  </si>
  <si>
    <t>13-02-2022 IFT/IFT23044014387/RIUP22/2141/SATAVIC FOODS ₹ 293637.00</t>
  </si>
  <si>
    <t>21-04-2022 IFT/IFT23111025047/RIUP23/002/SATAVIC FOODS 56228.00</t>
  </si>
  <si>
    <t>07-01-2022 IFT/IFT23007045385/RIUP22/1799/SATAVIC FOODS 151710.00</t>
  </si>
  <si>
    <t>21-04-2022 IFT/IFT23111025046/RIUP23/001/SATAVIC FOODS 60717.00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</si>
</sst>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165" fontId="6" fillId="2" borderId="6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horizontal="center" vertical="center"/>
    </xf>
    <xf numFmtId="9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horizontal="center" vertical="center"/>
    </xf>
    <xf numFmtId="9" fontId="3" fillId="3" borderId="9" xfId="1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5" fillId="2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5" fontId="3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14" fontId="3" fillId="2" borderId="9" xfId="1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2" borderId="9" xfId="1" applyNumberFormat="1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vertical="center" wrapText="1"/>
    </xf>
    <xf numFmtId="164" fontId="5" fillId="2" borderId="10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3" fontId="9" fillId="2" borderId="8" xfId="1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/>
    </xf>
    <xf numFmtId="0" fontId="6" fillId="0" borderId="0" xfId="0" applyFont="1"/>
    <xf numFmtId="164" fontId="10" fillId="2" borderId="11" xfId="2" applyFont="1" applyFill="1" applyBorder="1" applyAlignment="1">
      <alignment vertical="center"/>
    </xf>
    <xf numFmtId="164" fontId="10" fillId="2" borderId="12" xfId="2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17DD9A81-7119-4959-9429-82AFB55F653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L18" zoomScale="85" zoomScaleNormal="85" workbookViewId="0">
      <selection activeCell="R16" sqref="R16"/>
    </sheetView>
  </sheetViews>
  <sheetFormatPr defaultColWidth="9" defaultRowHeight="35.1" customHeight="1" x14ac:dyDescent="0.3"/>
  <cols>
    <col min="1" max="1" width="9" style="8"/>
    <col min="2" max="2" width="28.88671875" style="5" customWidth="1"/>
    <col min="3" max="3" width="13.44140625" style="12" bestFit="1" customWidth="1"/>
    <col min="4" max="4" width="11.5546875" style="12" bestFit="1" customWidth="1"/>
    <col min="5" max="5" width="13.33203125" style="5" bestFit="1" customWidth="1"/>
    <col min="6" max="7" width="13.33203125" style="5" customWidth="1"/>
    <col min="8" max="8" width="16" style="1" customWidth="1"/>
    <col min="9" max="9" width="12.88671875" style="1" bestFit="1" customWidth="1"/>
    <col min="10" max="10" width="10.6640625" style="5" bestFit="1" customWidth="1"/>
    <col min="11" max="11" width="12" style="5" bestFit="1" customWidth="1"/>
    <col min="12" max="12" width="12.5546875" style="5" bestFit="1" customWidth="1"/>
    <col min="13" max="13" width="13.88671875" style="5" bestFit="1" customWidth="1"/>
    <col min="14" max="14" width="12" style="5" bestFit="1" customWidth="1"/>
    <col min="15" max="15" width="14.88671875" style="5" customWidth="1"/>
    <col min="16" max="16" width="11.33203125" style="5" bestFit="1" customWidth="1"/>
    <col min="17" max="17" width="15" style="5" bestFit="1" customWidth="1"/>
    <col min="18" max="18" width="85.33203125" style="5" customWidth="1"/>
    <col min="19" max="19" width="15" style="5" bestFit="1" customWidth="1"/>
    <col min="20" max="16384" width="9" style="5"/>
  </cols>
  <sheetData>
    <row r="1" spans="1:19" ht="35.1" customHeight="1" thickBot="1" x14ac:dyDescent="0.35">
      <c r="A1" s="52" t="s">
        <v>38</v>
      </c>
      <c r="B1" s="2" t="s">
        <v>4</v>
      </c>
      <c r="E1" s="9"/>
      <c r="F1" s="9"/>
      <c r="G1" s="9"/>
    </row>
    <row r="2" spans="1:19" ht="35.1" customHeight="1" thickBot="1" x14ac:dyDescent="0.35">
      <c r="A2" s="52" t="s">
        <v>39</v>
      </c>
      <c r="B2" s="53" t="s">
        <v>40</v>
      </c>
      <c r="C2" s="13"/>
      <c r="D2" s="58"/>
      <c r="H2" s="3" t="s">
        <v>3</v>
      </c>
      <c r="J2" s="4"/>
      <c r="K2" s="4"/>
      <c r="L2" s="4"/>
      <c r="M2" s="4"/>
      <c r="N2" s="4"/>
      <c r="O2" s="4"/>
      <c r="P2" s="4"/>
    </row>
    <row r="3" spans="1:19" ht="35.1" customHeight="1" thickBot="1" x14ac:dyDescent="0.35">
      <c r="A3" s="52" t="s">
        <v>41</v>
      </c>
      <c r="B3" s="54" t="s">
        <v>42</v>
      </c>
      <c r="C3" s="13"/>
      <c r="D3" s="58"/>
      <c r="H3" s="3"/>
      <c r="J3" s="4"/>
      <c r="K3" s="4"/>
      <c r="L3" s="4"/>
      <c r="M3" s="4"/>
      <c r="N3" s="4"/>
      <c r="O3" s="4"/>
      <c r="P3" s="4"/>
    </row>
    <row r="4" spans="1:19" ht="35.1" customHeight="1" thickBot="1" x14ac:dyDescent="0.35">
      <c r="A4" s="52" t="s">
        <v>43</v>
      </c>
      <c r="B4" s="55" t="s">
        <v>42</v>
      </c>
      <c r="C4" s="10"/>
      <c r="D4" s="10"/>
      <c r="E4" s="4"/>
      <c r="F4" s="4"/>
      <c r="G4" s="4"/>
      <c r="H4" s="6"/>
      <c r="I4" s="6"/>
      <c r="J4" s="4"/>
      <c r="K4" s="4"/>
      <c r="L4" s="4"/>
      <c r="M4" s="4"/>
      <c r="N4" s="4"/>
      <c r="P4" s="11">
        <v>45247</v>
      </c>
      <c r="Q4" s="7"/>
      <c r="R4" s="7"/>
      <c r="S4" s="7"/>
    </row>
    <row r="5" spans="1:19" ht="35.1" customHeight="1" x14ac:dyDescent="0.3">
      <c r="A5" s="16" t="s">
        <v>28</v>
      </c>
      <c r="B5" s="47" t="s">
        <v>29</v>
      </c>
      <c r="C5" s="48" t="s">
        <v>30</v>
      </c>
      <c r="D5" s="49" t="s">
        <v>31</v>
      </c>
      <c r="E5" s="47" t="s">
        <v>32</v>
      </c>
      <c r="F5" s="47" t="s">
        <v>33</v>
      </c>
      <c r="G5" s="49" t="s">
        <v>34</v>
      </c>
      <c r="H5" s="50" t="s">
        <v>35</v>
      </c>
      <c r="I5" s="51" t="s">
        <v>0</v>
      </c>
      <c r="J5" s="47" t="s">
        <v>36</v>
      </c>
      <c r="K5" s="47" t="s">
        <v>37</v>
      </c>
      <c r="L5" s="17" t="s">
        <v>11</v>
      </c>
      <c r="M5" s="47" t="s">
        <v>27</v>
      </c>
      <c r="N5" s="17" t="s">
        <v>9</v>
      </c>
      <c r="O5" s="47" t="s">
        <v>26</v>
      </c>
      <c r="P5" s="17"/>
      <c r="Q5" s="47" t="s">
        <v>25</v>
      </c>
      <c r="R5" s="47" t="s">
        <v>1</v>
      </c>
      <c r="S5" s="17" t="s">
        <v>22</v>
      </c>
    </row>
    <row r="6" spans="1:19" ht="35.1" customHeight="1" x14ac:dyDescent="0.3">
      <c r="A6" s="18"/>
      <c r="B6" s="19"/>
      <c r="C6" s="20"/>
      <c r="D6" s="38"/>
      <c r="E6" s="19"/>
      <c r="F6" s="19"/>
      <c r="G6" s="19"/>
      <c r="H6" s="21">
        <v>0.18</v>
      </c>
      <c r="I6" s="19"/>
      <c r="J6" s="21">
        <v>0.01</v>
      </c>
      <c r="K6" s="21">
        <v>0.05</v>
      </c>
      <c r="L6" s="21">
        <v>0.1</v>
      </c>
      <c r="M6" s="21">
        <v>0.18</v>
      </c>
      <c r="N6" s="21"/>
      <c r="O6" s="19"/>
      <c r="P6" s="22"/>
      <c r="Q6" s="19"/>
      <c r="R6" s="19"/>
      <c r="S6" s="19"/>
    </row>
    <row r="7" spans="1:19" ht="35.1" customHeight="1" x14ac:dyDescent="0.3">
      <c r="A7" s="23">
        <v>54808</v>
      </c>
      <c r="B7" s="24"/>
      <c r="C7" s="25"/>
      <c r="D7" s="59"/>
      <c r="E7" s="24"/>
      <c r="F7" s="24"/>
      <c r="G7" s="24"/>
      <c r="H7" s="26"/>
      <c r="I7" s="24"/>
      <c r="J7" s="26"/>
      <c r="K7" s="26"/>
      <c r="L7" s="26"/>
      <c r="M7" s="26"/>
      <c r="N7" s="26"/>
      <c r="O7" s="24"/>
      <c r="P7" s="27">
        <v>54808</v>
      </c>
      <c r="Q7" s="24"/>
      <c r="R7" s="24"/>
      <c r="S7" s="24"/>
    </row>
    <row r="8" spans="1:19" ht="35.1" customHeight="1" x14ac:dyDescent="0.3">
      <c r="A8" s="23">
        <v>54808</v>
      </c>
      <c r="B8" s="28" t="s">
        <v>44</v>
      </c>
      <c r="C8" s="29">
        <v>44956</v>
      </c>
      <c r="D8" s="56">
        <v>2</v>
      </c>
      <c r="E8" s="19">
        <f>(370000+11000)*0.9</f>
        <v>342900</v>
      </c>
      <c r="F8" s="19">
        <v>30520</v>
      </c>
      <c r="G8" s="19">
        <f>ROUND(E8-F8,0)</f>
        <v>312380</v>
      </c>
      <c r="H8" s="19">
        <f>ROUND(G8*H6,0)</f>
        <v>56228</v>
      </c>
      <c r="I8" s="19">
        <f>G8+H8</f>
        <v>368608</v>
      </c>
      <c r="J8" s="19">
        <f>ROUND(G8*$J$6,)</f>
        <v>3124</v>
      </c>
      <c r="K8" s="19">
        <f>ROUND(G8*$K$6,)</f>
        <v>15619</v>
      </c>
      <c r="L8" s="19"/>
      <c r="M8" s="19">
        <f>H8</f>
        <v>56228</v>
      </c>
      <c r="N8" s="19"/>
      <c r="O8" s="19">
        <f>ROUND(I8-SUM(J8:M8),0)</f>
        <v>293637</v>
      </c>
      <c r="P8" s="22"/>
      <c r="Q8" s="19">
        <v>293637</v>
      </c>
      <c r="R8" s="30" t="s">
        <v>47</v>
      </c>
      <c r="S8" s="19">
        <f>SUM(O8:O9)-SUM(Q8:Q9)</f>
        <v>0</v>
      </c>
    </row>
    <row r="9" spans="1:19" ht="35.1" customHeight="1" x14ac:dyDescent="0.3">
      <c r="A9" s="23">
        <v>54808</v>
      </c>
      <c r="B9" s="28" t="s">
        <v>5</v>
      </c>
      <c r="C9" s="29">
        <v>44998</v>
      </c>
      <c r="D9" s="56">
        <v>2</v>
      </c>
      <c r="E9" s="19">
        <v>56228</v>
      </c>
      <c r="F9" s="19"/>
      <c r="G9" s="19"/>
      <c r="H9" s="19"/>
      <c r="I9" s="19"/>
      <c r="J9" s="19"/>
      <c r="K9" s="19"/>
      <c r="L9" s="19"/>
      <c r="M9" s="19"/>
      <c r="N9" s="19"/>
      <c r="O9" s="19">
        <v>56228</v>
      </c>
      <c r="P9" s="31"/>
      <c r="Q9" s="19">
        <v>56228</v>
      </c>
      <c r="R9" s="30" t="s">
        <v>48</v>
      </c>
      <c r="S9" s="19"/>
    </row>
    <row r="10" spans="1:19" ht="35.1" customHeight="1" x14ac:dyDescent="0.3">
      <c r="A10" s="23">
        <v>52977</v>
      </c>
      <c r="B10" s="32"/>
      <c r="C10" s="33"/>
      <c r="D10" s="57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>
        <f>I10-SUM(J10:K10)</f>
        <v>0</v>
      </c>
      <c r="P10" s="27">
        <v>52977</v>
      </c>
      <c r="Q10" s="24">
        <v>0</v>
      </c>
      <c r="R10" s="34"/>
      <c r="S10" s="24"/>
    </row>
    <row r="11" spans="1:19" ht="35.1" customHeight="1" x14ac:dyDescent="0.3">
      <c r="A11" s="23">
        <v>52977</v>
      </c>
      <c r="B11" s="28" t="s">
        <v>6</v>
      </c>
      <c r="C11" s="35">
        <v>44931</v>
      </c>
      <c r="D11" s="56">
        <v>1</v>
      </c>
      <c r="E11" s="19">
        <v>381000</v>
      </c>
      <c r="F11" s="19">
        <v>43685</v>
      </c>
      <c r="G11" s="19">
        <v>337315</v>
      </c>
      <c r="H11" s="19">
        <v>60717</v>
      </c>
      <c r="I11" s="19">
        <v>398032</v>
      </c>
      <c r="J11" s="19">
        <v>3373.15</v>
      </c>
      <c r="K11" s="19">
        <v>16865.75</v>
      </c>
      <c r="L11" s="19"/>
      <c r="M11" s="19">
        <v>60717</v>
      </c>
      <c r="N11" s="19">
        <v>16865.75</v>
      </c>
      <c r="O11" s="19">
        <v>300210</v>
      </c>
      <c r="P11" s="22"/>
      <c r="Q11" s="19">
        <v>148500</v>
      </c>
      <c r="R11" s="30" t="s">
        <v>7</v>
      </c>
      <c r="S11" s="19">
        <f>SUM(O11:O14)-SUM(Q11:Q14)</f>
        <v>0</v>
      </c>
    </row>
    <row r="12" spans="1:19" ht="35.1" customHeight="1" x14ac:dyDescent="0.3">
      <c r="A12" s="23">
        <v>52977</v>
      </c>
      <c r="B12" s="19" t="s">
        <v>8</v>
      </c>
      <c r="C12" s="35">
        <v>44932</v>
      </c>
      <c r="D12" s="38">
        <v>1</v>
      </c>
      <c r="E12" s="19">
        <v>60717</v>
      </c>
      <c r="F12" s="19"/>
      <c r="G12" s="19">
        <v>60717</v>
      </c>
      <c r="H12" s="19">
        <v>0</v>
      </c>
      <c r="I12" s="19">
        <v>60717</v>
      </c>
      <c r="J12" s="19">
        <v>0</v>
      </c>
      <c r="K12" s="19">
        <v>0</v>
      </c>
      <c r="L12" s="19"/>
      <c r="M12" s="19">
        <v>0</v>
      </c>
      <c r="N12" s="19"/>
      <c r="O12" s="19">
        <v>60717</v>
      </c>
      <c r="P12" s="22"/>
      <c r="Q12" s="19">
        <v>151710</v>
      </c>
      <c r="R12" s="30" t="s">
        <v>49</v>
      </c>
      <c r="S12" s="19"/>
    </row>
    <row r="13" spans="1:19" ht="35.1" customHeight="1" x14ac:dyDescent="0.3">
      <c r="A13" s="23">
        <v>52977</v>
      </c>
      <c r="B13" s="19"/>
      <c r="C13" s="20"/>
      <c r="D13" s="3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2"/>
      <c r="Q13" s="19">
        <v>60717</v>
      </c>
      <c r="R13" s="30" t="s">
        <v>50</v>
      </c>
      <c r="S13" s="19"/>
    </row>
    <row r="14" spans="1:19" ht="35.1" customHeight="1" x14ac:dyDescent="0.3">
      <c r="A14" s="18"/>
      <c r="B14" s="19"/>
      <c r="C14" s="20"/>
      <c r="D14" s="3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  <c r="Q14" s="19"/>
      <c r="R14" s="36"/>
      <c r="S14" s="19"/>
    </row>
    <row r="15" spans="1:19" ht="35.1" customHeight="1" x14ac:dyDescent="0.3">
      <c r="A15" s="23"/>
      <c r="B15" s="24"/>
      <c r="C15" s="25"/>
      <c r="D15" s="5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7">
        <f>A16</f>
        <v>59368</v>
      </c>
      <c r="Q15" s="24"/>
      <c r="R15" s="34"/>
      <c r="S15" s="24"/>
    </row>
    <row r="16" spans="1:19" ht="35.1" customHeight="1" x14ac:dyDescent="0.3">
      <c r="A16" s="18">
        <v>59368</v>
      </c>
      <c r="B16" s="19" t="s">
        <v>10</v>
      </c>
      <c r="C16" s="35">
        <v>45185</v>
      </c>
      <c r="D16" s="56">
        <v>2</v>
      </c>
      <c r="E16" s="19">
        <v>423500</v>
      </c>
      <c r="F16" s="19">
        <v>38150</v>
      </c>
      <c r="G16" s="19">
        <f>E16-F16</f>
        <v>385350</v>
      </c>
      <c r="H16" s="19">
        <f>G16*18%</f>
        <v>69363</v>
      </c>
      <c r="I16" s="19">
        <f>G16+H16</f>
        <v>454713</v>
      </c>
      <c r="J16" s="19">
        <f>G16*1%</f>
        <v>3853.5</v>
      </c>
      <c r="K16" s="19">
        <f>5%*G16</f>
        <v>19267.5</v>
      </c>
      <c r="L16" s="19">
        <f>G16*10%</f>
        <v>38535</v>
      </c>
      <c r="M16" s="19">
        <f>H16</f>
        <v>69363</v>
      </c>
      <c r="N16" s="19">
        <v>0</v>
      </c>
      <c r="O16" s="19">
        <f>G16-J16-K16-L16</f>
        <v>323694</v>
      </c>
      <c r="P16" s="22"/>
      <c r="Q16" s="19">
        <v>323693</v>
      </c>
      <c r="R16" s="37" t="s">
        <v>12</v>
      </c>
      <c r="S16" s="19">
        <f>SUM(O16:O17)-SUM(Q16:Q17)</f>
        <v>1</v>
      </c>
    </row>
    <row r="17" spans="1:19" ht="35.1" customHeight="1" x14ac:dyDescent="0.3">
      <c r="A17" s="18"/>
      <c r="B17" s="19"/>
      <c r="C17" s="35">
        <v>45244</v>
      </c>
      <c r="D17" s="38">
        <v>2</v>
      </c>
      <c r="E17" s="19">
        <v>69363</v>
      </c>
      <c r="F17" s="19"/>
      <c r="G17" s="19"/>
      <c r="H17" s="19"/>
      <c r="I17" s="19"/>
      <c r="J17" s="19"/>
      <c r="K17" s="19"/>
      <c r="L17" s="19"/>
      <c r="M17" s="19"/>
      <c r="N17" s="19"/>
      <c r="O17" s="19">
        <f>E17</f>
        <v>69363</v>
      </c>
      <c r="P17" s="22"/>
      <c r="Q17" s="19">
        <v>69363</v>
      </c>
      <c r="R17" s="30" t="s">
        <v>19</v>
      </c>
      <c r="S17" s="19"/>
    </row>
    <row r="18" spans="1:19" ht="35.1" customHeight="1" x14ac:dyDescent="0.3">
      <c r="A18" s="23"/>
      <c r="B18" s="24"/>
      <c r="C18" s="25"/>
      <c r="D18" s="59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7">
        <f>A19</f>
        <v>61444</v>
      </c>
      <c r="Q18" s="24"/>
      <c r="R18" s="34"/>
      <c r="S18" s="24"/>
    </row>
    <row r="19" spans="1:19" ht="35.1" customHeight="1" x14ac:dyDescent="0.3">
      <c r="A19" s="18">
        <v>61444</v>
      </c>
      <c r="B19" s="19" t="s">
        <v>46</v>
      </c>
      <c r="C19" s="35">
        <v>45288</v>
      </c>
      <c r="D19" s="56">
        <v>3</v>
      </c>
      <c r="E19" s="19">
        <v>304500</v>
      </c>
      <c r="F19" s="19">
        <v>34335</v>
      </c>
      <c r="G19" s="19">
        <f>E19-F19</f>
        <v>270165</v>
      </c>
      <c r="H19" s="19">
        <f>G19*18%</f>
        <v>48629.7</v>
      </c>
      <c r="I19" s="19">
        <f>G19+H19</f>
        <v>318794.7</v>
      </c>
      <c r="J19" s="19">
        <f>G19*1%</f>
        <v>2701.65</v>
      </c>
      <c r="K19" s="19">
        <f>5%*G19</f>
        <v>13508.25</v>
      </c>
      <c r="L19" s="19">
        <f>G19*20%</f>
        <v>54033</v>
      </c>
      <c r="M19" s="19">
        <f>H19</f>
        <v>48629.7</v>
      </c>
      <c r="N19" s="19">
        <v>0</v>
      </c>
      <c r="O19" s="19">
        <f>G19-J19-K19-L19</f>
        <v>199922.09999999998</v>
      </c>
      <c r="P19" s="22"/>
      <c r="Q19" s="19">
        <v>199922</v>
      </c>
      <c r="R19" s="37" t="s">
        <v>17</v>
      </c>
      <c r="S19" s="19">
        <f>SUM(O19:O22)-SUM(Q19:Q22)</f>
        <v>-0.20000000001164153</v>
      </c>
    </row>
    <row r="20" spans="1:19" ht="35.1" customHeight="1" x14ac:dyDescent="0.3">
      <c r="A20" s="18"/>
      <c r="B20" s="19" t="s">
        <v>18</v>
      </c>
      <c r="C20" s="35"/>
      <c r="D20" s="56">
        <v>3</v>
      </c>
      <c r="E20" s="19">
        <f>M19</f>
        <v>48629.7</v>
      </c>
      <c r="F20" s="19"/>
      <c r="G20" s="19"/>
      <c r="H20" s="19"/>
      <c r="I20" s="19"/>
      <c r="J20" s="19"/>
      <c r="K20" s="19"/>
      <c r="L20" s="19"/>
      <c r="M20" s="19"/>
      <c r="N20" s="19"/>
      <c r="O20" s="19">
        <f>E20</f>
        <v>48629.7</v>
      </c>
      <c r="P20" s="22"/>
      <c r="Q20" s="19">
        <v>48630</v>
      </c>
      <c r="R20" s="19" t="s">
        <v>16</v>
      </c>
      <c r="S20" s="19"/>
    </row>
    <row r="21" spans="1:19" ht="35.1" customHeight="1" x14ac:dyDescent="0.3">
      <c r="A21" s="18"/>
      <c r="B21" s="19"/>
      <c r="C21" s="35"/>
      <c r="D21" s="56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2"/>
      <c r="Q21" s="19"/>
      <c r="R21" s="19"/>
      <c r="S21" s="19"/>
    </row>
    <row r="22" spans="1:19" ht="35.1" customHeight="1" x14ac:dyDescent="0.3">
      <c r="A22" s="18"/>
      <c r="B22" s="19"/>
      <c r="C22" s="35"/>
      <c r="D22" s="5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2"/>
      <c r="Q22" s="19"/>
      <c r="R22" s="19"/>
      <c r="S22" s="19"/>
    </row>
    <row r="23" spans="1:19" ht="36" customHeight="1" x14ac:dyDescent="0.3">
      <c r="A23" s="23"/>
      <c r="B23" s="24"/>
      <c r="C23" s="25"/>
      <c r="D23" s="5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7">
        <f>A24</f>
        <v>64243</v>
      </c>
      <c r="Q23" s="24"/>
      <c r="R23" s="34"/>
      <c r="S23" s="24"/>
    </row>
    <row r="24" spans="1:19" ht="53.25" customHeight="1" x14ac:dyDescent="0.3">
      <c r="A24" s="18">
        <v>64243</v>
      </c>
      <c r="B24" s="39" t="s">
        <v>45</v>
      </c>
      <c r="C24" s="35">
        <v>45454</v>
      </c>
      <c r="D24" s="56">
        <v>1</v>
      </c>
      <c r="E24" s="19">
        <v>299582</v>
      </c>
      <c r="F24" s="19">
        <v>0</v>
      </c>
      <c r="G24" s="19">
        <f>E24-F24</f>
        <v>299582</v>
      </c>
      <c r="H24" s="19">
        <f>G24*18%</f>
        <v>53924.759999999995</v>
      </c>
      <c r="I24" s="19">
        <f>G24+H24</f>
        <v>353506.76</v>
      </c>
      <c r="J24" s="19">
        <f>G24*1%</f>
        <v>2995.82</v>
      </c>
      <c r="K24" s="19">
        <f>5%*G24</f>
        <v>14979.1</v>
      </c>
      <c r="L24" s="19">
        <v>0</v>
      </c>
      <c r="M24" s="19">
        <f>H24</f>
        <v>53924.759999999995</v>
      </c>
      <c r="N24" s="19">
        <v>0</v>
      </c>
      <c r="O24" s="19">
        <f>G24-J24-K24-L24</f>
        <v>281607.08</v>
      </c>
      <c r="P24" s="22"/>
      <c r="Q24" s="19">
        <v>281607</v>
      </c>
      <c r="R24" s="37" t="s">
        <v>21</v>
      </c>
      <c r="S24" s="19">
        <f>SUM(O24:O26)-SUM(Q24:Q26)</f>
        <v>-0.15999999997438863</v>
      </c>
    </row>
    <row r="25" spans="1:19" ht="35.1" customHeight="1" x14ac:dyDescent="0.3">
      <c r="A25" s="18"/>
      <c r="B25" s="19" t="s">
        <v>18</v>
      </c>
      <c r="C25" s="35"/>
      <c r="D25" s="56">
        <v>3</v>
      </c>
      <c r="E25" s="19">
        <f>M24</f>
        <v>53924.759999999995</v>
      </c>
      <c r="F25" s="19"/>
      <c r="G25" s="19"/>
      <c r="H25" s="19"/>
      <c r="I25" s="19"/>
      <c r="J25" s="19"/>
      <c r="K25" s="19"/>
      <c r="L25" s="19"/>
      <c r="M25" s="19"/>
      <c r="N25" s="19"/>
      <c r="O25" s="19">
        <f>E25</f>
        <v>53924.759999999995</v>
      </c>
      <c r="P25" s="22"/>
      <c r="Q25" s="19">
        <v>53925</v>
      </c>
      <c r="R25" s="19" t="s">
        <v>23</v>
      </c>
      <c r="S25" s="19"/>
    </row>
    <row r="26" spans="1:19" ht="35.1" customHeight="1" thickBot="1" x14ac:dyDescent="0.35">
      <c r="A26" s="40"/>
      <c r="B26" s="41"/>
      <c r="C26" s="42"/>
      <c r="D26" s="6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1:19" ht="35.1" customHeight="1" x14ac:dyDescent="0.3">
      <c r="A27" s="43"/>
      <c r="B27" s="44"/>
      <c r="C27" s="45"/>
      <c r="D27" s="61"/>
      <c r="E27" s="44"/>
      <c r="F27" s="44"/>
      <c r="G27" s="44"/>
      <c r="H27" s="44"/>
      <c r="I27" s="44"/>
      <c r="J27" s="43"/>
      <c r="K27" s="43">
        <f>SUM(K8:K26)</f>
        <v>80239.600000000006</v>
      </c>
      <c r="L27" s="43">
        <f>SUM(L8:L26)</f>
        <v>92568</v>
      </c>
      <c r="M27" s="43">
        <f>SUM(M8:M26)</f>
        <v>288862.46000000002</v>
      </c>
      <c r="N27" s="43">
        <f>SUM(N8:N26)</f>
        <v>16865.75</v>
      </c>
      <c r="O27" s="44"/>
      <c r="P27" s="44"/>
      <c r="Q27" s="44"/>
      <c r="R27" s="44"/>
      <c r="S27" s="44"/>
    </row>
    <row r="28" spans="1:19" ht="35.1" customHeight="1" x14ac:dyDescent="0.3">
      <c r="A28" s="46"/>
      <c r="B28" s="19"/>
      <c r="C28" s="20"/>
      <c r="D28" s="38"/>
      <c r="E28" s="19"/>
      <c r="F28" s="19"/>
      <c r="G28" s="19"/>
      <c r="H28" s="19"/>
      <c r="I28" s="19"/>
      <c r="J28" s="46" t="s">
        <v>2</v>
      </c>
      <c r="K28" s="46"/>
      <c r="L28" s="46"/>
      <c r="M28" s="46"/>
      <c r="N28" s="46"/>
      <c r="O28" s="46">
        <f>SUM(O8:O26)</f>
        <v>1687932.6400000001</v>
      </c>
      <c r="P28" s="46"/>
      <c r="Q28" s="46">
        <f>SUM(Q8:Q26)</f>
        <v>1687932</v>
      </c>
      <c r="R28" s="19"/>
      <c r="S28" s="46">
        <f>SUM(S7:S26)</f>
        <v>0.64000000001396984</v>
      </c>
    </row>
    <row r="29" spans="1:19" ht="35.1" customHeight="1" thickBot="1" x14ac:dyDescent="0.35">
      <c r="A29" s="40"/>
      <c r="B29" s="41"/>
      <c r="C29" s="42"/>
      <c r="D29" s="6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0">
        <f>O28-Q28</f>
        <v>0.64000000013038516</v>
      </c>
      <c r="R29" s="41"/>
      <c r="S29" s="40"/>
    </row>
    <row r="30" spans="1:19" ht="35.1" customHeight="1" thickBot="1" x14ac:dyDescent="0.35"/>
    <row r="31" spans="1:19" ht="35.1" customHeight="1" thickBot="1" x14ac:dyDescent="0.35">
      <c r="F31" s="66" t="s">
        <v>4</v>
      </c>
      <c r="G31" s="67"/>
      <c r="H31" s="68"/>
    </row>
    <row r="32" spans="1:19" ht="35.1" customHeight="1" thickBot="1" x14ac:dyDescent="0.35">
      <c r="F32" s="66" t="s">
        <v>24</v>
      </c>
      <c r="G32" s="67"/>
      <c r="H32" s="68"/>
    </row>
    <row r="33" spans="6:8" ht="35.1" customHeight="1" thickBot="1" x14ac:dyDescent="0.35">
      <c r="F33" s="64" t="s">
        <v>13</v>
      </c>
      <c r="G33" s="65"/>
      <c r="H33" s="14">
        <f>K27+L27</f>
        <v>172807.6</v>
      </c>
    </row>
    <row r="34" spans="6:8" ht="35.1" customHeight="1" thickBot="1" x14ac:dyDescent="0.35">
      <c r="F34" s="64" t="s">
        <v>14</v>
      </c>
      <c r="G34" s="65"/>
      <c r="H34" s="14">
        <v>0</v>
      </c>
    </row>
    <row r="35" spans="6:8" ht="35.1" customHeight="1" thickBot="1" x14ac:dyDescent="0.35">
      <c r="F35" s="62" t="s">
        <v>15</v>
      </c>
      <c r="G35" s="63"/>
      <c r="H35" s="15">
        <f>Q29</f>
        <v>0.64000000013038516</v>
      </c>
    </row>
    <row r="36" spans="6:8" ht="35.1" customHeight="1" thickBot="1" x14ac:dyDescent="0.35">
      <c r="F36" s="62" t="s">
        <v>20</v>
      </c>
      <c r="G36" s="63"/>
      <c r="H36" s="15">
        <f>M27-O25-O20-O17-O12-O9</f>
        <v>0</v>
      </c>
    </row>
  </sheetData>
  <mergeCells count="6">
    <mergeCell ref="F36:G36"/>
    <mergeCell ref="F33:G33"/>
    <mergeCell ref="F34:G34"/>
    <mergeCell ref="F35:G35"/>
    <mergeCell ref="F31:H31"/>
    <mergeCell ref="F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2025-05-29T11:00:35Z</dcterms:modified>
</cp:coreProperties>
</file>