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Anish (1)\Anish\New folder\Shravya Construction\"/>
    </mc:Choice>
  </mc:AlternateContent>
  <xr:revisionPtr revIDLastSave="0" documentId="13_ncr:1_{C73D1812-5E3D-4C7F-B9E8-B6E9ADD2B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ement" sheetId="2" r:id="rId2"/>
    <sheet name="TMT" sheetId="3" r:id="rId3"/>
    <sheet name="Diesel" sheetId="4" r:id="rId4"/>
  </sheets>
  <definedNames>
    <definedName name="_xlnm.Print_Area" localSheetId="0">Sheet1!$A$1:$S$83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  <c r="H59" i="1" s="1"/>
  <c r="O59" i="1" s="1"/>
  <c r="E60" i="1" s="1"/>
  <c r="P60" i="1" s="1"/>
  <c r="G70" i="1"/>
  <c r="K70" i="1" s="1"/>
  <c r="J70" i="1" l="1"/>
  <c r="I59" i="1"/>
  <c r="J59" i="1"/>
  <c r="K59" i="1"/>
  <c r="H70" i="1"/>
  <c r="O70" i="1" s="1"/>
  <c r="E71" i="1" s="1"/>
  <c r="P71" i="1" s="1"/>
  <c r="G65" i="1"/>
  <c r="K65" i="1" s="1"/>
  <c r="Q64" i="1"/>
  <c r="G23" i="1"/>
  <c r="J23" i="1" s="1"/>
  <c r="G35" i="1"/>
  <c r="G34" i="1"/>
  <c r="G68" i="1"/>
  <c r="H68" i="1" s="1"/>
  <c r="O68" i="1" s="1"/>
  <c r="Q67" i="1"/>
  <c r="E69" i="1" l="1"/>
  <c r="P69" i="1" s="1"/>
  <c r="P59" i="1"/>
  <c r="I70" i="1"/>
  <c r="P70" i="1" s="1"/>
  <c r="H65" i="1"/>
  <c r="O65" i="1" s="1"/>
  <c r="E66" i="1" s="1"/>
  <c r="P66" i="1" s="1"/>
  <c r="J65" i="1"/>
  <c r="K23" i="1"/>
  <c r="L23" i="1"/>
  <c r="H23" i="1"/>
  <c r="O23" i="1" s="1"/>
  <c r="E24" i="1" s="1"/>
  <c r="P24" i="1" s="1"/>
  <c r="H35" i="1"/>
  <c r="O35" i="1" s="1"/>
  <c r="K35" i="1"/>
  <c r="J35" i="1"/>
  <c r="H34" i="1"/>
  <c r="O34" i="1" s="1"/>
  <c r="K34" i="1"/>
  <c r="J34" i="1"/>
  <c r="I68" i="1"/>
  <c r="K68" i="1"/>
  <c r="J68" i="1"/>
  <c r="G22" i="1"/>
  <c r="J22" i="1" s="1"/>
  <c r="E33" i="1"/>
  <c r="P33" i="1" s="1"/>
  <c r="G53" i="1"/>
  <c r="J53" i="1" s="1"/>
  <c r="E36" i="1" l="1"/>
  <c r="P36" i="1" s="1"/>
  <c r="I23" i="1"/>
  <c r="P23" i="1" s="1"/>
  <c r="I65" i="1"/>
  <c r="P65" i="1" s="1"/>
  <c r="I35" i="1"/>
  <c r="P35" i="1" s="1"/>
  <c r="I34" i="1"/>
  <c r="P34" i="1" s="1"/>
  <c r="P68" i="1"/>
  <c r="K22" i="1"/>
  <c r="H22" i="1"/>
  <c r="O22" i="1" s="1"/>
  <c r="L22" i="1"/>
  <c r="K53" i="1"/>
  <c r="H53" i="1"/>
  <c r="O53" i="1" s="1"/>
  <c r="I22" i="1" l="1"/>
  <c r="P22" i="1" s="1"/>
  <c r="I53" i="1"/>
  <c r="P53" i="1" s="1"/>
  <c r="G58" i="1"/>
  <c r="G62" i="1"/>
  <c r="J62" i="1" s="1"/>
  <c r="Q61" i="1"/>
  <c r="G40" i="1"/>
  <c r="Q55" i="1"/>
  <c r="G56" i="1"/>
  <c r="K56" i="1" s="1"/>
  <c r="K58" i="1" l="1"/>
  <c r="J58" i="1"/>
  <c r="H58" i="1"/>
  <c r="O58" i="1" s="1"/>
  <c r="K62" i="1"/>
  <c r="H62" i="1"/>
  <c r="O62" i="1" s="1"/>
  <c r="E63" i="1" s="1"/>
  <c r="P63" i="1" s="1"/>
  <c r="K40" i="1"/>
  <c r="J40" i="1"/>
  <c r="H40" i="1"/>
  <c r="O40" i="1" s="1"/>
  <c r="E41" i="1" s="1"/>
  <c r="P41" i="1" s="1"/>
  <c r="J56" i="1"/>
  <c r="H56" i="1"/>
  <c r="O56" i="1" s="1"/>
  <c r="E57" i="1" s="1"/>
  <c r="P57" i="1" s="1"/>
  <c r="G51" i="1"/>
  <c r="K51" i="1" s="1"/>
  <c r="I58" i="1" l="1"/>
  <c r="P58" i="1" s="1"/>
  <c r="I62" i="1"/>
  <c r="P62" i="1" s="1"/>
  <c r="I40" i="1"/>
  <c r="P40" i="1" s="1"/>
  <c r="I56" i="1"/>
  <c r="P56" i="1" s="1"/>
  <c r="H51" i="1"/>
  <c r="O51" i="1" s="1"/>
  <c r="E52" i="1" s="1"/>
  <c r="P52" i="1" s="1"/>
  <c r="J51" i="1"/>
  <c r="I51" i="1" l="1"/>
  <c r="P51" i="1" s="1"/>
  <c r="G14" i="1"/>
  <c r="L14" i="1" s="1"/>
  <c r="H14" i="1" l="1"/>
  <c r="O14" i="1" s="1"/>
  <c r="J14" i="1"/>
  <c r="K14" i="1"/>
  <c r="G49" i="1"/>
  <c r="I14" i="1" l="1"/>
  <c r="P14" i="1" s="1"/>
  <c r="E15" i="1"/>
  <c r="P15" i="1" s="1"/>
  <c r="K49" i="1"/>
  <c r="H49" i="1"/>
  <c r="O49" i="1" s="1"/>
  <c r="E50" i="1" s="1"/>
  <c r="P50" i="1" s="1"/>
  <c r="J49" i="1"/>
  <c r="G12" i="1"/>
  <c r="J12" i="1" s="1"/>
  <c r="G47" i="1"/>
  <c r="E31" i="1"/>
  <c r="G31" i="1" s="1"/>
  <c r="I49" i="1" l="1"/>
  <c r="P49" i="1" s="1"/>
  <c r="K12" i="1"/>
  <c r="H12" i="1"/>
  <c r="O12" i="1" s="1"/>
  <c r="E13" i="1" s="1"/>
  <c r="P13" i="1" s="1"/>
  <c r="L12" i="1"/>
  <c r="J47" i="1"/>
  <c r="K47" i="1"/>
  <c r="H47" i="1"/>
  <c r="H31" i="1"/>
  <c r="O31" i="1" s="1"/>
  <c r="E32" i="1" s="1"/>
  <c r="P32" i="1" s="1"/>
  <c r="K31" i="1"/>
  <c r="J31" i="1"/>
  <c r="G45" i="1"/>
  <c r="O47" i="1" l="1"/>
  <c r="E48" i="1"/>
  <c r="P48" i="1" s="1"/>
  <c r="I12" i="1"/>
  <c r="P12" i="1" s="1"/>
  <c r="I47" i="1"/>
  <c r="I31" i="1"/>
  <c r="P31" i="1" s="1"/>
  <c r="H45" i="1"/>
  <c r="K45" i="1"/>
  <c r="J45" i="1"/>
  <c r="P47" i="1" l="1"/>
  <c r="O45" i="1"/>
  <c r="E46" i="1"/>
  <c r="P46" i="1" s="1"/>
  <c r="I45" i="1"/>
  <c r="P45" i="1" l="1"/>
  <c r="Q42" i="1"/>
  <c r="E43" i="1"/>
  <c r="G43" i="1" s="1"/>
  <c r="K43" i="1" s="1"/>
  <c r="E29" i="1"/>
  <c r="G29" i="1" s="1"/>
  <c r="K29" i="1" s="1"/>
  <c r="H43" i="1" l="1"/>
  <c r="O43" i="1" s="1"/>
  <c r="E44" i="1" s="1"/>
  <c r="P44" i="1" s="1"/>
  <c r="J43" i="1"/>
  <c r="H29" i="1"/>
  <c r="O29" i="1" s="1"/>
  <c r="J29" i="1"/>
  <c r="G9" i="1"/>
  <c r="H9" i="1" s="1"/>
  <c r="O9" i="1" s="1"/>
  <c r="E11" i="1" s="1"/>
  <c r="P11" i="1" s="1"/>
  <c r="Q37" i="1"/>
  <c r="Q25" i="1"/>
  <c r="I43" i="1" l="1"/>
  <c r="P43" i="1" s="1"/>
  <c r="I29" i="1"/>
  <c r="P29" i="1" s="1"/>
  <c r="L9" i="1"/>
  <c r="K9" i="1"/>
  <c r="J9" i="1"/>
  <c r="I9" i="1"/>
  <c r="G27" i="1"/>
  <c r="P9" i="1" l="1"/>
  <c r="J27" i="1"/>
  <c r="K27" i="1"/>
  <c r="H27" i="1"/>
  <c r="O27" i="1" s="1"/>
  <c r="E30" i="1" s="1"/>
  <c r="P30" i="1" s="1"/>
  <c r="I27" i="1" l="1"/>
  <c r="P27" i="1" s="1"/>
  <c r="Q17" i="1" l="1"/>
  <c r="Q7" i="1"/>
  <c r="G38" i="1"/>
  <c r="J38" i="1" s="1"/>
  <c r="K38" i="1" l="1"/>
  <c r="H38" i="1"/>
  <c r="O38" i="1" s="1"/>
  <c r="E39" i="1" s="1"/>
  <c r="P39" i="1" s="1"/>
  <c r="G19" i="1"/>
  <c r="Q20" i="3"/>
  <c r="R20" i="3" s="1"/>
  <c r="P20" i="3"/>
  <c r="Q19" i="3"/>
  <c r="R19" i="3" s="1"/>
  <c r="P19" i="3"/>
  <c r="Q18" i="3"/>
  <c r="R18" i="3" s="1"/>
  <c r="P18" i="3"/>
  <c r="Q17" i="3"/>
  <c r="R17" i="3" s="1"/>
  <c r="P17" i="3"/>
  <c r="Q16" i="3"/>
  <c r="R16" i="3" s="1"/>
  <c r="P16" i="3"/>
  <c r="Q15" i="3"/>
  <c r="R15" i="3" s="1"/>
  <c r="P15" i="3"/>
  <c r="Q14" i="3"/>
  <c r="R14" i="3" s="1"/>
  <c r="P14" i="3"/>
  <c r="Q13" i="3"/>
  <c r="R13" i="3" s="1"/>
  <c r="P13" i="3"/>
  <c r="Q12" i="3"/>
  <c r="R12" i="3" s="1"/>
  <c r="P12" i="3"/>
  <c r="Q11" i="3"/>
  <c r="R11" i="3" s="1"/>
  <c r="P11" i="3"/>
  <c r="Q10" i="3"/>
  <c r="R10" i="3" s="1"/>
  <c r="P10" i="3"/>
  <c r="Q9" i="3"/>
  <c r="R9" i="3" s="1"/>
  <c r="P9" i="3"/>
  <c r="Q8" i="3"/>
  <c r="R8" i="3" s="1"/>
  <c r="P8" i="3"/>
  <c r="Q7" i="3"/>
  <c r="R7" i="3" s="1"/>
  <c r="P7" i="3"/>
  <c r="Q6" i="3"/>
  <c r="R6" i="3" s="1"/>
  <c r="P6" i="3"/>
  <c r="Q5" i="3"/>
  <c r="R5" i="3" s="1"/>
  <c r="P5" i="3"/>
  <c r="Q4" i="3"/>
  <c r="R4" i="3" s="1"/>
  <c r="P4" i="3"/>
  <c r="Q3" i="3"/>
  <c r="R3" i="3" s="1"/>
  <c r="P3" i="3"/>
  <c r="Q2" i="3"/>
  <c r="R2" i="3" s="1"/>
  <c r="P2" i="3"/>
  <c r="F6" i="2"/>
  <c r="F5" i="2"/>
  <c r="F4" i="2"/>
  <c r="F3" i="2"/>
  <c r="F2" i="2"/>
  <c r="G26" i="1"/>
  <c r="M26" i="1" s="1"/>
  <c r="E18" i="1"/>
  <c r="G18" i="1" s="1"/>
  <c r="I38" i="1" l="1"/>
  <c r="P38" i="1" s="1"/>
  <c r="K19" i="1"/>
  <c r="M19" i="1"/>
  <c r="H19" i="1"/>
  <c r="O19" i="1" s="1"/>
  <c r="E21" i="1" s="1"/>
  <c r="P21" i="1" s="1"/>
  <c r="J19" i="1"/>
  <c r="L19" i="1"/>
  <c r="I5" i="2"/>
  <c r="J5" i="2" s="1"/>
  <c r="H3" i="2"/>
  <c r="H5" i="2"/>
  <c r="I3" i="2"/>
  <c r="J3" i="2" s="1"/>
  <c r="H2" i="2"/>
  <c r="H4" i="2"/>
  <c r="H6" i="2"/>
  <c r="I2" i="2"/>
  <c r="J2" i="2" s="1"/>
  <c r="I4" i="2"/>
  <c r="J4" i="2" s="1"/>
  <c r="I6" i="2"/>
  <c r="J6" i="2" s="1"/>
  <c r="H26" i="1"/>
  <c r="O26" i="1" s="1"/>
  <c r="E28" i="1" s="1"/>
  <c r="P28" i="1" s="1"/>
  <c r="J26" i="1"/>
  <c r="K26" i="1"/>
  <c r="H18" i="1"/>
  <c r="O18" i="1" s="1"/>
  <c r="E20" i="1" s="1"/>
  <c r="P20" i="1" s="1"/>
  <c r="J18" i="1"/>
  <c r="L18" i="1"/>
  <c r="K18" i="1"/>
  <c r="I19" i="1" l="1"/>
  <c r="P19" i="1" s="1"/>
  <c r="I26" i="1"/>
  <c r="P26" i="1" s="1"/>
  <c r="I18" i="1"/>
  <c r="P18" i="1" s="1"/>
  <c r="E8" i="1" l="1"/>
  <c r="G8" i="1" l="1"/>
  <c r="L8" i="1" l="1"/>
  <c r="H8" i="1"/>
  <c r="J8" i="1"/>
  <c r="K8" i="1"/>
  <c r="O8" i="1" l="1"/>
  <c r="I8" i="1"/>
  <c r="E10" i="1" l="1"/>
  <c r="P10" i="1" s="1"/>
  <c r="P8" i="1"/>
</calcChain>
</file>

<file path=xl/sharedStrings.xml><?xml version="1.0" encoding="utf-8"?>
<sst xmlns="http://schemas.openxmlformats.org/spreadsheetml/2006/main" count="300" uniqueCount="132">
  <si>
    <t>Amount</t>
  </si>
  <si>
    <t>UTR</t>
  </si>
  <si>
    <t>OHT Construction work</t>
  </si>
  <si>
    <t>17-10-2023 NEFT/AXISP00435127442/RIUP23/2674/SHRAVYA CONSTRUCTI/HDFC0007465 98735.00</t>
  </si>
  <si>
    <t xml:space="preserve"> </t>
  </si>
  <si>
    <t>Date Of Issue</t>
  </si>
  <si>
    <t>Issue Slip No</t>
  </si>
  <si>
    <t>Name of Party</t>
  </si>
  <si>
    <t>QTY (BAG)</t>
  </si>
  <si>
    <t>IN TON</t>
  </si>
  <si>
    <t>RATE (PER TON)</t>
  </si>
  <si>
    <t>GST (28%)</t>
  </si>
  <si>
    <t>Amount (In Rs.)</t>
  </si>
  <si>
    <t xml:space="preserve">ISSUE FOR </t>
  </si>
  <si>
    <t>DEBIT NOTE NO.</t>
  </si>
  <si>
    <t>CONTRACTOR INVOICE DETAIL</t>
  </si>
  <si>
    <t>18.09.2023</t>
  </si>
  <si>
    <t>SHARVYA CONSTRUCTION</t>
  </si>
  <si>
    <t>Khanpur Village</t>
  </si>
  <si>
    <t>813/ 06.10.2023</t>
  </si>
  <si>
    <t>BILL KHANPUR 06.10.2023</t>
  </si>
  <si>
    <t>28.10.2023</t>
  </si>
  <si>
    <t>938/02.01.2024</t>
  </si>
  <si>
    <t>BILL KHANPUR 02.01.2023</t>
  </si>
  <si>
    <t>30.11.2023</t>
  </si>
  <si>
    <t>ALIPUR ATERNA</t>
  </si>
  <si>
    <t>937/ 02.01.2024</t>
  </si>
  <si>
    <t>BILL ALIPUR ATERNA 02.01.2023</t>
  </si>
  <si>
    <t>02.12.2023</t>
  </si>
  <si>
    <t>07.01.2024</t>
  </si>
  <si>
    <t xml:space="preserve">                                                            </t>
  </si>
  <si>
    <t>BILL NO/BILL DATE</t>
  </si>
  <si>
    <t>PURCHASE FROM</t>
  </si>
  <si>
    <t>8MM</t>
  </si>
  <si>
    <t>10MM</t>
  </si>
  <si>
    <t>12MM</t>
  </si>
  <si>
    <t>16MM</t>
  </si>
  <si>
    <t>20MM</t>
  </si>
  <si>
    <t>SIZE (IN MM)</t>
  </si>
  <si>
    <t>QTY (TON)</t>
  </si>
  <si>
    <t>GST (18%)</t>
  </si>
  <si>
    <t>ISSUE</t>
  </si>
  <si>
    <t>25.09.2023</t>
  </si>
  <si>
    <t>Jaitpur Village</t>
  </si>
  <si>
    <t>828/ 17.10.2023</t>
  </si>
  <si>
    <t>BILL JAITPUR 17.10.2023</t>
  </si>
  <si>
    <t>10.10.2023</t>
  </si>
  <si>
    <t>22.11.2023</t>
  </si>
  <si>
    <t>02-11-2023 NEFT/AXISP00439799497/RIUP23/2882/SHRAVYA CONSTRUCTI/HDFC0007465 143565.00</t>
  </si>
  <si>
    <t>Sharvya Construction</t>
  </si>
  <si>
    <t>12-01-2024 NEFT/AXISP00462196162/RIUP23/4154/SHRAVYA CONSTRUCTI/HDFC0007465 256725.00</t>
  </si>
  <si>
    <t>12-01-2024 NEFT/AXISP00462196161/RIUP23/4153/SHRAVYA CONSTRUCTI/HDFC0007465 331422.00</t>
  </si>
  <si>
    <t>05-02-2024 NEFT/AXISP00468222716/RIUP23/4571/SHRAVYA CONSTRUCTI/HDFC0007465 208680.00</t>
  </si>
  <si>
    <t>05-02-2024 NEFT/AXISP00468222717/RIUP23/4572/SHRAVYA CONSTRUCTI/HDFC0007465 361021.00</t>
  </si>
  <si>
    <t>15-03-2024 NEFT/AXISP00481260202/RIUP23/5116/SHRAVYA CONSTRUCTI/HDFC0007465 18907.00</t>
  </si>
  <si>
    <t>15-03-2024 NEFT/AXISP00481260192/RIMP23/5104/SHRAVYA CONSTRUCTI/HDFC0007465 270444.00</t>
  </si>
  <si>
    <t>15-03-2024 NEFT/AXISP00481260203/RIUP23/5117/SHRAVYA CONSTRUCTI/HDFC0007465 27491.00</t>
  </si>
  <si>
    <t>22-03-2024 NEFT/AXISP00483444828/RIUP23/5195/SHRAVYA CONSTRUCTI/HDFC0007465 85548.00</t>
  </si>
  <si>
    <t>08-04-2024 NEFT/AXISP00489561224/RIUP24/072/SHRAVYA CONSTRUCTI/HDFC0007465 267900.00</t>
  </si>
  <si>
    <t>6 &amp; 9</t>
  </si>
  <si>
    <t>24-04-2024 NEFT/AXISP00493457022/RIUP24/098/SHRAVYA CONSTRUCTI/HDFC0007465 374826.00</t>
  </si>
  <si>
    <t>22-03-2024 NEFT/AXISP00483444829/RIUP23/5196/SHRAVYA CONSTRUCTI/HDFC0007465 39960.00</t>
  </si>
  <si>
    <t>22-03-2024 NEFT/AXISP00483444827/RIUP23/5194/SHRAVYA CONSTRUCTI/HDFC0007465 71019.00</t>
  </si>
  <si>
    <t>24-05-2024 NEFT/AXISP00502611883/RIUP24/0510/SHRAVYA CONSTRUCTI/HDFC0007465 120432.00</t>
  </si>
  <si>
    <t>29-05-2024 NEFT/AXISP00503586476/RIUP24/0509/SHRAVYA CONSTRUCTI/HDFC0007465 71775.00</t>
  </si>
  <si>
    <t>29-05-2024 NEFT/AXISP00503586480/RIUP24/0637/SHRAVYA CONSTRUCTI/HDFC0007465 831900.00</t>
  </si>
  <si>
    <t>29-06-2024 NEFT/AXISP00512933446/RIUP24/0881/SHRAVYA CONSTRUCTI/HDFC0007465 159300.00</t>
  </si>
  <si>
    <t>16-07-2024 NEFT/AXISP00519021662/RIUP24/1076/SHRAVYA CONSTRUCTI/HDFC0007465 401850.00</t>
  </si>
  <si>
    <t>25-07-2024 NEFT/AXISP00521352648/RIUP24/0969/SHRAVYA CONSTRUCTI/HDFC0007465 277300.00</t>
  </si>
  <si>
    <t>31-07-2024 NEFT/AXISP00522549611/RIUP24/1283/SHRAVYA CONSTRUCTI/HDFC0007465 53100.00</t>
  </si>
  <si>
    <t>31-07-2024 NEFT/AXISP00522549609/RIUP24/0508/SHRAVYA CONSTRUCTI/HDFC0007465 51787.00</t>
  </si>
  <si>
    <t>31-07-2024 NEFT/AXISP00522549610/RIUP24/1282/SHRAVYA CONSTRUCTI/HDFC0007465 35280.00</t>
  </si>
  <si>
    <t>25-07-2024 NEFT/AXISP00521352649/RIUP24/0968/SHRAVYA CONSTRUCTI/HDFC0007465 184240.00</t>
  </si>
  <si>
    <t>Staircase Hold amount</t>
  </si>
  <si>
    <t>13-09-2024 NEFT/AXISP00540477805/RIUP24/1775/SHRAVYA CONSTRUCTI/HDFC0007465 215950.00</t>
  </si>
  <si>
    <t>20-08-2024 NEFT/AXISP00530112333/RIUP24/1501/SHRAVYA CONSTRUCTI/HDFC0007465 142500.00</t>
  </si>
  <si>
    <t>18-10-2024 NEFT/AXISP00555372144/RIUP24/1957/SHRAVYA CONSTRUCTI/HDFC0007465 76950.00</t>
  </si>
  <si>
    <t>18-10-2024 NEFT/AXISP00555372151/RIUP24/1865/SHRAVYA CONSTRUCTI/HDFC0007465 294547.00</t>
  </si>
  <si>
    <t>OHT 175KL 16 MTR  GARHMALPUR , BLOCK - BUDHANA</t>
  </si>
  <si>
    <t>25-10-2024 NEFT/AXISP00558734994/RIUP24/2306/SHRAVYA CONSTRUCTI/HDFC0007465 138650.00</t>
  </si>
  <si>
    <t>30-10-2024 NEFT/AXISP00561828561/RIUPP24/2323/SHRAVYA CONSTRUCTI/HDFC0007465 183483.00</t>
  </si>
  <si>
    <t>30-10-2024 NEFT/AXISP00561828559/RIUPP24/2300/SHRAVYA CONSTRUCTI/HDFC0007465 205586.00</t>
  </si>
  <si>
    <t>30-10-2024 NEFT/AXISP00561828562/RIUPP24/2337/SHRAVYA CONSTRUCTI/HDFC0007465 113646.00</t>
  </si>
  <si>
    <t>05-12-2024 NEFT/AXISP00580260836/RIUP24/2558/SHRAVYA CONSTRUCTI/HDFC0007465 26550.00</t>
  </si>
  <si>
    <t>05-12-2024 NEFT/AXISP00580260813/RIUP24/2297/SHRAVYA CONSTRUCTI/HDFC0007465 56402.00</t>
  </si>
  <si>
    <t>09-12-2024 NEFT/AXISP00582174951/RIUP24/2556/SHRAVYA CONSTRUCTI/HDFC0007465 ₹ 35,135.00</t>
  </si>
  <si>
    <t>09-12-2024 NEFT/AXISP00582174966/RIUP24/2559/SHRAVYA CONSTRUCTI/HDFC0007465 ₹ 39,367.00</t>
  </si>
  <si>
    <t>09-12-2024 NEFT/AXISP00582174967/RIUP24/2557/SHRAVYA CONSTRUCTI/HDFC0007465 ₹ 21,762.00</t>
  </si>
  <si>
    <t>26-12-2024 NEFT/AXISP00588871324/RIUP24/2652/SHRAVYA CONSTRUCTI/HDFC0007465 400000.00</t>
  </si>
  <si>
    <t>Hold Release amount</t>
  </si>
  <si>
    <t>04-09-2024 NEFT/AXISP00535970660/RIUP24/1464/SHRAVYA CONSTRUCTI/HDFC0007465 ₹ 2,00,000.00</t>
  </si>
  <si>
    <t>21-02-2025 NEFT/AXISP00620398516/RIUP24/2994/SHRAVYA CONSTRUCTI/HDFC0007465 71596.00</t>
  </si>
  <si>
    <t>24-02-2025 NEFT/AXISP00621171381/RIUP24/3229/SHRAVYA CONSTRUCTI/HDFC0007465 301503.00</t>
  </si>
  <si>
    <t>12-03-2025 NEFT/AXISP00632185547/RIUP24/3408/SHRAVYA CONSTRUCTI/HDFC0007465 304418.00</t>
  </si>
  <si>
    <t>12-03-2025 NEFT/AXISP00632185546/RIUP24/3407/SHRAVYA CONSTRUCTI/HDFC0007465 236174.00</t>
  </si>
  <si>
    <t>12-03-2025 NEFT/AXISP00632194504/RIUP24/2999/SHRAVYA CONSTRUCTI/HDFC0007465 14702.00</t>
  </si>
  <si>
    <t>05-04-2025 NEFT/AXISP00647017260/RIUP25/0025/SHRAVYA CONSTRUCTI/HDFC0007465 6079.00</t>
  </si>
  <si>
    <t>05-04-2025 NEFT/AXISP00647017259/RIUP24/1867/SHRAVYA CONSTRUCTI/HDFC0007465 79650.00</t>
  </si>
  <si>
    <t>27 &amp; 31</t>
  </si>
  <si>
    <t>16-05-2025 NEFT/AXISP00666690348/RIUP25/0271/SHRAVYA CONSTRUCTI/HDFC0007465 50000.00</t>
  </si>
  <si>
    <t>16-05-2025 NEFT/AXISP00666690347/RIUP25/0270/SHRAVYA CONSTRUCTI/HDFC0007465 200000.00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</si>
  <si>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</si>
  <si>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</si>
  <si>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</si>
  <si>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</si>
  <si>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</si>
  <si>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</si>
  <si>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</si>
  <si>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</si>
  <si>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</si>
  <si>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</si>
  <si>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</si>
  <si>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</si>
  <si>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</si>
  <si>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</si>
  <si>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</si>
  <si>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</si>
  <si>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</si>
  <si>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</si>
  <si>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</si>
  <si>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</si>
  <si>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</si>
  <si>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Jaitpur Village OHT Construction  100Kl 12 mtr work</t>
  </si>
  <si>
    <t>Khanpur Village OHT Construction  300Kl 12 mtr work</t>
  </si>
  <si>
    <t>Alipur Aterna Village - OHT Work</t>
  </si>
  <si>
    <t>Alipur Aterna Village - PH Work</t>
  </si>
  <si>
    <t>Safipur Patti Village - OHT - 200 kl 14 m Work</t>
  </si>
  <si>
    <t>GST Release Note</t>
  </si>
  <si>
    <t xml:space="preserve">BLOCK BUDHANA Village BOUNDARY WALL ALIPUR ATERNA Work </t>
  </si>
  <si>
    <t xml:space="preserve"> AT   SAFIPUR PATTI VILLAGE  CONSTRUCTION OF BOUNDARY WALL  WORK</t>
  </si>
  <si>
    <t xml:space="preserve"> AT  GARHMALPUR , BLOCK - BUDHANA  VILLAGEPUMP HOUSE WORK</t>
  </si>
  <si>
    <t xml:space="preserve">AT  GARHMALPUR , BLOCK - BUDHANA VILLAGE PUMP HOUSE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</si>
</sst>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&quot;₹&quot;\ #,##0.00"/>
    <numFmt numFmtId="168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3" tint="0.39997558519241921"/>
      <name val="Comic Sans MS"/>
      <family val="4"/>
    </font>
    <font>
      <sz val="16"/>
      <color theme="1"/>
      <name val="Comic Sans MS"/>
      <family val="4"/>
    </font>
    <font>
      <sz val="12"/>
      <color theme="1"/>
      <name val="Comic Sans MS"/>
      <family val="4"/>
    </font>
    <font>
      <b/>
      <sz val="12"/>
      <color theme="1"/>
      <name val="Comic Sans MS"/>
      <family val="4"/>
    </font>
    <font>
      <sz val="12"/>
      <color rgb="FFFF0000"/>
      <name val="Comic Sans MS"/>
      <family val="4"/>
    </font>
    <font>
      <sz val="12"/>
      <name val="Comic Sans MS"/>
      <family val="4"/>
    </font>
    <font>
      <b/>
      <sz val="12"/>
      <color rgb="FFFF0000"/>
      <name val="Comic Sans MS"/>
      <family val="4"/>
    </font>
    <font>
      <sz val="11"/>
      <color theme="1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43" fontId="4" fillId="5" borderId="4" xfId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5" fillId="6" borderId="3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64" fontId="6" fillId="2" borderId="0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vertical="center"/>
    </xf>
    <xf numFmtId="164" fontId="8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vertical="center"/>
    </xf>
    <xf numFmtId="164" fontId="9" fillId="2" borderId="19" xfId="1" applyNumberFormat="1" applyFont="1" applyFill="1" applyBorder="1" applyAlignment="1">
      <alignment vertical="center"/>
    </xf>
    <xf numFmtId="9" fontId="9" fillId="2" borderId="19" xfId="1" applyNumberFormat="1" applyFont="1" applyFill="1" applyBorder="1" applyAlignment="1">
      <alignment vertical="center"/>
    </xf>
    <xf numFmtId="0" fontId="10" fillId="2" borderId="19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164" fontId="9" fillId="6" borderId="21" xfId="1" applyNumberFormat="1" applyFont="1" applyFill="1" applyBorder="1" applyAlignment="1">
      <alignment vertical="center"/>
    </xf>
    <xf numFmtId="0" fontId="10" fillId="7" borderId="21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3" fillId="2" borderId="18" xfId="0" applyFont="1" applyFill="1" applyBorder="1" applyAlignment="1">
      <alignment vertical="center"/>
    </xf>
    <xf numFmtId="0" fontId="9" fillId="2" borderId="18" xfId="0" applyFont="1" applyFill="1" applyBorder="1" applyAlignment="1">
      <alignment horizontal="center" vertical="center"/>
    </xf>
    <xf numFmtId="164" fontId="9" fillId="2" borderId="18" xfId="1" applyNumberFormat="1" applyFont="1" applyFill="1" applyBorder="1" applyAlignment="1">
      <alignment vertical="center"/>
    </xf>
    <xf numFmtId="164" fontId="11" fillId="8" borderId="18" xfId="1" applyNumberFormat="1" applyFont="1" applyFill="1" applyBorder="1" applyAlignment="1">
      <alignment vertical="center"/>
    </xf>
    <xf numFmtId="0" fontId="10" fillId="2" borderId="18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vertical="center"/>
    </xf>
    <xf numFmtId="164" fontId="12" fillId="0" borderId="18" xfId="1" applyNumberFormat="1" applyFont="1" applyFill="1" applyBorder="1" applyAlignment="1">
      <alignment vertical="center"/>
    </xf>
    <xf numFmtId="164" fontId="11" fillId="0" borderId="18" xfId="1" applyNumberFormat="1" applyFont="1" applyFill="1" applyBorder="1" applyAlignment="1">
      <alignment vertical="center"/>
    </xf>
    <xf numFmtId="0" fontId="3" fillId="6" borderId="18" xfId="0" applyFont="1" applyFill="1" applyBorder="1" applyAlignment="1">
      <alignment vertical="center"/>
    </xf>
    <xf numFmtId="0" fontId="9" fillId="6" borderId="18" xfId="0" applyFont="1" applyFill="1" applyBorder="1" applyAlignment="1">
      <alignment horizontal="center" vertical="center"/>
    </xf>
    <xf numFmtId="164" fontId="9" fillId="6" borderId="18" xfId="1" applyNumberFormat="1" applyFont="1" applyFill="1" applyBorder="1" applyAlignment="1">
      <alignment vertical="center"/>
    </xf>
    <xf numFmtId="0" fontId="10" fillId="7" borderId="18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vertical="center"/>
    </xf>
    <xf numFmtId="0" fontId="13" fillId="2" borderId="18" xfId="0" applyFont="1" applyFill="1" applyBorder="1" applyAlignment="1">
      <alignment horizontal="center" vertical="center" wrapText="1"/>
    </xf>
    <xf numFmtId="164" fontId="9" fillId="2" borderId="20" xfId="1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164" fontId="10" fillId="2" borderId="17" xfId="1" applyNumberFormat="1" applyFont="1" applyFill="1" applyBorder="1" applyAlignment="1">
      <alignment vertical="center"/>
    </xf>
    <xf numFmtId="164" fontId="9" fillId="2" borderId="17" xfId="1" applyNumberFormat="1" applyFont="1" applyFill="1" applyBorder="1" applyAlignment="1">
      <alignment vertical="center"/>
    </xf>
    <xf numFmtId="164" fontId="10" fillId="2" borderId="18" xfId="1" applyNumberFormat="1" applyFont="1" applyFill="1" applyBorder="1" applyAlignment="1">
      <alignment vertical="center"/>
    </xf>
    <xf numFmtId="164" fontId="10" fillId="2" borderId="19" xfId="1" applyNumberFormat="1" applyFont="1" applyFill="1" applyBorder="1" applyAlignment="1">
      <alignment vertical="center"/>
    </xf>
    <xf numFmtId="164" fontId="10" fillId="2" borderId="0" xfId="1" applyNumberFormat="1" applyFont="1" applyFill="1" applyBorder="1" applyAlignment="1">
      <alignment vertical="center"/>
    </xf>
    <xf numFmtId="164" fontId="9" fillId="2" borderId="0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2" fontId="4" fillId="2" borderId="4" xfId="0" applyNumberFormat="1" applyFont="1" applyFill="1" applyBorder="1" applyAlignment="1">
      <alignment vertical="center"/>
    </xf>
    <xf numFmtId="166" fontId="3" fillId="2" borderId="13" xfId="0" applyNumberFormat="1" applyFont="1" applyFill="1" applyBorder="1" applyAlignment="1">
      <alignment vertical="center"/>
    </xf>
    <xf numFmtId="166" fontId="3" fillId="2" borderId="16" xfId="0" applyNumberFormat="1" applyFont="1" applyFill="1" applyBorder="1" applyAlignment="1">
      <alignment vertical="center"/>
    </xf>
    <xf numFmtId="0" fontId="14" fillId="2" borderId="18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164" fontId="14" fillId="2" borderId="18" xfId="1" applyNumberFormat="1" applyFont="1" applyFill="1" applyBorder="1" applyAlignment="1">
      <alignment vertical="center"/>
    </xf>
    <xf numFmtId="164" fontId="14" fillId="2" borderId="18" xfId="1" applyNumberFormat="1" applyFont="1" applyFill="1" applyBorder="1" applyAlignment="1">
      <alignment vertical="center" wrapText="1"/>
    </xf>
    <xf numFmtId="164" fontId="4" fillId="2" borderId="0" xfId="0" applyNumberFormat="1" applyFont="1" applyFill="1" applyAlignment="1">
      <alignment vertical="center"/>
    </xf>
    <xf numFmtId="0" fontId="4" fillId="0" borderId="20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15" fillId="9" borderId="17" xfId="0" applyFont="1" applyFill="1" applyBorder="1" applyAlignment="1">
      <alignment vertical="center"/>
    </xf>
    <xf numFmtId="0" fontId="15" fillId="9" borderId="17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64" fontId="3" fillId="2" borderId="10" xfId="2" applyFont="1" applyFill="1" applyBorder="1" applyAlignment="1">
      <alignment horizontal="center" vertical="center"/>
    </xf>
    <xf numFmtId="164" fontId="3" fillId="2" borderId="11" xfId="2" applyFont="1" applyFill="1" applyBorder="1" applyAlignment="1">
      <alignment horizontal="center" vertical="center"/>
    </xf>
    <xf numFmtId="164" fontId="3" fillId="2" borderId="12" xfId="2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68" fontId="6" fillId="2" borderId="0" xfId="0" applyNumberFormat="1" applyFont="1" applyFill="1" applyAlignment="1">
      <alignment vertical="center"/>
    </xf>
    <xf numFmtId="168" fontId="7" fillId="2" borderId="0" xfId="1" applyNumberFormat="1" applyFont="1" applyFill="1" applyBorder="1" applyAlignment="1">
      <alignment vertical="center"/>
    </xf>
    <xf numFmtId="168" fontId="15" fillId="9" borderId="17" xfId="0" applyNumberFormat="1" applyFont="1" applyFill="1" applyBorder="1" applyAlignment="1">
      <alignment horizontal="center" vertical="center"/>
    </xf>
    <xf numFmtId="168" fontId="9" fillId="2" borderId="19" xfId="1" applyNumberFormat="1" applyFont="1" applyFill="1" applyBorder="1" applyAlignment="1">
      <alignment vertical="center"/>
    </xf>
    <xf numFmtId="168" fontId="9" fillId="6" borderId="21" xfId="0" applyNumberFormat="1" applyFont="1" applyFill="1" applyBorder="1" applyAlignment="1">
      <alignment horizontal="center" vertical="center"/>
    </xf>
    <xf numFmtId="168" fontId="9" fillId="2" borderId="18" xfId="0" applyNumberFormat="1" applyFont="1" applyFill="1" applyBorder="1" applyAlignment="1">
      <alignment horizontal="center" vertical="center"/>
    </xf>
    <xf numFmtId="168" fontId="9" fillId="6" borderId="18" xfId="0" applyNumberFormat="1" applyFont="1" applyFill="1" applyBorder="1" applyAlignment="1">
      <alignment horizontal="center" vertical="center"/>
    </xf>
    <xf numFmtId="168" fontId="9" fillId="2" borderId="18" xfId="1" applyNumberFormat="1" applyFont="1" applyFill="1" applyBorder="1" applyAlignment="1">
      <alignment vertical="center"/>
    </xf>
    <xf numFmtId="168" fontId="9" fillId="2" borderId="17" xfId="1" applyNumberFormat="1" applyFont="1" applyFill="1" applyBorder="1" applyAlignment="1">
      <alignment vertical="center"/>
    </xf>
    <xf numFmtId="168" fontId="9" fillId="2" borderId="0" xfId="1" applyNumberFormat="1" applyFont="1" applyFill="1" applyBorder="1" applyAlignment="1">
      <alignment vertical="center"/>
    </xf>
    <xf numFmtId="168" fontId="4" fillId="2" borderId="0" xfId="0" applyNumberFormat="1" applyFont="1" applyFill="1" applyAlignment="1">
      <alignment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3"/>
  <sheetViews>
    <sheetView tabSelected="1" zoomScale="52" zoomScaleNormal="52" workbookViewId="0">
      <pane ySplit="5" topLeftCell="A6" activePane="bottomLeft" state="frozen"/>
      <selection pane="bottomLeft" activeCell="C78" sqref="C78"/>
    </sheetView>
  </sheetViews>
  <sheetFormatPr defaultColWidth="9" defaultRowHeight="15.6" x14ac:dyDescent="0.3"/>
  <cols>
    <col min="1" max="1" width="11" style="33" customWidth="1"/>
    <col min="2" max="2" width="61.88671875" style="34" customWidth="1"/>
    <col min="3" max="3" width="15.44140625" style="106" bestFit="1" customWidth="1"/>
    <col min="4" max="4" width="16.33203125" style="34" customWidth="1"/>
    <col min="5" max="5" width="16.33203125" style="34" bestFit="1" customWidth="1"/>
    <col min="6" max="6" width="21.33203125" style="34" bestFit="1" customWidth="1"/>
    <col min="7" max="7" width="20.44140625" style="34" bestFit="1" customWidth="1"/>
    <col min="8" max="8" width="21.33203125" style="35" bestFit="1" customWidth="1"/>
    <col min="9" max="9" width="16.88671875" style="35" customWidth="1"/>
    <col min="10" max="10" width="12.5546875" style="34" bestFit="1" customWidth="1"/>
    <col min="11" max="11" width="19.88671875" style="34" bestFit="1" customWidth="1"/>
    <col min="12" max="12" width="16" style="34" customWidth="1"/>
    <col min="13" max="13" width="16.33203125" style="34" customWidth="1"/>
    <col min="14" max="14" width="17.44140625" style="34" customWidth="1"/>
    <col min="15" max="16" width="21.33203125" style="34" bestFit="1" customWidth="1"/>
    <col min="17" max="17" width="10.44140625" style="34" bestFit="1" customWidth="1"/>
    <col min="18" max="18" width="21.88671875" style="34" bestFit="1" customWidth="1"/>
    <col min="19" max="19" width="101" style="34" bestFit="1" customWidth="1"/>
    <col min="20" max="16384" width="9" style="34"/>
  </cols>
  <sheetData>
    <row r="1" spans="1:63" ht="25.2" x14ac:dyDescent="0.3">
      <c r="A1" s="81" t="s">
        <v>101</v>
      </c>
      <c r="B1" s="31" t="s">
        <v>49</v>
      </c>
      <c r="C1" s="96"/>
      <c r="D1" s="28"/>
      <c r="E1" s="29"/>
      <c r="F1" s="29"/>
      <c r="G1" s="29"/>
      <c r="H1" s="30"/>
      <c r="I1" s="30"/>
    </row>
    <row r="2" spans="1:63" ht="21" x14ac:dyDescent="0.3">
      <c r="A2" s="81" t="s">
        <v>102</v>
      </c>
      <c r="B2" s="82" t="s">
        <v>105</v>
      </c>
      <c r="C2" s="96"/>
      <c r="D2" s="28"/>
      <c r="E2" s="29"/>
      <c r="F2" s="29"/>
      <c r="G2" s="29"/>
      <c r="H2" s="30"/>
      <c r="I2" s="30"/>
    </row>
    <row r="3" spans="1:63" ht="21" x14ac:dyDescent="0.3">
      <c r="A3" s="81" t="s">
        <v>103</v>
      </c>
      <c r="B3" s="82" t="s">
        <v>106</v>
      </c>
      <c r="C3" s="96"/>
      <c r="D3" s="28"/>
      <c r="E3" s="29"/>
      <c r="F3" s="29"/>
      <c r="G3" s="29"/>
      <c r="H3" s="30"/>
      <c r="I3" s="30"/>
    </row>
    <row r="4" spans="1:63" ht="25.8" thickBot="1" x14ac:dyDescent="0.35">
      <c r="A4" s="81" t="s">
        <v>104</v>
      </c>
      <c r="B4" s="82" t="s">
        <v>106</v>
      </c>
      <c r="C4" s="97"/>
      <c r="D4" s="31" t="s">
        <v>49</v>
      </c>
      <c r="E4" s="28"/>
      <c r="F4" s="28"/>
      <c r="G4" s="32"/>
      <c r="H4" s="30"/>
      <c r="I4" s="32" t="s">
        <v>2</v>
      </c>
      <c r="J4" s="36"/>
      <c r="K4" s="36"/>
      <c r="L4" s="36"/>
      <c r="M4" s="36"/>
      <c r="N4" s="36"/>
      <c r="O4" s="36"/>
      <c r="P4" s="36"/>
      <c r="Q4" s="36"/>
    </row>
    <row r="5" spans="1:63" ht="39.6" x14ac:dyDescent="0.3">
      <c r="A5" s="83" t="s">
        <v>107</v>
      </c>
      <c r="B5" s="84" t="s">
        <v>108</v>
      </c>
      <c r="C5" s="98" t="s">
        <v>109</v>
      </c>
      <c r="D5" s="85" t="s">
        <v>110</v>
      </c>
      <c r="E5" s="84" t="s">
        <v>111</v>
      </c>
      <c r="F5" s="84" t="s">
        <v>112</v>
      </c>
      <c r="G5" s="85" t="s">
        <v>113</v>
      </c>
      <c r="H5" s="86" t="s">
        <v>114</v>
      </c>
      <c r="I5" s="85" t="s">
        <v>0</v>
      </c>
      <c r="J5" s="84" t="s">
        <v>115</v>
      </c>
      <c r="K5" s="84" t="s">
        <v>116</v>
      </c>
      <c r="L5" s="84" t="s">
        <v>117</v>
      </c>
      <c r="M5" s="84" t="s">
        <v>118</v>
      </c>
      <c r="N5" s="37" t="s">
        <v>73</v>
      </c>
      <c r="O5" s="84" t="s">
        <v>119</v>
      </c>
      <c r="P5" s="84" t="s">
        <v>120</v>
      </c>
      <c r="Q5" s="37"/>
      <c r="R5" s="84" t="s">
        <v>121</v>
      </c>
      <c r="S5" s="37" t="s">
        <v>1</v>
      </c>
    </row>
    <row r="6" spans="1:63" ht="20.399999999999999" thickBot="1" x14ac:dyDescent="0.35">
      <c r="A6" s="38"/>
      <c r="B6" s="39"/>
      <c r="C6" s="99"/>
      <c r="D6" s="39"/>
      <c r="E6" s="39"/>
      <c r="F6" s="39"/>
      <c r="G6" s="39"/>
      <c r="H6" s="40">
        <v>0.18</v>
      </c>
      <c r="I6" s="39"/>
      <c r="J6" s="40">
        <v>0.01</v>
      </c>
      <c r="K6" s="40">
        <v>0.05</v>
      </c>
      <c r="L6" s="40">
        <v>0</v>
      </c>
      <c r="M6" s="40">
        <v>0.1</v>
      </c>
      <c r="N6" s="40"/>
      <c r="O6" s="40">
        <v>0.18</v>
      </c>
      <c r="P6" s="39"/>
      <c r="Q6" s="41"/>
      <c r="R6" s="39"/>
      <c r="S6" s="39"/>
    </row>
    <row r="7" spans="1:63" s="48" customFormat="1" ht="19.8" x14ac:dyDescent="0.3">
      <c r="A7" s="42"/>
      <c r="B7" s="43"/>
      <c r="C7" s="100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>
        <f>A8</f>
        <v>59449</v>
      </c>
      <c r="R7" s="45"/>
      <c r="S7" s="47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</row>
    <row r="8" spans="1:63" ht="19.8" x14ac:dyDescent="0.3">
      <c r="A8" s="49">
        <v>59449</v>
      </c>
      <c r="B8" s="75" t="s">
        <v>122</v>
      </c>
      <c r="C8" s="101">
        <v>45216</v>
      </c>
      <c r="D8" s="50">
        <v>2</v>
      </c>
      <c r="E8" s="51">
        <f>1960000*15%</f>
        <v>294000</v>
      </c>
      <c r="F8" s="51">
        <v>141272</v>
      </c>
      <c r="G8" s="51">
        <f>ROUND(E8-F8,)</f>
        <v>152728</v>
      </c>
      <c r="H8" s="51">
        <f>ROUND(G8*$H$6,0)</f>
        <v>27491</v>
      </c>
      <c r="I8" s="51">
        <f>G8+H8</f>
        <v>180219</v>
      </c>
      <c r="J8" s="51">
        <f>ROUND(G8*$J$6,)</f>
        <v>1527</v>
      </c>
      <c r="K8" s="51">
        <f>ROUND(G8*$K$6,)</f>
        <v>7636</v>
      </c>
      <c r="L8" s="51">
        <f>ROUND(G8*$L$6,)</f>
        <v>0</v>
      </c>
      <c r="M8" s="51">
        <v>0</v>
      </c>
      <c r="N8" s="51"/>
      <c r="O8" s="52">
        <f>H8</f>
        <v>27491</v>
      </c>
      <c r="P8" s="51">
        <f>ROUND(I8-SUM(J8:O8),0)</f>
        <v>143565</v>
      </c>
      <c r="Q8" s="53"/>
      <c r="R8" s="51">
        <v>143565</v>
      </c>
      <c r="S8" s="54" t="s">
        <v>48</v>
      </c>
    </row>
    <row r="9" spans="1:63" ht="19.8" x14ac:dyDescent="0.3">
      <c r="A9" s="49">
        <v>59449</v>
      </c>
      <c r="B9" s="75" t="s">
        <v>122</v>
      </c>
      <c r="C9" s="101">
        <v>45360</v>
      </c>
      <c r="D9" s="50">
        <v>7</v>
      </c>
      <c r="E9" s="51">
        <v>588000</v>
      </c>
      <c r="F9" s="51">
        <v>300294</v>
      </c>
      <c r="G9" s="51">
        <f>ROUND(E9-F9,)</f>
        <v>287706</v>
      </c>
      <c r="H9" s="51">
        <f>ROUND(G9*$H$6,0)</f>
        <v>51787</v>
      </c>
      <c r="I9" s="51">
        <f>G9+H9</f>
        <v>339493</v>
      </c>
      <c r="J9" s="51">
        <f>ROUND(G9*$J$6,)</f>
        <v>2877</v>
      </c>
      <c r="K9" s="51">
        <f>ROUND(G9*$K$6,)</f>
        <v>14385</v>
      </c>
      <c r="L9" s="51">
        <f>ROUND(G9*$L$6,)</f>
        <v>0</v>
      </c>
      <c r="M9" s="51"/>
      <c r="N9" s="51"/>
      <c r="O9" s="52">
        <f>H9</f>
        <v>51787</v>
      </c>
      <c r="P9" s="51">
        <f>ROUND(I9-SUM(J9:O9),0)</f>
        <v>270444</v>
      </c>
      <c r="Q9" s="53"/>
      <c r="R9" s="51">
        <v>270444</v>
      </c>
      <c r="S9" s="54" t="s">
        <v>55</v>
      </c>
    </row>
    <row r="10" spans="1:63" ht="19.8" x14ac:dyDescent="0.3">
      <c r="A10" s="49">
        <v>59449</v>
      </c>
      <c r="B10" s="82" t="s">
        <v>127</v>
      </c>
      <c r="C10" s="101"/>
      <c r="D10" s="50">
        <v>2</v>
      </c>
      <c r="E10" s="51">
        <f>O8</f>
        <v>27491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>
        <f>E10</f>
        <v>27491</v>
      </c>
      <c r="Q10" s="53"/>
      <c r="R10" s="51">
        <v>27491</v>
      </c>
      <c r="S10" s="54" t="s">
        <v>56</v>
      </c>
    </row>
    <row r="11" spans="1:63" ht="19.8" x14ac:dyDescent="0.3">
      <c r="A11" s="49">
        <v>59449</v>
      </c>
      <c r="B11" s="82" t="s">
        <v>127</v>
      </c>
      <c r="C11" s="101"/>
      <c r="D11" s="50">
        <v>7</v>
      </c>
      <c r="E11" s="51">
        <f>O9</f>
        <v>51787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2">
        <f>E11</f>
        <v>51787</v>
      </c>
      <c r="Q11" s="53"/>
      <c r="R11" s="51">
        <v>184240</v>
      </c>
      <c r="S11" s="54" t="s">
        <v>72</v>
      </c>
    </row>
    <row r="12" spans="1:63" ht="19.8" x14ac:dyDescent="0.3">
      <c r="A12" s="49">
        <v>59449</v>
      </c>
      <c r="B12" s="75" t="s">
        <v>122</v>
      </c>
      <c r="C12" s="101">
        <v>45461</v>
      </c>
      <c r="D12" s="50">
        <v>11</v>
      </c>
      <c r="E12" s="51">
        <v>196000</v>
      </c>
      <c r="F12" s="51">
        <v>0</v>
      </c>
      <c r="G12" s="51">
        <f>ROUND(E12-F12,)</f>
        <v>196000</v>
      </c>
      <c r="H12" s="51">
        <f>ROUND(G12*$H$6,0)</f>
        <v>35280</v>
      </c>
      <c r="I12" s="51">
        <f>G12+H12</f>
        <v>231280</v>
      </c>
      <c r="J12" s="51">
        <f>ROUND(G12*$J$6,)</f>
        <v>1960</v>
      </c>
      <c r="K12" s="51">
        <f>ROUND(G12*$K$6,)</f>
        <v>9800</v>
      </c>
      <c r="L12" s="51">
        <f>ROUND(G12*$L$6,)</f>
        <v>0</v>
      </c>
      <c r="M12" s="51"/>
      <c r="N12" s="51"/>
      <c r="O12" s="52">
        <f>H12</f>
        <v>35280</v>
      </c>
      <c r="P12" s="51">
        <f>ROUND(I12-SUM(J12:O12),0)</f>
        <v>184240</v>
      </c>
      <c r="Q12" s="53"/>
      <c r="R12" s="51">
        <v>51787</v>
      </c>
      <c r="S12" s="54" t="s">
        <v>70</v>
      </c>
    </row>
    <row r="13" spans="1:63" ht="19.8" x14ac:dyDescent="0.3">
      <c r="A13" s="49">
        <v>59449</v>
      </c>
      <c r="B13" s="82" t="s">
        <v>127</v>
      </c>
      <c r="C13" s="101"/>
      <c r="D13" s="50">
        <v>11</v>
      </c>
      <c r="E13" s="51">
        <f>O12</f>
        <v>35280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2">
        <f>E13</f>
        <v>35280</v>
      </c>
      <c r="Q13" s="53"/>
      <c r="R13" s="51">
        <v>35280</v>
      </c>
      <c r="S13" s="54" t="s">
        <v>71</v>
      </c>
    </row>
    <row r="14" spans="1:63" ht="19.8" x14ac:dyDescent="0.3">
      <c r="A14" s="49">
        <v>59449</v>
      </c>
      <c r="B14" s="75" t="s">
        <v>122</v>
      </c>
      <c r="C14" s="101">
        <v>45554</v>
      </c>
      <c r="D14" s="50">
        <v>15</v>
      </c>
      <c r="E14" s="51">
        <v>392000</v>
      </c>
      <c r="F14" s="51">
        <v>78653</v>
      </c>
      <c r="G14" s="51">
        <f>ROUND(E14-F14,)</f>
        <v>313347</v>
      </c>
      <c r="H14" s="51">
        <f>ROUND(G14*$H$6,0)</f>
        <v>56402</v>
      </c>
      <c r="I14" s="51">
        <f>G14+H14</f>
        <v>369749</v>
      </c>
      <c r="J14" s="51">
        <f>ROUND(G14*$J$6,)</f>
        <v>3133</v>
      </c>
      <c r="K14" s="51">
        <f>ROUND(G14*$K$6,)</f>
        <v>15667</v>
      </c>
      <c r="L14" s="51">
        <f>ROUND(G14*$L$6,)</f>
        <v>0</v>
      </c>
      <c r="M14" s="51"/>
      <c r="N14" s="51"/>
      <c r="O14" s="55">
        <f>H14</f>
        <v>56402</v>
      </c>
      <c r="P14" s="51">
        <f>ROUND(I14-SUM(J14:O14),0)</f>
        <v>294547</v>
      </c>
      <c r="Q14" s="53"/>
      <c r="R14" s="51">
        <v>294547</v>
      </c>
      <c r="S14" s="54" t="s">
        <v>77</v>
      </c>
    </row>
    <row r="15" spans="1:63" ht="19.8" x14ac:dyDescent="0.3">
      <c r="A15" s="49">
        <v>59449</v>
      </c>
      <c r="B15" s="82" t="s">
        <v>127</v>
      </c>
      <c r="C15" s="101"/>
      <c r="D15" s="50">
        <v>15</v>
      </c>
      <c r="E15" s="51">
        <f>O14</f>
        <v>56402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>
        <f>E15</f>
        <v>56402</v>
      </c>
      <c r="Q15" s="53"/>
      <c r="R15" s="51">
        <v>56402</v>
      </c>
      <c r="S15" s="54" t="s">
        <v>84</v>
      </c>
    </row>
    <row r="16" spans="1:63" ht="19.8" x14ac:dyDescent="0.3">
      <c r="A16" s="49"/>
      <c r="B16" s="75"/>
      <c r="C16" s="101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6"/>
      <c r="Q16" s="53"/>
      <c r="R16" s="51"/>
      <c r="S16" s="54"/>
    </row>
    <row r="17" spans="1:63" s="48" customFormat="1" ht="19.8" x14ac:dyDescent="0.3">
      <c r="A17" s="57"/>
      <c r="B17" s="76"/>
      <c r="C17" s="102"/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60">
        <f>A18</f>
        <v>59448</v>
      </c>
      <c r="R17" s="59"/>
      <c r="S17" s="61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</row>
    <row r="18" spans="1:63" ht="19.8" x14ac:dyDescent="0.3">
      <c r="A18" s="49">
        <v>59448</v>
      </c>
      <c r="B18" s="75" t="s">
        <v>123</v>
      </c>
      <c r="C18" s="101">
        <v>45209</v>
      </c>
      <c r="D18" s="50">
        <v>1</v>
      </c>
      <c r="E18" s="51">
        <f>2020000*15%</f>
        <v>303000</v>
      </c>
      <c r="F18" s="51">
        <v>197962.98</v>
      </c>
      <c r="G18" s="51">
        <f>ROUND(E18-F18,)</f>
        <v>105037</v>
      </c>
      <c r="H18" s="51">
        <f>ROUND(G18*$H$6,0)</f>
        <v>18907</v>
      </c>
      <c r="I18" s="51">
        <f>G18+H18</f>
        <v>123944</v>
      </c>
      <c r="J18" s="51">
        <f>ROUND(G18*$J$6,)</f>
        <v>1050</v>
      </c>
      <c r="K18" s="51">
        <f>ROUND(G18*$K$6,)</f>
        <v>5252</v>
      </c>
      <c r="L18" s="51">
        <f>ROUND(G18*$L$6,)</f>
        <v>0</v>
      </c>
      <c r="M18" s="51">
        <v>0</v>
      </c>
      <c r="N18" s="51"/>
      <c r="O18" s="52">
        <f>H18</f>
        <v>18907</v>
      </c>
      <c r="P18" s="51">
        <f>ROUND(I18-SUM(J18:O18),0)</f>
        <v>98735</v>
      </c>
      <c r="Q18" s="53"/>
      <c r="R18" s="51">
        <v>98735</v>
      </c>
      <c r="S18" s="54" t="s">
        <v>3</v>
      </c>
    </row>
    <row r="19" spans="1:63" ht="19.8" x14ac:dyDescent="0.3">
      <c r="A19" s="49">
        <v>59448</v>
      </c>
      <c r="B19" s="75" t="s">
        <v>123</v>
      </c>
      <c r="C19" s="101">
        <v>45297</v>
      </c>
      <c r="D19" s="50">
        <v>3</v>
      </c>
      <c r="E19" s="51">
        <v>606000</v>
      </c>
      <c r="F19" s="51">
        <v>211450.9</v>
      </c>
      <c r="G19" s="51">
        <f>ROUND(E19-F19,)</f>
        <v>394549</v>
      </c>
      <c r="H19" s="51">
        <f>ROUND(G19*$H$6,0)</f>
        <v>71019</v>
      </c>
      <c r="I19" s="51">
        <f>G19+H19</f>
        <v>465568</v>
      </c>
      <c r="J19" s="51">
        <f>ROUND(G19*$J$6,)</f>
        <v>3945</v>
      </c>
      <c r="K19" s="51">
        <f>ROUND(G19*$K$6,)</f>
        <v>19727</v>
      </c>
      <c r="L19" s="51">
        <f>ROUND(G19*$L$6,)</f>
        <v>0</v>
      </c>
      <c r="M19" s="51">
        <f>G19*10%</f>
        <v>39454.9</v>
      </c>
      <c r="N19" s="51"/>
      <c r="O19" s="52">
        <f>H19</f>
        <v>71019</v>
      </c>
      <c r="P19" s="51">
        <f>ROUND(I19-SUM(J19:O19),0)</f>
        <v>331422</v>
      </c>
      <c r="Q19" s="53"/>
      <c r="R19" s="51">
        <v>331422</v>
      </c>
      <c r="S19" s="54" t="s">
        <v>51</v>
      </c>
    </row>
    <row r="20" spans="1:63" ht="19.8" x14ac:dyDescent="0.3">
      <c r="A20" s="49">
        <v>59448</v>
      </c>
      <c r="B20" s="82" t="s">
        <v>127</v>
      </c>
      <c r="C20" s="103"/>
      <c r="D20" s="50">
        <v>1</v>
      </c>
      <c r="E20" s="51">
        <f>O18</f>
        <v>18907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2">
        <f>E20</f>
        <v>18907</v>
      </c>
      <c r="Q20" s="53"/>
      <c r="R20" s="51">
        <v>18907</v>
      </c>
      <c r="S20" s="54" t="s">
        <v>54</v>
      </c>
    </row>
    <row r="21" spans="1:63" ht="19.8" x14ac:dyDescent="0.3">
      <c r="A21" s="49">
        <v>59448</v>
      </c>
      <c r="B21" s="82" t="s">
        <v>127</v>
      </c>
      <c r="C21" s="103"/>
      <c r="D21" s="50">
        <v>3</v>
      </c>
      <c r="E21" s="51">
        <f>O19</f>
        <v>71019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>
        <f>E21</f>
        <v>71019</v>
      </c>
      <c r="Q21" s="53"/>
      <c r="R21" s="51">
        <v>71019</v>
      </c>
      <c r="S21" s="54" t="s">
        <v>62</v>
      </c>
    </row>
    <row r="22" spans="1:63" ht="19.8" x14ac:dyDescent="0.3">
      <c r="A22" s="49">
        <v>59448</v>
      </c>
      <c r="B22" s="75" t="s">
        <v>123</v>
      </c>
      <c r="C22" s="101">
        <v>45675</v>
      </c>
      <c r="D22" s="50">
        <v>26</v>
      </c>
      <c r="E22" s="51">
        <v>202000</v>
      </c>
      <c r="F22" s="51">
        <v>186360</v>
      </c>
      <c r="G22" s="51">
        <f>ROUND(E22-F22,)</f>
        <v>15640</v>
      </c>
      <c r="H22" s="51">
        <f>ROUND(G22*$H$6,0)</f>
        <v>2815</v>
      </c>
      <c r="I22" s="51">
        <f>G22+H22</f>
        <v>18455</v>
      </c>
      <c r="J22" s="51">
        <f>ROUND(G22*$J$6,)</f>
        <v>156</v>
      </c>
      <c r="K22" s="51">
        <f>ROUND(G22*$K$6,)</f>
        <v>782</v>
      </c>
      <c r="L22" s="51">
        <f>ROUND(G22*$L$6,)</f>
        <v>0</v>
      </c>
      <c r="M22" s="51">
        <v>0</v>
      </c>
      <c r="N22" s="51"/>
      <c r="O22" s="52">
        <f>H22</f>
        <v>2815</v>
      </c>
      <c r="P22" s="51">
        <f>ROUND(I22-SUM(J22:O22),0)</f>
        <v>14702</v>
      </c>
      <c r="Q22" s="62"/>
      <c r="R22" s="51">
        <v>236174</v>
      </c>
      <c r="S22" s="54" t="s">
        <v>94</v>
      </c>
    </row>
    <row r="23" spans="1:63" ht="19.8" x14ac:dyDescent="0.3">
      <c r="A23" s="49">
        <v>59448</v>
      </c>
      <c r="B23" s="75" t="s">
        <v>123</v>
      </c>
      <c r="C23" s="101">
        <v>45724</v>
      </c>
      <c r="D23" s="50">
        <v>30</v>
      </c>
      <c r="E23" s="51">
        <v>303000</v>
      </c>
      <c r="F23" s="51">
        <v>51750</v>
      </c>
      <c r="G23" s="51">
        <f>ROUND(E23-F23,)</f>
        <v>251250</v>
      </c>
      <c r="H23" s="51">
        <f>ROUND(G23*$H$6,0)</f>
        <v>45225</v>
      </c>
      <c r="I23" s="51">
        <f>G23+H23</f>
        <v>296475</v>
      </c>
      <c r="J23" s="51">
        <f>ROUND(G23*$J$6,)</f>
        <v>2513</v>
      </c>
      <c r="K23" s="51">
        <f>ROUND(G23*$K$6,)</f>
        <v>12563</v>
      </c>
      <c r="L23" s="51">
        <f>ROUND(G23*$L$6,)</f>
        <v>0</v>
      </c>
      <c r="M23" s="51">
        <v>0</v>
      </c>
      <c r="N23" s="51"/>
      <c r="O23" s="52">
        <f>H23</f>
        <v>45225</v>
      </c>
      <c r="P23" s="51">
        <f>ROUND(I23-SUM(J23:O23),0)</f>
        <v>236174</v>
      </c>
      <c r="Q23" s="62"/>
      <c r="R23" s="51">
        <v>14702</v>
      </c>
      <c r="S23" s="54" t="s">
        <v>95</v>
      </c>
    </row>
    <row r="24" spans="1:63" ht="19.8" x14ac:dyDescent="0.3">
      <c r="A24" s="49">
        <v>59448</v>
      </c>
      <c r="B24" s="82" t="s">
        <v>127</v>
      </c>
      <c r="C24" s="103"/>
      <c r="D24" s="50">
        <v>30</v>
      </c>
      <c r="E24" s="51">
        <f>O23</f>
        <v>45225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2">
        <f>E24</f>
        <v>45225</v>
      </c>
      <c r="Q24" s="62"/>
      <c r="R24" s="51"/>
      <c r="S24" s="54"/>
    </row>
    <row r="25" spans="1:63" s="48" customFormat="1" ht="19.8" x14ac:dyDescent="0.3">
      <c r="A25" s="57">
        <v>59447</v>
      </c>
      <c r="B25" s="76"/>
      <c r="C25" s="102"/>
      <c r="D25" s="58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60">
        <f>A25</f>
        <v>59447</v>
      </c>
      <c r="R25" s="59"/>
      <c r="S25" s="61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</row>
    <row r="26" spans="1:63" ht="19.8" x14ac:dyDescent="0.3">
      <c r="A26" s="57">
        <v>59447</v>
      </c>
      <c r="B26" s="77" t="s">
        <v>124</v>
      </c>
      <c r="C26" s="103">
        <v>45297</v>
      </c>
      <c r="D26" s="50">
        <v>4</v>
      </c>
      <c r="E26" s="51">
        <v>855000</v>
      </c>
      <c r="F26" s="51">
        <v>379732</v>
      </c>
      <c r="G26" s="51">
        <f>ROUND(E26-F26,)</f>
        <v>475268</v>
      </c>
      <c r="H26" s="51">
        <f>ROUND(G26*$H$6,0)</f>
        <v>85548</v>
      </c>
      <c r="I26" s="51">
        <f>G26+H26</f>
        <v>560816</v>
      </c>
      <c r="J26" s="51">
        <f>ROUND(G26*$J$6,)</f>
        <v>4753</v>
      </c>
      <c r="K26" s="51">
        <f>ROUND(G26*$K$6,)</f>
        <v>23763</v>
      </c>
      <c r="L26" s="51"/>
      <c r="M26" s="51">
        <f>G26*10%</f>
        <v>47526.8</v>
      </c>
      <c r="N26" s="51">
        <v>142500</v>
      </c>
      <c r="O26" s="52">
        <f>H26</f>
        <v>85548</v>
      </c>
      <c r="P26" s="51">
        <f>ROUND(I26-SUM(J26:O26),0)</f>
        <v>256725</v>
      </c>
      <c r="Q26" s="53"/>
      <c r="R26" s="51">
        <v>256725</v>
      </c>
      <c r="S26" s="54" t="s">
        <v>50</v>
      </c>
    </row>
    <row r="27" spans="1:63" ht="19.8" x14ac:dyDescent="0.3">
      <c r="A27" s="57">
        <v>59447</v>
      </c>
      <c r="B27" s="77" t="s">
        <v>124</v>
      </c>
      <c r="C27" s="103">
        <v>45327</v>
      </c>
      <c r="D27" s="50">
        <v>6</v>
      </c>
      <c r="E27" s="51">
        <v>427500</v>
      </c>
      <c r="F27" s="51">
        <v>43435</v>
      </c>
      <c r="G27" s="51">
        <f>ROUND(E27-F27,)</f>
        <v>384065</v>
      </c>
      <c r="H27" s="51">
        <f>ROUND(G27*$H$6,0)</f>
        <v>69132</v>
      </c>
      <c r="I27" s="51">
        <f>G27+H27</f>
        <v>453197</v>
      </c>
      <c r="J27" s="51">
        <f>ROUND(G27*$J$6,)</f>
        <v>3841</v>
      </c>
      <c r="K27" s="51">
        <f>ROUND(G27*$K$6,)</f>
        <v>19203</v>
      </c>
      <c r="L27" s="51"/>
      <c r="M27" s="51">
        <v>0</v>
      </c>
      <c r="N27" s="51">
        <v>0</v>
      </c>
      <c r="O27" s="52">
        <f>H27</f>
        <v>69132</v>
      </c>
      <c r="P27" s="51">
        <f>ROUND(I27-SUM(J27:O27),0)</f>
        <v>361021</v>
      </c>
      <c r="Q27" s="53"/>
      <c r="R27" s="51">
        <v>361021</v>
      </c>
      <c r="S27" s="54" t="s">
        <v>53</v>
      </c>
    </row>
    <row r="28" spans="1:63" ht="19.8" x14ac:dyDescent="0.3">
      <c r="A28" s="57">
        <v>59447</v>
      </c>
      <c r="B28" s="82" t="s">
        <v>127</v>
      </c>
      <c r="C28" s="103"/>
      <c r="D28" s="50">
        <v>4</v>
      </c>
      <c r="E28" s="51">
        <f>O26</f>
        <v>85548</v>
      </c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2">
        <f>E28</f>
        <v>85548</v>
      </c>
      <c r="Q28" s="53"/>
      <c r="R28" s="51">
        <v>85548</v>
      </c>
      <c r="S28" s="54" t="s">
        <v>57</v>
      </c>
    </row>
    <row r="29" spans="1:63" ht="19.8" x14ac:dyDescent="0.3">
      <c r="A29" s="57">
        <v>59447</v>
      </c>
      <c r="B29" s="77" t="s">
        <v>124</v>
      </c>
      <c r="C29" s="103">
        <v>45382</v>
      </c>
      <c r="D29" s="50">
        <v>9</v>
      </c>
      <c r="E29" s="51">
        <f>10%*A26</f>
        <v>5944.7000000000007</v>
      </c>
      <c r="F29" s="51"/>
      <c r="G29" s="51">
        <f>ROUND(E29-F29,)</f>
        <v>5945</v>
      </c>
      <c r="H29" s="51">
        <f>ROUND(G29*$H$6,0)</f>
        <v>1070</v>
      </c>
      <c r="I29" s="51">
        <f>G29+H29</f>
        <v>7015</v>
      </c>
      <c r="J29" s="51">
        <f>ROUND(G29*$J$6,)</f>
        <v>59</v>
      </c>
      <c r="K29" s="51">
        <f>ROUND(G29*$K$6,)</f>
        <v>297</v>
      </c>
      <c r="L29" s="51"/>
      <c r="M29" s="51">
        <v>0</v>
      </c>
      <c r="N29" s="51">
        <v>0</v>
      </c>
      <c r="O29" s="52">
        <f>H29</f>
        <v>1070</v>
      </c>
      <c r="P29" s="51">
        <f>ROUND(I29-SUM(J29:O29),0)</f>
        <v>5589</v>
      </c>
      <c r="Q29" s="53"/>
      <c r="R29" s="51">
        <v>267900</v>
      </c>
      <c r="S29" s="54" t="s">
        <v>58</v>
      </c>
    </row>
    <row r="30" spans="1:63" ht="19.8" x14ac:dyDescent="0.3">
      <c r="A30" s="57">
        <v>59447</v>
      </c>
      <c r="B30" s="82" t="s">
        <v>127</v>
      </c>
      <c r="C30" s="103"/>
      <c r="D30" s="50" t="s">
        <v>59</v>
      </c>
      <c r="E30" s="51">
        <f>O27+O29</f>
        <v>70202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2">
        <f>E30</f>
        <v>70202</v>
      </c>
      <c r="Q30" s="53"/>
      <c r="R30" s="51">
        <v>120432</v>
      </c>
      <c r="S30" s="54" t="s">
        <v>63</v>
      </c>
    </row>
    <row r="31" spans="1:63" ht="19.8" x14ac:dyDescent="0.3">
      <c r="A31" s="57">
        <v>59447</v>
      </c>
      <c r="B31" s="77" t="s">
        <v>124</v>
      </c>
      <c r="C31" s="103">
        <v>45479</v>
      </c>
      <c r="D31" s="50">
        <v>13</v>
      </c>
      <c r="E31" s="51">
        <f>15%*A26</f>
        <v>8917.0499999999993</v>
      </c>
      <c r="F31" s="51"/>
      <c r="G31" s="51">
        <f>ROUND(E31-F31,)</f>
        <v>8917</v>
      </c>
      <c r="H31" s="51">
        <f>ROUND(G31*$H$6,0)</f>
        <v>1605</v>
      </c>
      <c r="I31" s="51">
        <f>G31+H31</f>
        <v>10522</v>
      </c>
      <c r="J31" s="51">
        <f>ROUND(G31*$J$6,)</f>
        <v>89</v>
      </c>
      <c r="K31" s="51">
        <f>ROUND(G31*$K$6,)</f>
        <v>446</v>
      </c>
      <c r="L31" s="51"/>
      <c r="M31" s="51">
        <v>0</v>
      </c>
      <c r="N31" s="51">
        <v>0</v>
      </c>
      <c r="O31" s="52">
        <f>H31</f>
        <v>1605</v>
      </c>
      <c r="P31" s="51">
        <f>ROUND(I31-SUM(J31:O31),0)</f>
        <v>8382</v>
      </c>
      <c r="Q31" s="53"/>
      <c r="R31" s="51">
        <v>401850</v>
      </c>
      <c r="S31" s="54" t="s">
        <v>67</v>
      </c>
    </row>
    <row r="32" spans="1:63" ht="19.8" x14ac:dyDescent="0.3">
      <c r="A32" s="57">
        <v>59447</v>
      </c>
      <c r="B32" s="82" t="s">
        <v>127</v>
      </c>
      <c r="C32" s="103"/>
      <c r="D32" s="50">
        <v>13</v>
      </c>
      <c r="E32" s="51">
        <f>O31</f>
        <v>1605</v>
      </c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2">
        <f>E32</f>
        <v>1605</v>
      </c>
      <c r="Q32" s="53"/>
      <c r="R32" s="51">
        <v>142500</v>
      </c>
      <c r="S32" s="54" t="s">
        <v>75</v>
      </c>
    </row>
    <row r="33" spans="1:19" ht="19.8" x14ac:dyDescent="0.3">
      <c r="A33" s="57">
        <v>59447</v>
      </c>
      <c r="B33" s="77" t="s">
        <v>89</v>
      </c>
      <c r="C33" s="103"/>
      <c r="D33" s="50"/>
      <c r="E33" s="51">
        <f>N26</f>
        <v>142500</v>
      </c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2">
        <f>E33</f>
        <v>142500</v>
      </c>
      <c r="Q33" s="53"/>
      <c r="R33" s="51">
        <v>76950</v>
      </c>
      <c r="S33" s="54" t="s">
        <v>76</v>
      </c>
    </row>
    <row r="34" spans="1:19" ht="19.8" x14ac:dyDescent="0.3">
      <c r="A34" s="57">
        <v>59447</v>
      </c>
      <c r="B34" s="77" t="s">
        <v>124</v>
      </c>
      <c r="C34" s="103">
        <v>45719</v>
      </c>
      <c r="D34" s="50">
        <v>27</v>
      </c>
      <c r="E34" s="51">
        <v>142500</v>
      </c>
      <c r="F34" s="51">
        <v>101515</v>
      </c>
      <c r="G34" s="51">
        <f>ROUND(E34-F34,)</f>
        <v>40985</v>
      </c>
      <c r="H34" s="51">
        <f>ROUND(G34*$H$6,0)</f>
        <v>7377</v>
      </c>
      <c r="I34" s="51">
        <f>G34+H34</f>
        <v>48362</v>
      </c>
      <c r="J34" s="51">
        <f>ROUND(G34*$J$6,)</f>
        <v>410</v>
      </c>
      <c r="K34" s="51">
        <f>ROUND(G34*$K$6,)</f>
        <v>2049</v>
      </c>
      <c r="L34" s="51"/>
      <c r="M34" s="51">
        <v>0</v>
      </c>
      <c r="N34" s="51">
        <v>0</v>
      </c>
      <c r="O34" s="52">
        <f>H34</f>
        <v>7377</v>
      </c>
      <c r="P34" s="51">
        <f>ROUND(I34-SUM(J34:O34),0)</f>
        <v>38526</v>
      </c>
      <c r="Q34" s="53"/>
      <c r="R34" s="51"/>
      <c r="S34" s="54"/>
    </row>
    <row r="35" spans="1:19" ht="19.8" x14ac:dyDescent="0.3">
      <c r="A35" s="57">
        <v>59447</v>
      </c>
      <c r="B35" s="77" t="s">
        <v>124</v>
      </c>
      <c r="C35" s="103">
        <v>45726</v>
      </c>
      <c r="D35" s="50">
        <v>31</v>
      </c>
      <c r="E35" s="51">
        <v>370500</v>
      </c>
      <c r="F35" s="51">
        <v>218571</v>
      </c>
      <c r="G35" s="51">
        <f>ROUND(E35-F35,)</f>
        <v>151929</v>
      </c>
      <c r="H35" s="51">
        <f>ROUND(G35*$H$6,0)</f>
        <v>27347</v>
      </c>
      <c r="I35" s="51">
        <f>G35+H35</f>
        <v>179276</v>
      </c>
      <c r="J35" s="51">
        <f>ROUND(G35*$J$6,)</f>
        <v>1519</v>
      </c>
      <c r="K35" s="51">
        <f>ROUND(G35*$K$6,)</f>
        <v>7596</v>
      </c>
      <c r="L35" s="51"/>
      <c r="M35" s="51">
        <v>0</v>
      </c>
      <c r="N35" s="51">
        <v>0</v>
      </c>
      <c r="O35" s="52">
        <f>H35</f>
        <v>27347</v>
      </c>
      <c r="P35" s="51">
        <f>ROUND(I35-SUM(J35:O35),0)</f>
        <v>142814</v>
      </c>
      <c r="Q35" s="53"/>
      <c r="R35" s="51"/>
      <c r="S35" s="54"/>
    </row>
    <row r="36" spans="1:19" ht="19.8" x14ac:dyDescent="0.3">
      <c r="A36" s="57">
        <v>59447</v>
      </c>
      <c r="B36" s="82" t="s">
        <v>127</v>
      </c>
      <c r="C36" s="103"/>
      <c r="D36" s="50" t="s">
        <v>98</v>
      </c>
      <c r="E36" s="51">
        <f>O34+O35</f>
        <v>34724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2">
        <f>E36</f>
        <v>34724</v>
      </c>
      <c r="Q36" s="53"/>
      <c r="R36" s="51"/>
      <c r="S36" s="54"/>
    </row>
    <row r="37" spans="1:19" ht="19.8" x14ac:dyDescent="0.3">
      <c r="A37" s="57">
        <v>62017</v>
      </c>
      <c r="B37" s="76"/>
      <c r="C37" s="102"/>
      <c r="D37" s="58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60">
        <f>A37</f>
        <v>62017</v>
      </c>
      <c r="R37" s="59"/>
      <c r="S37" s="61"/>
    </row>
    <row r="38" spans="1:19" ht="19.8" x14ac:dyDescent="0.3">
      <c r="A38" s="57">
        <v>62017</v>
      </c>
      <c r="B38" s="77" t="s">
        <v>125</v>
      </c>
      <c r="C38" s="103">
        <v>45297</v>
      </c>
      <c r="D38" s="50">
        <v>5</v>
      </c>
      <c r="E38" s="51">
        <v>222000</v>
      </c>
      <c r="F38" s="51">
        <v>0</v>
      </c>
      <c r="G38" s="51">
        <f>ROUND(E38-F38,)</f>
        <v>222000</v>
      </c>
      <c r="H38" s="51">
        <f>ROUND(G38*$H$6,0)</f>
        <v>39960</v>
      </c>
      <c r="I38" s="51">
        <f>G38+H38</f>
        <v>261960</v>
      </c>
      <c r="J38" s="51">
        <f>ROUND(G38*$J$6,)</f>
        <v>2220</v>
      </c>
      <c r="K38" s="51">
        <f>ROUND(G38*$K$6,)</f>
        <v>11100</v>
      </c>
      <c r="L38" s="51"/>
      <c r="M38" s="51">
        <v>0</v>
      </c>
      <c r="N38" s="51">
        <v>0</v>
      </c>
      <c r="O38" s="52">
        <f>H38</f>
        <v>39960</v>
      </c>
      <c r="P38" s="51">
        <f>ROUND(I38-SUM(J38:O38),0)</f>
        <v>208680</v>
      </c>
      <c r="Q38" s="53"/>
      <c r="R38" s="51">
        <v>208680</v>
      </c>
      <c r="S38" s="54" t="s">
        <v>52</v>
      </c>
    </row>
    <row r="39" spans="1:19" ht="19.8" x14ac:dyDescent="0.3">
      <c r="A39" s="57">
        <v>62017</v>
      </c>
      <c r="B39" s="82" t="s">
        <v>127</v>
      </c>
      <c r="C39" s="103"/>
      <c r="D39" s="50">
        <v>5</v>
      </c>
      <c r="E39" s="51">
        <f>O38</f>
        <v>39960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2">
        <f>E39</f>
        <v>39960</v>
      </c>
      <c r="Q39" s="53"/>
      <c r="R39" s="51">
        <v>39960</v>
      </c>
      <c r="S39" s="54" t="s">
        <v>61</v>
      </c>
    </row>
    <row r="40" spans="1:19" ht="19.8" x14ac:dyDescent="0.3">
      <c r="A40" s="57">
        <v>62017</v>
      </c>
      <c r="B40" s="77" t="s">
        <v>125</v>
      </c>
      <c r="C40" s="103">
        <v>45568</v>
      </c>
      <c r="D40" s="50">
        <v>17</v>
      </c>
      <c r="E40" s="51">
        <v>120900</v>
      </c>
      <c r="F40" s="51"/>
      <c r="G40" s="51">
        <f>ROUND(E40-F40,)</f>
        <v>120900</v>
      </c>
      <c r="H40" s="51">
        <f>ROUND(G40*$H$6,0)</f>
        <v>21762</v>
      </c>
      <c r="I40" s="51">
        <f>G40+H40</f>
        <v>142662</v>
      </c>
      <c r="J40" s="51">
        <f>ROUND(G40*$J$6,)</f>
        <v>1209</v>
      </c>
      <c r="K40" s="51">
        <f>ROUND(G40*$K$6,)</f>
        <v>6045</v>
      </c>
      <c r="L40" s="51"/>
      <c r="M40" s="51">
        <v>0</v>
      </c>
      <c r="N40" s="51">
        <v>0</v>
      </c>
      <c r="O40" s="52">
        <f>H40</f>
        <v>21762</v>
      </c>
      <c r="P40" s="51">
        <f>ROUND(I40-SUM(J40:O40),0)</f>
        <v>113646</v>
      </c>
      <c r="Q40" s="53"/>
      <c r="R40" s="51">
        <v>113646</v>
      </c>
      <c r="S40" s="54" t="s">
        <v>82</v>
      </c>
    </row>
    <row r="41" spans="1:19" ht="19.8" x14ac:dyDescent="0.3">
      <c r="A41" s="57">
        <v>62017</v>
      </c>
      <c r="B41" s="77" t="s">
        <v>127</v>
      </c>
      <c r="C41" s="103"/>
      <c r="D41" s="50">
        <v>17</v>
      </c>
      <c r="E41" s="51">
        <f>O40</f>
        <v>21762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2">
        <f>E41</f>
        <v>21762</v>
      </c>
      <c r="Q41" s="53"/>
      <c r="R41" s="51">
        <v>21762</v>
      </c>
      <c r="S41" s="54" t="s">
        <v>87</v>
      </c>
    </row>
    <row r="42" spans="1:19" ht="19.8" x14ac:dyDescent="0.3">
      <c r="A42" s="57">
        <v>63121</v>
      </c>
      <c r="B42" s="76"/>
      <c r="C42" s="102"/>
      <c r="D42" s="58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0">
        <f>A42</f>
        <v>63121</v>
      </c>
      <c r="R42" s="59"/>
      <c r="S42" s="61"/>
    </row>
    <row r="43" spans="1:19" ht="19.8" x14ac:dyDescent="0.3">
      <c r="A43" s="57">
        <v>63121</v>
      </c>
      <c r="B43" s="77" t="s">
        <v>126</v>
      </c>
      <c r="C43" s="103">
        <v>45383</v>
      </c>
      <c r="D43" s="50">
        <v>8</v>
      </c>
      <c r="E43" s="51">
        <f>15%*A43</f>
        <v>9468.15</v>
      </c>
      <c r="F43" s="51">
        <v>43750.38</v>
      </c>
      <c r="G43" s="51">
        <f>ROUND(E43-F43,)</f>
        <v>-34282</v>
      </c>
      <c r="H43" s="51">
        <f>ROUND(G43*$H$6,0)</f>
        <v>-6171</v>
      </c>
      <c r="I43" s="51">
        <f>G43+H43</f>
        <v>-40453</v>
      </c>
      <c r="J43" s="51">
        <f>ROUND(G43*$J$6,)</f>
        <v>-343</v>
      </c>
      <c r="K43" s="51">
        <f>ROUND(G43*$K$6,)</f>
        <v>-1714</v>
      </c>
      <c r="L43" s="51"/>
      <c r="M43" s="51">
        <v>0</v>
      </c>
      <c r="N43" s="51">
        <v>0</v>
      </c>
      <c r="O43" s="52">
        <f>H43</f>
        <v>-6171</v>
      </c>
      <c r="P43" s="51">
        <f>ROUND(I43-SUM(J43:O43),0)</f>
        <v>-32225</v>
      </c>
      <c r="Q43" s="53"/>
      <c r="R43" s="51">
        <v>374826</v>
      </c>
      <c r="S43" s="54" t="s">
        <v>60</v>
      </c>
    </row>
    <row r="44" spans="1:19" ht="19.8" x14ac:dyDescent="0.3">
      <c r="A44" s="57">
        <v>63121</v>
      </c>
      <c r="B44" s="82" t="s">
        <v>127</v>
      </c>
      <c r="C44" s="103"/>
      <c r="D44" s="50">
        <v>8</v>
      </c>
      <c r="E44" s="51">
        <f>O43</f>
        <v>-6171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2">
        <f>E44</f>
        <v>-6171</v>
      </c>
      <c r="Q44" s="53"/>
      <c r="R44" s="51">
        <v>71775</v>
      </c>
      <c r="S44" s="54" t="s">
        <v>64</v>
      </c>
    </row>
    <row r="45" spans="1:19" ht="19.8" x14ac:dyDescent="0.3">
      <c r="A45" s="57">
        <v>63121</v>
      </c>
      <c r="B45" s="77" t="s">
        <v>126</v>
      </c>
      <c r="C45" s="103">
        <v>45424</v>
      </c>
      <c r="D45" s="50">
        <v>10</v>
      </c>
      <c r="E45" s="51">
        <v>885000</v>
      </c>
      <c r="F45" s="51"/>
      <c r="G45" s="51">
        <f>ROUND(E45-F45,)</f>
        <v>885000</v>
      </c>
      <c r="H45" s="51">
        <f>ROUND(G45*$H$6,0)</f>
        <v>159300</v>
      </c>
      <c r="I45" s="51">
        <f>G45+H45</f>
        <v>1044300</v>
      </c>
      <c r="J45" s="51">
        <f>ROUND(G45*$J$6,)</f>
        <v>8850</v>
      </c>
      <c r="K45" s="51">
        <f>ROUND(G45*$K$6,)</f>
        <v>44250</v>
      </c>
      <c r="L45" s="51"/>
      <c r="M45" s="51">
        <v>0</v>
      </c>
      <c r="N45" s="51">
        <v>0</v>
      </c>
      <c r="O45" s="52">
        <f>H45</f>
        <v>159300</v>
      </c>
      <c r="P45" s="51">
        <f>ROUND(I45-SUM(J45:O45),0)</f>
        <v>831900</v>
      </c>
      <c r="Q45" s="53"/>
      <c r="R45" s="51">
        <v>831900</v>
      </c>
      <c r="S45" s="54" t="s">
        <v>65</v>
      </c>
    </row>
    <row r="46" spans="1:19" ht="19.8" x14ac:dyDescent="0.3">
      <c r="A46" s="57">
        <v>63121</v>
      </c>
      <c r="B46" s="82" t="s">
        <v>127</v>
      </c>
      <c r="C46" s="103"/>
      <c r="D46" s="50">
        <v>10</v>
      </c>
      <c r="E46" s="51">
        <f>H45</f>
        <v>159300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2">
        <f>E46</f>
        <v>159300</v>
      </c>
      <c r="Q46" s="53"/>
      <c r="R46" s="51">
        <v>159300</v>
      </c>
      <c r="S46" s="54" t="s">
        <v>66</v>
      </c>
    </row>
    <row r="47" spans="1:19" ht="19.8" x14ac:dyDescent="0.3">
      <c r="A47" s="57">
        <v>63121</v>
      </c>
      <c r="B47" s="77" t="s">
        <v>126</v>
      </c>
      <c r="C47" s="103">
        <v>45467</v>
      </c>
      <c r="D47" s="50">
        <v>12</v>
      </c>
      <c r="E47" s="51">
        <v>295000</v>
      </c>
      <c r="F47" s="51"/>
      <c r="G47" s="51">
        <f>ROUND(E47-F47,)</f>
        <v>295000</v>
      </c>
      <c r="H47" s="51">
        <f>ROUND(G47*$H$6,0)</f>
        <v>53100</v>
      </c>
      <c r="I47" s="51">
        <f>G47+H47</f>
        <v>348100</v>
      </c>
      <c r="J47" s="51">
        <f>ROUND(G47*$J$6,)</f>
        <v>2950</v>
      </c>
      <c r="K47" s="51">
        <f>ROUND(G47*$K$6,)</f>
        <v>14750</v>
      </c>
      <c r="L47" s="51"/>
      <c r="M47" s="51">
        <v>0</v>
      </c>
      <c r="N47" s="51">
        <v>0</v>
      </c>
      <c r="O47" s="52">
        <f>H47</f>
        <v>53100</v>
      </c>
      <c r="P47" s="51">
        <f>ROUND(I47-SUM(J47:O47),0)</f>
        <v>277300</v>
      </c>
      <c r="Q47" s="53"/>
      <c r="R47" s="51">
        <v>277300</v>
      </c>
      <c r="S47" s="54" t="s">
        <v>68</v>
      </c>
    </row>
    <row r="48" spans="1:19" ht="19.8" x14ac:dyDescent="0.3">
      <c r="A48" s="57">
        <v>63121</v>
      </c>
      <c r="B48" s="82" t="s">
        <v>127</v>
      </c>
      <c r="C48" s="103"/>
      <c r="D48" s="50">
        <v>12</v>
      </c>
      <c r="E48" s="51">
        <f>H47</f>
        <v>53100</v>
      </c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2">
        <f>E48</f>
        <v>53100</v>
      </c>
      <c r="Q48" s="53"/>
      <c r="R48" s="51">
        <v>53100</v>
      </c>
      <c r="S48" s="54" t="s">
        <v>69</v>
      </c>
    </row>
    <row r="49" spans="1:19" ht="19.8" x14ac:dyDescent="0.3">
      <c r="A49" s="57">
        <v>63121</v>
      </c>
      <c r="B49" s="77" t="s">
        <v>126</v>
      </c>
      <c r="C49" s="103">
        <v>45513</v>
      </c>
      <c r="D49" s="50">
        <v>14</v>
      </c>
      <c r="E49" s="51">
        <v>442500</v>
      </c>
      <c r="F49" s="51"/>
      <c r="G49" s="51">
        <f>ROUND(E49-F49,)</f>
        <v>442500</v>
      </c>
      <c r="H49" s="51">
        <f>ROUND(G49*$H$6,0)</f>
        <v>79650</v>
      </c>
      <c r="I49" s="51">
        <f>G49+H49</f>
        <v>522150</v>
      </c>
      <c r="J49" s="51">
        <f>ROUND(G49*$J$6,)</f>
        <v>4425</v>
      </c>
      <c r="K49" s="51">
        <f>ROUND(G49*$K$6,)</f>
        <v>22125</v>
      </c>
      <c r="L49" s="51"/>
      <c r="M49" s="51">
        <v>0</v>
      </c>
      <c r="N49" s="51">
        <v>0</v>
      </c>
      <c r="O49" s="52">
        <f>H49</f>
        <v>79650</v>
      </c>
      <c r="P49" s="51">
        <f>ROUND(I49-SUM(J49:O49),0)</f>
        <v>415950</v>
      </c>
      <c r="Q49" s="53"/>
      <c r="R49" s="51">
        <v>200000</v>
      </c>
      <c r="S49" s="54" t="s">
        <v>90</v>
      </c>
    </row>
    <row r="50" spans="1:19" ht="19.8" x14ac:dyDescent="0.3">
      <c r="A50" s="57">
        <v>63121</v>
      </c>
      <c r="B50" s="82" t="s">
        <v>127</v>
      </c>
      <c r="C50" s="103"/>
      <c r="D50" s="50">
        <v>14</v>
      </c>
      <c r="E50" s="51">
        <f>O49</f>
        <v>79650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2">
        <f>E50</f>
        <v>79650</v>
      </c>
      <c r="Q50" s="53"/>
      <c r="R50" s="51">
        <v>215950</v>
      </c>
      <c r="S50" s="54" t="s">
        <v>74</v>
      </c>
    </row>
    <row r="51" spans="1:19" ht="19.8" x14ac:dyDescent="0.3">
      <c r="A51" s="57">
        <v>63121</v>
      </c>
      <c r="B51" s="77" t="s">
        <v>126</v>
      </c>
      <c r="C51" s="103">
        <v>45572</v>
      </c>
      <c r="D51" s="50">
        <v>18</v>
      </c>
      <c r="E51" s="51">
        <v>147500</v>
      </c>
      <c r="F51" s="51"/>
      <c r="G51" s="51">
        <f>ROUND(E51-F51,)</f>
        <v>147500</v>
      </c>
      <c r="H51" s="51">
        <f>ROUND(G51*$H$6,0)</f>
        <v>26550</v>
      </c>
      <c r="I51" s="51">
        <f>G51+H51</f>
        <v>174050</v>
      </c>
      <c r="J51" s="51">
        <f>ROUND(G51*$J$6,)</f>
        <v>1475</v>
      </c>
      <c r="K51" s="51">
        <f>ROUND(G51*$K$6,)</f>
        <v>7375</v>
      </c>
      <c r="L51" s="51"/>
      <c r="M51" s="51">
        <v>0</v>
      </c>
      <c r="N51" s="51">
        <v>0</v>
      </c>
      <c r="O51" s="52">
        <f>H51</f>
        <v>26550</v>
      </c>
      <c r="P51" s="51">
        <f>ROUND(I51-SUM(J51:O51),0)</f>
        <v>138650</v>
      </c>
      <c r="Q51" s="62"/>
      <c r="R51" s="51">
        <v>138650</v>
      </c>
      <c r="S51" s="54" t="s">
        <v>79</v>
      </c>
    </row>
    <row r="52" spans="1:19" ht="19.8" x14ac:dyDescent="0.3">
      <c r="A52" s="57">
        <v>63121</v>
      </c>
      <c r="B52" s="82" t="s">
        <v>127</v>
      </c>
      <c r="C52" s="103"/>
      <c r="D52" s="50">
        <v>18</v>
      </c>
      <c r="E52" s="51">
        <f>O51</f>
        <v>26550</v>
      </c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>
        <f>E52</f>
        <v>26550</v>
      </c>
      <c r="Q52" s="53"/>
      <c r="R52" s="51">
        <v>26550</v>
      </c>
      <c r="S52" s="54" t="s">
        <v>83</v>
      </c>
    </row>
    <row r="53" spans="1:19" ht="19.8" x14ac:dyDescent="0.3">
      <c r="A53" s="57">
        <v>63121</v>
      </c>
      <c r="B53" s="77" t="s">
        <v>126</v>
      </c>
      <c r="C53" s="103">
        <v>45671</v>
      </c>
      <c r="D53" s="50">
        <v>25</v>
      </c>
      <c r="E53" s="51">
        <v>324500</v>
      </c>
      <c r="F53" s="51">
        <v>248334</v>
      </c>
      <c r="G53" s="51">
        <f>ROUND(E53-F53,)</f>
        <v>76166</v>
      </c>
      <c r="H53" s="51">
        <f>ROUND(G53*$H$6,0)</f>
        <v>13710</v>
      </c>
      <c r="I53" s="51">
        <f>G53+H53</f>
        <v>89876</v>
      </c>
      <c r="J53" s="51">
        <f>ROUND(G53*$J$6,)</f>
        <v>762</v>
      </c>
      <c r="K53" s="51">
        <f>ROUND(G53*$K$6,)</f>
        <v>3808</v>
      </c>
      <c r="L53" s="51"/>
      <c r="M53" s="51">
        <v>0</v>
      </c>
      <c r="N53" s="51">
        <v>0</v>
      </c>
      <c r="O53" s="52">
        <f>H53</f>
        <v>13710</v>
      </c>
      <c r="P53" s="51">
        <f>ROUND(I53-SUM(J53:O53),0)</f>
        <v>71596</v>
      </c>
      <c r="Q53" s="53"/>
      <c r="R53" s="51">
        <v>71596</v>
      </c>
      <c r="S53" s="54" t="s">
        <v>91</v>
      </c>
    </row>
    <row r="54" spans="1:19" ht="19.8" x14ac:dyDescent="0.3">
      <c r="A54" s="49"/>
      <c r="B54" s="77"/>
      <c r="C54" s="103"/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51"/>
      <c r="Q54" s="53"/>
      <c r="R54" s="51">
        <v>79650</v>
      </c>
      <c r="S54" s="54" t="s">
        <v>97</v>
      </c>
    </row>
    <row r="55" spans="1:19" ht="19.8" x14ac:dyDescent="0.3">
      <c r="A55" s="57"/>
      <c r="B55" s="76"/>
      <c r="C55" s="102"/>
      <c r="D55" s="58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60">
        <f>A56</f>
        <v>66321</v>
      </c>
      <c r="R55" s="59"/>
      <c r="S55" s="61"/>
    </row>
    <row r="56" spans="1:19" ht="19.8" x14ac:dyDescent="0.3">
      <c r="A56" s="49">
        <v>66321</v>
      </c>
      <c r="B56" s="78" t="s">
        <v>78</v>
      </c>
      <c r="C56" s="103">
        <v>45572</v>
      </c>
      <c r="D56" s="50">
        <v>19</v>
      </c>
      <c r="E56" s="51">
        <v>413437</v>
      </c>
      <c r="F56" s="51">
        <v>194730</v>
      </c>
      <c r="G56" s="51">
        <f>ROUND(E56-F56,)</f>
        <v>218707</v>
      </c>
      <c r="H56" s="51">
        <f>ROUND(G56*$H$6,0)</f>
        <v>39367</v>
      </c>
      <c r="I56" s="51">
        <f>G56+H56</f>
        <v>258074</v>
      </c>
      <c r="J56" s="51">
        <f>ROUND(G56*$J$6,)</f>
        <v>2187</v>
      </c>
      <c r="K56" s="51">
        <f>ROUND(G56*$K$6,)</f>
        <v>10935</v>
      </c>
      <c r="L56" s="51"/>
      <c r="M56" s="51">
        <v>0</v>
      </c>
      <c r="N56" s="51">
        <v>0</v>
      </c>
      <c r="O56" s="52">
        <f>H56</f>
        <v>39367</v>
      </c>
      <c r="P56" s="51">
        <f>ROUND(I56-SUM(J56:O56),0)</f>
        <v>205585</v>
      </c>
      <c r="Q56" s="53"/>
      <c r="R56" s="51">
        <v>205586</v>
      </c>
      <c r="S56" s="54" t="s">
        <v>81</v>
      </c>
    </row>
    <row r="57" spans="1:19" ht="19.8" x14ac:dyDescent="0.3">
      <c r="A57" s="49">
        <v>66321</v>
      </c>
      <c r="B57" s="82" t="s">
        <v>127</v>
      </c>
      <c r="C57" s="103"/>
      <c r="D57" s="50">
        <v>19</v>
      </c>
      <c r="E57" s="51">
        <f>O56</f>
        <v>39367</v>
      </c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2">
        <f>E57</f>
        <v>39367</v>
      </c>
      <c r="Q57" s="53"/>
      <c r="R57" s="51">
        <v>39367</v>
      </c>
      <c r="S57" s="54" t="s">
        <v>86</v>
      </c>
    </row>
    <row r="58" spans="1:19" ht="19.8" x14ac:dyDescent="0.3">
      <c r="A58" s="49">
        <v>66321</v>
      </c>
      <c r="B58" s="78" t="s">
        <v>78</v>
      </c>
      <c r="C58" s="103">
        <v>45628</v>
      </c>
      <c r="D58" s="50">
        <v>23</v>
      </c>
      <c r="E58" s="51">
        <v>826875</v>
      </c>
      <c r="F58" s="51">
        <v>80595</v>
      </c>
      <c r="G58" s="51">
        <f>ROUND(E58-F58,)</f>
        <v>746280</v>
      </c>
      <c r="H58" s="51">
        <f>ROUND(G58*$H$6,0)</f>
        <v>134330</v>
      </c>
      <c r="I58" s="51">
        <f>G58+H58</f>
        <v>880610</v>
      </c>
      <c r="J58" s="51">
        <f>ROUND(G58*$J$6,)</f>
        <v>7463</v>
      </c>
      <c r="K58" s="51">
        <f>ROUND(G58*$K$6,)</f>
        <v>37314</v>
      </c>
      <c r="L58" s="51"/>
      <c r="M58" s="51">
        <v>0</v>
      </c>
      <c r="N58" s="51">
        <v>0</v>
      </c>
      <c r="O58" s="52">
        <f>H58</f>
        <v>134330</v>
      </c>
      <c r="P58" s="51">
        <f>ROUND(I58-SUM(J58:O58),0)</f>
        <v>701503</v>
      </c>
      <c r="Q58" s="53"/>
      <c r="R58" s="51">
        <v>400000</v>
      </c>
      <c r="S58" s="54" t="s">
        <v>88</v>
      </c>
    </row>
    <row r="59" spans="1:19" ht="20.25" customHeight="1" x14ac:dyDescent="0.3">
      <c r="A59" s="49">
        <v>66321</v>
      </c>
      <c r="B59" s="78" t="s">
        <v>78</v>
      </c>
      <c r="C59" s="103">
        <v>45772</v>
      </c>
      <c r="D59" s="50">
        <v>34</v>
      </c>
      <c r="E59" s="51">
        <v>275625</v>
      </c>
      <c r="F59" s="51">
        <v>0</v>
      </c>
      <c r="G59" s="51">
        <f>ROUND(E59-F59,)</f>
        <v>275625</v>
      </c>
      <c r="H59" s="51">
        <f>ROUND(G59*$H$6,0)</f>
        <v>49613</v>
      </c>
      <c r="I59" s="51">
        <f>G59+H59</f>
        <v>325238</v>
      </c>
      <c r="J59" s="51">
        <f>ROUND(G59*$J$6,)</f>
        <v>2756</v>
      </c>
      <c r="K59" s="51">
        <f>ROUND(G59*$K$6,)</f>
        <v>13781</v>
      </c>
      <c r="L59" s="51"/>
      <c r="M59" s="51">
        <v>0</v>
      </c>
      <c r="N59" s="51">
        <v>0</v>
      </c>
      <c r="O59" s="52">
        <f>H59</f>
        <v>49613</v>
      </c>
      <c r="P59" s="51">
        <f>ROUND(I59-SUM(J59:O59),0)</f>
        <v>259088</v>
      </c>
      <c r="Q59" s="53"/>
      <c r="R59" s="51">
        <v>301503</v>
      </c>
      <c r="S59" s="54" t="s">
        <v>92</v>
      </c>
    </row>
    <row r="60" spans="1:19" ht="20.25" customHeight="1" x14ac:dyDescent="0.3">
      <c r="A60" s="49">
        <v>66321</v>
      </c>
      <c r="B60" s="82" t="s">
        <v>127</v>
      </c>
      <c r="C60" s="103"/>
      <c r="D60" s="50">
        <v>34</v>
      </c>
      <c r="E60" s="51">
        <f>O59</f>
        <v>49613</v>
      </c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2">
        <f>E60</f>
        <v>49613</v>
      </c>
      <c r="Q60" s="53"/>
      <c r="R60" s="51">
        <v>200000</v>
      </c>
      <c r="S60" s="54" t="s">
        <v>100</v>
      </c>
    </row>
    <row r="61" spans="1:19" ht="19.8" x14ac:dyDescent="0.3">
      <c r="A61" s="57"/>
      <c r="B61" s="76"/>
      <c r="C61" s="102"/>
      <c r="D61" s="58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60">
        <f>A62</f>
        <v>66417</v>
      </c>
      <c r="R61" s="59"/>
      <c r="S61" s="61"/>
    </row>
    <row r="62" spans="1:19" ht="31.2" x14ac:dyDescent="0.3">
      <c r="A62" s="49">
        <v>66417</v>
      </c>
      <c r="B62" s="78" t="s">
        <v>128</v>
      </c>
      <c r="C62" s="103">
        <v>45566</v>
      </c>
      <c r="D62" s="50">
        <v>16</v>
      </c>
      <c r="E62" s="51">
        <v>195195</v>
      </c>
      <c r="F62" s="51"/>
      <c r="G62" s="51">
        <f>ROUND(E62-F62,)</f>
        <v>195195</v>
      </c>
      <c r="H62" s="51">
        <f>ROUND(G62*$H$6,0)</f>
        <v>35135</v>
      </c>
      <c r="I62" s="51">
        <f>G62+H62</f>
        <v>230330</v>
      </c>
      <c r="J62" s="51">
        <f>ROUND(G62*$J$6,)</f>
        <v>1952</v>
      </c>
      <c r="K62" s="51">
        <f>ROUND(G62*$K$6,)</f>
        <v>9760</v>
      </c>
      <c r="L62" s="51"/>
      <c r="M62" s="51">
        <v>0</v>
      </c>
      <c r="N62" s="51">
        <v>0</v>
      </c>
      <c r="O62" s="52">
        <f>H62</f>
        <v>35135</v>
      </c>
      <c r="P62" s="51">
        <f>ROUND(I62-SUM(J62:O62),0)</f>
        <v>183483</v>
      </c>
      <c r="Q62" s="53"/>
      <c r="R62" s="51">
        <v>183483</v>
      </c>
      <c r="S62" s="54" t="s">
        <v>80</v>
      </c>
    </row>
    <row r="63" spans="1:19" ht="19.8" x14ac:dyDescent="0.3">
      <c r="A63" s="49">
        <v>66417</v>
      </c>
      <c r="B63" s="82" t="s">
        <v>127</v>
      </c>
      <c r="C63" s="103"/>
      <c r="D63" s="50">
        <v>16</v>
      </c>
      <c r="E63" s="51">
        <f>O62</f>
        <v>35135</v>
      </c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>
        <f>E63</f>
        <v>35135</v>
      </c>
      <c r="Q63" s="53"/>
      <c r="R63" s="51">
        <v>35135</v>
      </c>
      <c r="S63" s="54" t="s">
        <v>85</v>
      </c>
    </row>
    <row r="64" spans="1:19" ht="19.8" x14ac:dyDescent="0.3">
      <c r="A64" s="57"/>
      <c r="B64" s="76"/>
      <c r="C64" s="102"/>
      <c r="D64" s="58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60">
        <f>A65</f>
        <v>68351</v>
      </c>
      <c r="R64" s="59"/>
      <c r="S64" s="61"/>
    </row>
    <row r="65" spans="1:19" ht="31.2" x14ac:dyDescent="0.3">
      <c r="A65" s="49">
        <v>68351</v>
      </c>
      <c r="B65" s="78" t="s">
        <v>129</v>
      </c>
      <c r="C65" s="103">
        <v>45719</v>
      </c>
      <c r="D65" s="50">
        <v>28</v>
      </c>
      <c r="E65" s="51">
        <v>183288</v>
      </c>
      <c r="F65" s="51">
        <v>176821</v>
      </c>
      <c r="G65" s="51">
        <f>ROUND(E65-F65,)</f>
        <v>6467</v>
      </c>
      <c r="H65" s="51">
        <f>ROUND(G65*$H$6,0)</f>
        <v>1164</v>
      </c>
      <c r="I65" s="51">
        <f>G65+H65</f>
        <v>7631</v>
      </c>
      <c r="J65" s="51">
        <f>ROUND(G65*$J$6,)</f>
        <v>65</v>
      </c>
      <c r="K65" s="51">
        <f>ROUND(G65*$K$6,)</f>
        <v>323</v>
      </c>
      <c r="L65" s="51"/>
      <c r="M65" s="51">
        <v>0</v>
      </c>
      <c r="N65" s="51">
        <v>0</v>
      </c>
      <c r="O65" s="52">
        <f>H65</f>
        <v>1164</v>
      </c>
      <c r="P65" s="51">
        <f>ROUND(I65-SUM(J65:O65),0)</f>
        <v>6079</v>
      </c>
      <c r="Q65" s="53"/>
      <c r="R65" s="51">
        <v>6079</v>
      </c>
      <c r="S65" s="54" t="s">
        <v>96</v>
      </c>
    </row>
    <row r="66" spans="1:19" ht="19.8" x14ac:dyDescent="0.3">
      <c r="A66" s="49">
        <v>68351</v>
      </c>
      <c r="B66" s="82" t="s">
        <v>127</v>
      </c>
      <c r="C66" s="103"/>
      <c r="D66" s="50">
        <v>28</v>
      </c>
      <c r="E66" s="51">
        <f>O65</f>
        <v>1164</v>
      </c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2">
        <f>E66</f>
        <v>1164</v>
      </c>
      <c r="Q66" s="53"/>
      <c r="R66" s="51"/>
      <c r="S66" s="54"/>
    </row>
    <row r="67" spans="1:19" ht="19.8" x14ac:dyDescent="0.3">
      <c r="A67" s="57"/>
      <c r="B67" s="76"/>
      <c r="C67" s="102"/>
      <c r="D67" s="58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60">
        <f>A68</f>
        <v>68379</v>
      </c>
      <c r="R67" s="59"/>
      <c r="S67" s="61"/>
    </row>
    <row r="68" spans="1:19" ht="31.2" x14ac:dyDescent="0.3">
      <c r="A68" s="49">
        <v>68379</v>
      </c>
      <c r="B68" s="78" t="s">
        <v>130</v>
      </c>
      <c r="C68" s="103">
        <v>45726</v>
      </c>
      <c r="D68" s="50">
        <v>32</v>
      </c>
      <c r="E68" s="51">
        <v>323850</v>
      </c>
      <c r="F68" s="51"/>
      <c r="G68" s="51">
        <f>ROUND(E68-F68,)</f>
        <v>323850</v>
      </c>
      <c r="H68" s="51">
        <f>ROUND(G68*$H$6,0)</f>
        <v>58293</v>
      </c>
      <c r="I68" s="51">
        <f>G68+H68</f>
        <v>382143</v>
      </c>
      <c r="J68" s="51">
        <f>ROUND(G68*$J$6,)</f>
        <v>3239</v>
      </c>
      <c r="K68" s="51">
        <f>ROUND(G68*$K$6,)</f>
        <v>16193</v>
      </c>
      <c r="L68" s="51"/>
      <c r="M68" s="51">
        <v>0</v>
      </c>
      <c r="N68" s="51">
        <v>0</v>
      </c>
      <c r="O68" s="52">
        <f>H68</f>
        <v>58293</v>
      </c>
      <c r="P68" s="51">
        <f>ROUND(I68-SUM(J68:O68),0)</f>
        <v>304418</v>
      </c>
      <c r="Q68" s="53"/>
      <c r="R68" s="51">
        <v>304418</v>
      </c>
      <c r="S68" s="54" t="s">
        <v>93</v>
      </c>
    </row>
    <row r="69" spans="1:19" ht="19.8" x14ac:dyDescent="0.3">
      <c r="A69" s="49">
        <v>68379</v>
      </c>
      <c r="B69" s="82" t="s">
        <v>127</v>
      </c>
      <c r="C69" s="103"/>
      <c r="D69" s="50">
        <v>32</v>
      </c>
      <c r="E69" s="51">
        <f>O68</f>
        <v>58293</v>
      </c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2">
        <f>E69</f>
        <v>58293</v>
      </c>
      <c r="Q69" s="53"/>
      <c r="R69" s="51">
        <v>50000</v>
      </c>
      <c r="S69" s="54" t="s">
        <v>99</v>
      </c>
    </row>
    <row r="70" spans="1:19" ht="31.2" x14ac:dyDescent="0.3">
      <c r="A70" s="49">
        <v>68379</v>
      </c>
      <c r="B70" s="78" t="s">
        <v>131</v>
      </c>
      <c r="C70" s="103">
        <v>45772</v>
      </c>
      <c r="D70" s="50">
        <v>33</v>
      </c>
      <c r="E70" s="51">
        <v>57150</v>
      </c>
      <c r="F70" s="51"/>
      <c r="G70" s="51">
        <f>ROUND(E70-F70,)</f>
        <v>57150</v>
      </c>
      <c r="H70" s="51">
        <f>ROUND(G70*$H$6,0)</f>
        <v>10287</v>
      </c>
      <c r="I70" s="51">
        <f>G70+H70</f>
        <v>67437</v>
      </c>
      <c r="J70" s="51">
        <f>(G70*J6)</f>
        <v>571.5</v>
      </c>
      <c r="K70" s="51">
        <f>(G70*K6)</f>
        <v>2857.5</v>
      </c>
      <c r="L70" s="51"/>
      <c r="M70" s="51">
        <v>0</v>
      </c>
      <c r="N70" s="51">
        <v>0</v>
      </c>
      <c r="O70" s="52">
        <f>H70</f>
        <v>10287</v>
      </c>
      <c r="P70" s="51">
        <f>ROUND(I70-SUM(J70:O70),0)</f>
        <v>53721</v>
      </c>
      <c r="Q70" s="64"/>
      <c r="R70" s="63"/>
      <c r="S70" s="80"/>
    </row>
    <row r="71" spans="1:19" ht="20.399999999999999" thickBot="1" x14ac:dyDescent="0.35">
      <c r="A71" s="49">
        <v>68379</v>
      </c>
      <c r="B71" s="82" t="s">
        <v>127</v>
      </c>
      <c r="C71" s="103"/>
      <c r="D71" s="50">
        <v>33</v>
      </c>
      <c r="E71" s="51">
        <f>O70</f>
        <v>10287</v>
      </c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2">
        <f>E71</f>
        <v>10287</v>
      </c>
      <c r="Q71" s="64"/>
      <c r="R71" s="63"/>
      <c r="S71" s="63"/>
    </row>
    <row r="72" spans="1:19" ht="19.8" x14ac:dyDescent="0.3">
      <c r="A72" s="65"/>
      <c r="B72" s="66"/>
      <c r="C72" s="104"/>
      <c r="D72" s="66"/>
      <c r="E72" s="66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</row>
    <row r="73" spans="1:19" ht="19.8" x14ac:dyDescent="0.3">
      <c r="A73" s="67"/>
      <c r="B73" s="51"/>
      <c r="C73" s="103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67"/>
    </row>
    <row r="74" spans="1:19" ht="20.399999999999999" thickBot="1" x14ac:dyDescent="0.35">
      <c r="A74" s="68"/>
      <c r="B74" s="39"/>
      <c r="C74" s="9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68"/>
      <c r="S74" s="68"/>
    </row>
    <row r="75" spans="1:19" ht="19.8" x14ac:dyDescent="0.3">
      <c r="A75" s="69"/>
      <c r="B75" s="70"/>
      <c r="C75" s="105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</row>
    <row r="76" spans="1:19" ht="16.2" thickBot="1" x14ac:dyDescent="0.35"/>
    <row r="77" spans="1:19" ht="16.2" thickBot="1" x14ac:dyDescent="0.35">
      <c r="J77" s="91"/>
      <c r="K77" s="92"/>
      <c r="L77" s="93"/>
    </row>
    <row r="78" spans="1:19" ht="16.2" thickBot="1" x14ac:dyDescent="0.35">
      <c r="A78" s="71"/>
      <c r="B78" s="72"/>
      <c r="J78" s="94"/>
      <c r="K78" s="95"/>
      <c r="L78" s="88"/>
    </row>
    <row r="79" spans="1:19" ht="16.2" thickBot="1" x14ac:dyDescent="0.35">
      <c r="A79" s="71"/>
      <c r="B79" s="72"/>
      <c r="J79" s="87"/>
      <c r="K79" s="88"/>
      <c r="L79" s="73"/>
    </row>
    <row r="80" spans="1:19" ht="16.2" thickBot="1" x14ac:dyDescent="0.35">
      <c r="A80" s="71"/>
      <c r="B80" s="72"/>
      <c r="E80" s="79"/>
      <c r="G80" s="79"/>
      <c r="J80" s="87"/>
      <c r="K80" s="88"/>
      <c r="L80" s="73"/>
      <c r="P80" s="79"/>
    </row>
    <row r="81" spans="1:13" ht="16.2" thickBot="1" x14ac:dyDescent="0.35">
      <c r="A81" s="71"/>
      <c r="B81" s="72"/>
      <c r="J81" s="89"/>
      <c r="K81" s="90"/>
      <c r="L81" s="74"/>
    </row>
    <row r="82" spans="1:13" ht="16.2" thickBot="1" x14ac:dyDescent="0.35">
      <c r="A82" s="71"/>
      <c r="B82" s="72"/>
      <c r="J82" s="89"/>
      <c r="K82" s="90"/>
      <c r="L82" s="74"/>
    </row>
    <row r="83" spans="1:13" ht="16.2" thickBot="1" x14ac:dyDescent="0.35">
      <c r="A83" s="71"/>
      <c r="B83" s="72"/>
      <c r="J83" s="87"/>
      <c r="K83" s="88"/>
      <c r="L83" s="73"/>
      <c r="M83" s="35"/>
    </row>
  </sheetData>
  <mergeCells count="7">
    <mergeCell ref="J83:K83"/>
    <mergeCell ref="J82:K82"/>
    <mergeCell ref="J77:L77"/>
    <mergeCell ref="J78:L78"/>
    <mergeCell ref="J79:K79"/>
    <mergeCell ref="J80:K80"/>
    <mergeCell ref="J81:K81"/>
  </mergeCells>
  <printOptions horizontalCentered="1" verticalCentered="1"/>
  <pageMargins left="0.19685039370078741" right="0.11811023622047245" top="7.874015748031496E-2" bottom="0.15748031496062992" header="0.31496062992125984" footer="0.31496062992125984"/>
  <pageSetup scale="24" fitToHeight="0" orientation="landscape" r:id="rId1"/>
  <rowBreaks count="1" manualBreakCount="1">
    <brk id="47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>
      <selection activeCell="J2" sqref="J2:J5"/>
    </sheetView>
  </sheetViews>
  <sheetFormatPr defaultColWidth="9.109375" defaultRowHeight="14.4" x14ac:dyDescent="0.3"/>
  <cols>
    <col min="1" max="1" width="5.88671875" customWidth="1"/>
    <col min="2" max="2" width="11.5546875" customWidth="1"/>
    <col min="3" max="3" width="10.33203125" customWidth="1"/>
    <col min="4" max="4" width="35.109375" customWidth="1"/>
    <col min="5" max="5" width="12" customWidth="1"/>
    <col min="6" max="6" width="10.109375" customWidth="1"/>
    <col min="7" max="8" width="11.44140625" customWidth="1"/>
    <col min="9" max="9" width="12.109375" customWidth="1"/>
    <col min="10" max="10" width="12.5546875" customWidth="1"/>
    <col min="11" max="11" width="22" customWidth="1"/>
    <col min="12" max="12" width="16.109375" customWidth="1"/>
    <col min="13" max="13" width="26.88671875" customWidth="1"/>
    <col min="14" max="14" width="34.6640625" customWidth="1"/>
    <col min="15" max="15" width="33.33203125" customWidth="1"/>
  </cols>
  <sheetData>
    <row r="1" spans="1:13" s="6" customFormat="1" ht="31.8" thickBot="1" x14ac:dyDescent="0.35">
      <c r="A1" s="1" t="s">
        <v>4</v>
      </c>
      <c r="B1" s="2" t="s">
        <v>5</v>
      </c>
      <c r="C1" s="2" t="s">
        <v>6</v>
      </c>
      <c r="D1" s="3" t="s">
        <v>7</v>
      </c>
      <c r="E1" s="2" t="s">
        <v>8</v>
      </c>
      <c r="F1" s="2" t="s">
        <v>9</v>
      </c>
      <c r="G1" s="2" t="s">
        <v>10</v>
      </c>
      <c r="H1" s="2"/>
      <c r="I1" s="2" t="s">
        <v>11</v>
      </c>
      <c r="J1" s="2" t="s">
        <v>12</v>
      </c>
      <c r="K1" s="4" t="s">
        <v>13</v>
      </c>
      <c r="L1" s="4" t="s">
        <v>14</v>
      </c>
      <c r="M1" s="5" t="s">
        <v>15</v>
      </c>
    </row>
    <row r="2" spans="1:13" s="6" customFormat="1" ht="15.6" x14ac:dyDescent="0.3">
      <c r="A2" s="7">
        <v>464</v>
      </c>
      <c r="B2" s="8" t="s">
        <v>16</v>
      </c>
      <c r="C2" s="7">
        <v>5125</v>
      </c>
      <c r="D2" s="7" t="s">
        <v>17</v>
      </c>
      <c r="E2" s="9">
        <v>250</v>
      </c>
      <c r="F2" s="7">
        <f t="shared" ref="F2:F6" si="0">E2*50/1000</f>
        <v>12.5</v>
      </c>
      <c r="G2" s="10">
        <v>5937.5</v>
      </c>
      <c r="H2" s="10">
        <f t="shared" ref="H2:H6" si="1">F2*G2</f>
        <v>74218.75</v>
      </c>
      <c r="I2" s="10">
        <f t="shared" ref="I2:I6" si="2">(F2*G2)*28%</f>
        <v>20781.250000000004</v>
      </c>
      <c r="J2" s="10">
        <f t="shared" ref="J2:J6" si="3">(F2*G2)+I2</f>
        <v>95000</v>
      </c>
      <c r="K2" s="10" t="s">
        <v>18</v>
      </c>
      <c r="L2" s="10" t="s">
        <v>19</v>
      </c>
      <c r="M2" s="10" t="s">
        <v>20</v>
      </c>
    </row>
    <row r="3" spans="1:13" s="6" customFormat="1" ht="15.6" x14ac:dyDescent="0.3">
      <c r="A3" s="7">
        <v>534</v>
      </c>
      <c r="B3" s="8" t="s">
        <v>21</v>
      </c>
      <c r="C3" s="7">
        <v>5809</v>
      </c>
      <c r="D3" s="7" t="s">
        <v>17</v>
      </c>
      <c r="E3" s="9">
        <v>100</v>
      </c>
      <c r="F3" s="7">
        <f t="shared" si="0"/>
        <v>5</v>
      </c>
      <c r="G3" s="11">
        <v>5781.25</v>
      </c>
      <c r="H3" s="12">
        <f t="shared" si="1"/>
        <v>28906.25</v>
      </c>
      <c r="I3" s="12">
        <f t="shared" si="2"/>
        <v>8093.7500000000009</v>
      </c>
      <c r="J3" s="13">
        <f t="shared" si="3"/>
        <v>37000</v>
      </c>
      <c r="K3" s="10" t="s">
        <v>18</v>
      </c>
      <c r="L3" s="10" t="s">
        <v>22</v>
      </c>
      <c r="M3" s="10" t="s">
        <v>23</v>
      </c>
    </row>
    <row r="4" spans="1:13" s="6" customFormat="1" ht="15.6" x14ac:dyDescent="0.3">
      <c r="A4" s="7">
        <v>565</v>
      </c>
      <c r="B4" s="8" t="s">
        <v>24</v>
      </c>
      <c r="C4" s="7">
        <v>5631</v>
      </c>
      <c r="D4" s="7" t="s">
        <v>17</v>
      </c>
      <c r="E4" s="9">
        <v>105</v>
      </c>
      <c r="F4" s="7">
        <f t="shared" si="0"/>
        <v>5.25</v>
      </c>
      <c r="G4" s="11">
        <v>5781.25</v>
      </c>
      <c r="H4" s="12">
        <f t="shared" si="1"/>
        <v>30351.5625</v>
      </c>
      <c r="I4" s="12">
        <f t="shared" si="2"/>
        <v>8498.4375</v>
      </c>
      <c r="J4" s="13">
        <f t="shared" si="3"/>
        <v>38850</v>
      </c>
      <c r="K4" s="10" t="s">
        <v>25</v>
      </c>
      <c r="L4" s="10" t="s">
        <v>26</v>
      </c>
      <c r="M4" s="10" t="s">
        <v>27</v>
      </c>
    </row>
    <row r="5" spans="1:13" s="6" customFormat="1" ht="15.6" x14ac:dyDescent="0.3">
      <c r="A5" s="7">
        <v>587</v>
      </c>
      <c r="B5" s="8" t="s">
        <v>28</v>
      </c>
      <c r="C5" s="7">
        <v>5649</v>
      </c>
      <c r="D5" s="7" t="s">
        <v>17</v>
      </c>
      <c r="E5" s="9">
        <v>150</v>
      </c>
      <c r="F5" s="7">
        <f t="shared" si="0"/>
        <v>7.5</v>
      </c>
      <c r="G5" s="11">
        <v>5781.25</v>
      </c>
      <c r="H5" s="12">
        <f t="shared" si="1"/>
        <v>43359.375</v>
      </c>
      <c r="I5" s="12">
        <f t="shared" si="2"/>
        <v>12140.625000000002</v>
      </c>
      <c r="J5" s="13">
        <f t="shared" si="3"/>
        <v>55500</v>
      </c>
      <c r="K5" s="10" t="s">
        <v>25</v>
      </c>
      <c r="L5" s="10" t="s">
        <v>26</v>
      </c>
      <c r="M5" s="10" t="s">
        <v>27</v>
      </c>
    </row>
    <row r="6" spans="1:13" s="6" customFormat="1" ht="15.6" x14ac:dyDescent="0.3">
      <c r="A6" s="7">
        <v>663</v>
      </c>
      <c r="B6" s="8" t="s">
        <v>29</v>
      </c>
      <c r="C6" s="7">
        <v>7071</v>
      </c>
      <c r="D6" s="7" t="s">
        <v>17</v>
      </c>
      <c r="E6" s="9">
        <v>119</v>
      </c>
      <c r="F6" s="7">
        <f t="shared" si="0"/>
        <v>5.95</v>
      </c>
      <c r="G6" s="11">
        <v>5625</v>
      </c>
      <c r="H6" s="12">
        <f t="shared" si="1"/>
        <v>33468.75</v>
      </c>
      <c r="I6" s="12">
        <f t="shared" si="2"/>
        <v>9371.25</v>
      </c>
      <c r="J6" s="26">
        <f t="shared" si="3"/>
        <v>42840</v>
      </c>
      <c r="K6" s="10" t="s">
        <v>25</v>
      </c>
      <c r="L6" s="27"/>
      <c r="M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"/>
  <sheetViews>
    <sheetView topLeftCell="L4" workbookViewId="0">
      <selection activeCell="R2" sqref="R2:R20"/>
    </sheetView>
  </sheetViews>
  <sheetFormatPr defaultColWidth="9.109375" defaultRowHeight="14.4" x14ac:dyDescent="0.3"/>
  <cols>
    <col min="1" max="1" width="11.5546875" bestFit="1" customWidth="1"/>
    <col min="2" max="2" width="28.88671875" customWidth="1"/>
    <col min="3" max="3" width="33.88671875" customWidth="1"/>
    <col min="4" max="4" width="13" customWidth="1"/>
    <col min="5" max="8" width="11.88671875" bestFit="1" customWidth="1"/>
    <col min="9" max="9" width="16.33203125" customWidth="1"/>
    <col min="10" max="10" width="10.33203125" customWidth="1"/>
    <col min="11" max="11" width="31.33203125" customWidth="1"/>
    <col min="12" max="12" width="12.6640625" customWidth="1"/>
    <col min="13" max="13" width="10.33203125" customWidth="1"/>
    <col min="14" max="14" width="9.88671875" customWidth="1"/>
    <col min="15" max="15" width="11.5546875" customWidth="1"/>
    <col min="16" max="16" width="15.6640625" customWidth="1"/>
    <col min="17" max="17" width="12.6640625" customWidth="1"/>
    <col min="18" max="18" width="16.33203125" customWidth="1"/>
    <col min="19" max="19" width="31.33203125" customWidth="1"/>
    <col min="20" max="20" width="18" customWidth="1"/>
    <col min="21" max="21" width="44" customWidth="1"/>
    <col min="22" max="22" width="57.5546875" customWidth="1"/>
    <col min="23" max="23" width="62.109375" customWidth="1"/>
    <col min="24" max="24" width="26.6640625" customWidth="1"/>
  </cols>
  <sheetData>
    <row r="1" spans="1:21" s="6" customFormat="1" ht="31.2" x14ac:dyDescent="0.3">
      <c r="A1" s="14" t="s">
        <v>30</v>
      </c>
      <c r="B1" s="14" t="s">
        <v>31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37</v>
      </c>
      <c r="I1" s="15" t="s">
        <v>5</v>
      </c>
      <c r="J1" s="15" t="s">
        <v>6</v>
      </c>
      <c r="K1" s="14" t="s">
        <v>7</v>
      </c>
      <c r="L1" s="14" t="s">
        <v>38</v>
      </c>
      <c r="M1" s="15" t="s">
        <v>39</v>
      </c>
      <c r="N1" s="15"/>
      <c r="O1" s="15" t="s">
        <v>4</v>
      </c>
      <c r="P1" s="15"/>
      <c r="Q1" s="16" t="s">
        <v>40</v>
      </c>
      <c r="R1" s="16" t="s">
        <v>12</v>
      </c>
      <c r="S1" s="17" t="s">
        <v>41</v>
      </c>
      <c r="T1" s="17" t="s">
        <v>14</v>
      </c>
      <c r="U1" s="17" t="s">
        <v>15</v>
      </c>
    </row>
    <row r="2" spans="1:21" s="6" customFormat="1" ht="15.6" x14ac:dyDescent="0.3">
      <c r="A2" s="7"/>
      <c r="B2" s="18"/>
      <c r="C2" s="19"/>
      <c r="D2" s="20"/>
      <c r="E2" s="20"/>
      <c r="F2" s="20"/>
      <c r="G2" s="20"/>
      <c r="H2" s="20"/>
      <c r="I2" s="7" t="s">
        <v>16</v>
      </c>
      <c r="J2" s="7">
        <v>5125</v>
      </c>
      <c r="K2" s="21" t="s">
        <v>17</v>
      </c>
      <c r="L2" s="7" t="s">
        <v>34</v>
      </c>
      <c r="M2" s="22">
        <v>0.2</v>
      </c>
      <c r="N2" s="22"/>
      <c r="O2" s="7">
        <v>56600</v>
      </c>
      <c r="P2" s="7">
        <f t="shared" ref="P2:P20" si="0">M2*O2</f>
        <v>11320</v>
      </c>
      <c r="Q2" s="23">
        <f t="shared" ref="Q2:Q20" si="1">(M2*O2)*18%</f>
        <v>2037.6</v>
      </c>
      <c r="R2" s="24">
        <f t="shared" ref="R2:R20" si="2">(M2*O2)+Q2</f>
        <v>13357.6</v>
      </c>
      <c r="S2" s="10" t="s">
        <v>18</v>
      </c>
      <c r="T2" s="10" t="s">
        <v>19</v>
      </c>
      <c r="U2" s="10" t="s">
        <v>20</v>
      </c>
    </row>
    <row r="3" spans="1:21" s="6" customFormat="1" ht="15.6" x14ac:dyDescent="0.3">
      <c r="A3" s="7"/>
      <c r="B3" s="18"/>
      <c r="C3" s="19"/>
      <c r="D3" s="20"/>
      <c r="E3" s="20"/>
      <c r="F3" s="20"/>
      <c r="G3" s="20"/>
      <c r="H3" s="20"/>
      <c r="I3" s="7" t="s">
        <v>16</v>
      </c>
      <c r="J3" s="7">
        <v>5125</v>
      </c>
      <c r="K3" s="21" t="s">
        <v>17</v>
      </c>
      <c r="L3" s="7" t="s">
        <v>35</v>
      </c>
      <c r="M3" s="22">
        <v>0.5</v>
      </c>
      <c r="N3" s="22"/>
      <c r="O3" s="7">
        <v>53250</v>
      </c>
      <c r="P3" s="7">
        <f t="shared" si="0"/>
        <v>26625</v>
      </c>
      <c r="Q3" s="23">
        <f t="shared" si="1"/>
        <v>4792.5</v>
      </c>
      <c r="R3" s="24">
        <f t="shared" si="2"/>
        <v>31417.5</v>
      </c>
      <c r="S3" s="10" t="s">
        <v>18</v>
      </c>
      <c r="T3" s="10" t="s">
        <v>19</v>
      </c>
      <c r="U3" s="10" t="s">
        <v>20</v>
      </c>
    </row>
    <row r="4" spans="1:21" s="6" customFormat="1" ht="15.6" x14ac:dyDescent="0.3">
      <c r="A4" s="7"/>
      <c r="B4" s="18"/>
      <c r="C4" s="19"/>
      <c r="D4" s="20"/>
      <c r="E4" s="20"/>
      <c r="F4" s="20"/>
      <c r="G4" s="20"/>
      <c r="H4" s="20"/>
      <c r="I4" s="7" t="s">
        <v>16</v>
      </c>
      <c r="J4" s="7">
        <v>5125</v>
      </c>
      <c r="K4" s="21" t="s">
        <v>17</v>
      </c>
      <c r="L4" s="7" t="s">
        <v>33</v>
      </c>
      <c r="M4" s="22">
        <v>0.47299999999999998</v>
      </c>
      <c r="N4" s="22"/>
      <c r="O4" s="7">
        <v>55750</v>
      </c>
      <c r="P4" s="7">
        <f t="shared" si="0"/>
        <v>26369.75</v>
      </c>
      <c r="Q4" s="23">
        <f t="shared" si="1"/>
        <v>4746.5549999999994</v>
      </c>
      <c r="R4" s="24">
        <f t="shared" si="2"/>
        <v>31116.305</v>
      </c>
      <c r="S4" s="10" t="s">
        <v>18</v>
      </c>
      <c r="T4" s="10" t="s">
        <v>19</v>
      </c>
      <c r="U4" s="10" t="s">
        <v>20</v>
      </c>
    </row>
    <row r="5" spans="1:21" s="6" customFormat="1" ht="15.6" x14ac:dyDescent="0.3">
      <c r="A5" s="7"/>
      <c r="B5" s="18"/>
      <c r="C5" s="19"/>
      <c r="D5" s="20"/>
      <c r="E5" s="20"/>
      <c r="F5" s="20"/>
      <c r="G5" s="20"/>
      <c r="H5" s="20"/>
      <c r="I5" s="7" t="s">
        <v>16</v>
      </c>
      <c r="J5" s="7">
        <v>5440</v>
      </c>
      <c r="K5" s="21" t="s">
        <v>17</v>
      </c>
      <c r="L5" s="7" t="s">
        <v>37</v>
      </c>
      <c r="M5" s="22">
        <v>0.39</v>
      </c>
      <c r="N5" s="22"/>
      <c r="O5" s="7">
        <v>55600</v>
      </c>
      <c r="P5" s="7">
        <f t="shared" si="0"/>
        <v>21684</v>
      </c>
      <c r="Q5" s="23">
        <f t="shared" si="1"/>
        <v>3903.12</v>
      </c>
      <c r="R5" s="24">
        <f t="shared" si="2"/>
        <v>25587.119999999999</v>
      </c>
      <c r="S5" s="10" t="s">
        <v>18</v>
      </c>
      <c r="T5" s="10" t="s">
        <v>19</v>
      </c>
      <c r="U5" s="10" t="s">
        <v>20</v>
      </c>
    </row>
    <row r="6" spans="1:21" s="6" customFormat="1" ht="15.6" x14ac:dyDescent="0.3">
      <c r="A6" s="7"/>
      <c r="B6" s="18"/>
      <c r="C6" s="19"/>
      <c r="D6" s="20"/>
      <c r="E6" s="20"/>
      <c r="F6" s="20"/>
      <c r="G6" s="20"/>
      <c r="H6" s="20"/>
      <c r="I6" s="7" t="s">
        <v>42</v>
      </c>
      <c r="J6" s="25">
        <v>5160</v>
      </c>
      <c r="K6" s="7" t="s">
        <v>17</v>
      </c>
      <c r="L6" s="7" t="s">
        <v>33</v>
      </c>
      <c r="M6" s="7">
        <v>0.109</v>
      </c>
      <c r="N6" s="7"/>
      <c r="O6" s="7">
        <v>59750</v>
      </c>
      <c r="P6" s="7">
        <f t="shared" si="0"/>
        <v>6512.75</v>
      </c>
      <c r="Q6" s="24">
        <f t="shared" si="1"/>
        <v>1172.2949999999998</v>
      </c>
      <c r="R6" s="24">
        <f t="shared" si="2"/>
        <v>7685.0450000000001</v>
      </c>
      <c r="S6" s="10" t="s">
        <v>43</v>
      </c>
      <c r="T6" s="10" t="s">
        <v>44</v>
      </c>
      <c r="U6" s="10" t="s">
        <v>45</v>
      </c>
    </row>
    <row r="7" spans="1:21" s="6" customFormat="1" ht="15.6" x14ac:dyDescent="0.3">
      <c r="A7" s="7"/>
      <c r="B7" s="18"/>
      <c r="C7" s="19"/>
      <c r="D7" s="20"/>
      <c r="E7" s="20"/>
      <c r="F7" s="20"/>
      <c r="G7" s="20"/>
      <c r="H7" s="20"/>
      <c r="I7" s="7" t="s">
        <v>42</v>
      </c>
      <c r="J7" s="25">
        <v>5160</v>
      </c>
      <c r="K7" s="7" t="s">
        <v>17</v>
      </c>
      <c r="L7" s="7" t="s">
        <v>34</v>
      </c>
      <c r="M7" s="7">
        <v>0.34</v>
      </c>
      <c r="N7" s="7"/>
      <c r="O7" s="7">
        <v>54250</v>
      </c>
      <c r="P7" s="7">
        <f t="shared" si="0"/>
        <v>18445</v>
      </c>
      <c r="Q7" s="24">
        <f t="shared" si="1"/>
        <v>3320.1</v>
      </c>
      <c r="R7" s="24">
        <f t="shared" si="2"/>
        <v>21765.1</v>
      </c>
      <c r="S7" s="10" t="s">
        <v>43</v>
      </c>
      <c r="T7" s="10" t="s">
        <v>44</v>
      </c>
      <c r="U7" s="10" t="s">
        <v>45</v>
      </c>
    </row>
    <row r="8" spans="1:21" s="6" customFormat="1" ht="15.6" x14ac:dyDescent="0.3">
      <c r="A8" s="7"/>
      <c r="B8" s="18"/>
      <c r="C8" s="19"/>
      <c r="D8" s="20"/>
      <c r="E8" s="20"/>
      <c r="F8" s="20"/>
      <c r="G8" s="20"/>
      <c r="H8" s="20"/>
      <c r="I8" s="7" t="s">
        <v>42</v>
      </c>
      <c r="J8" s="25">
        <v>5160</v>
      </c>
      <c r="K8" s="7" t="s">
        <v>17</v>
      </c>
      <c r="L8" s="7" t="s">
        <v>35</v>
      </c>
      <c r="M8" s="7">
        <v>0.99</v>
      </c>
      <c r="N8" s="7"/>
      <c r="O8" s="7">
        <v>56550</v>
      </c>
      <c r="P8" s="7">
        <f t="shared" si="0"/>
        <v>55984.5</v>
      </c>
      <c r="Q8" s="24">
        <f t="shared" si="1"/>
        <v>10077.209999999999</v>
      </c>
      <c r="R8" s="24">
        <f t="shared" si="2"/>
        <v>66061.709999999992</v>
      </c>
      <c r="S8" s="10" t="s">
        <v>43</v>
      </c>
      <c r="T8" s="10" t="s">
        <v>44</v>
      </c>
      <c r="U8" s="10" t="s">
        <v>45</v>
      </c>
    </row>
    <row r="9" spans="1:21" s="6" customFormat="1" ht="15.6" x14ac:dyDescent="0.3">
      <c r="A9" s="7"/>
      <c r="B9" s="18"/>
      <c r="C9" s="19"/>
      <c r="D9" s="20"/>
      <c r="E9" s="20"/>
      <c r="F9" s="20"/>
      <c r="G9" s="20"/>
      <c r="H9" s="20"/>
      <c r="I9" s="7" t="s">
        <v>42</v>
      </c>
      <c r="J9" s="25">
        <v>5160</v>
      </c>
      <c r="K9" s="7" t="s">
        <v>17</v>
      </c>
      <c r="L9" s="7" t="s">
        <v>36</v>
      </c>
      <c r="M9" s="7">
        <v>0.68100000000000005</v>
      </c>
      <c r="N9" s="7"/>
      <c r="O9" s="7">
        <v>56550</v>
      </c>
      <c r="P9" s="7">
        <f t="shared" si="0"/>
        <v>38510.550000000003</v>
      </c>
      <c r="Q9" s="24">
        <f t="shared" si="1"/>
        <v>6931.8990000000003</v>
      </c>
      <c r="R9" s="24">
        <f t="shared" si="2"/>
        <v>45442.449000000001</v>
      </c>
      <c r="S9" s="10" t="s">
        <v>43</v>
      </c>
      <c r="T9" s="10" t="s">
        <v>44</v>
      </c>
      <c r="U9" s="10" t="s">
        <v>45</v>
      </c>
    </row>
    <row r="10" spans="1:21" s="6" customFormat="1" ht="15.6" x14ac:dyDescent="0.3">
      <c r="A10" s="7"/>
      <c r="B10" s="18"/>
      <c r="C10" s="19"/>
      <c r="D10" s="20"/>
      <c r="E10" s="20"/>
      <c r="F10" s="20"/>
      <c r="G10" s="20"/>
      <c r="H10" s="20"/>
      <c r="I10" s="7" t="s">
        <v>42</v>
      </c>
      <c r="J10" s="25">
        <v>5159</v>
      </c>
      <c r="K10" s="7" t="s">
        <v>17</v>
      </c>
      <c r="L10" s="7" t="s">
        <v>33</v>
      </c>
      <c r="M10" s="7">
        <v>0.19900000000000001</v>
      </c>
      <c r="N10" s="7"/>
      <c r="O10" s="7">
        <v>59750</v>
      </c>
      <c r="P10" s="7">
        <f t="shared" si="0"/>
        <v>11890.25</v>
      </c>
      <c r="Q10" s="24">
        <f t="shared" si="1"/>
        <v>2140.2449999999999</v>
      </c>
      <c r="R10" s="24">
        <f t="shared" si="2"/>
        <v>14030.494999999999</v>
      </c>
      <c r="S10" s="10" t="s">
        <v>18</v>
      </c>
      <c r="T10" s="10" t="s">
        <v>22</v>
      </c>
      <c r="U10" s="10" t="s">
        <v>23</v>
      </c>
    </row>
    <row r="11" spans="1:21" s="6" customFormat="1" ht="15.6" x14ac:dyDescent="0.3">
      <c r="A11" s="7"/>
      <c r="B11" s="18"/>
      <c r="C11" s="19"/>
      <c r="D11" s="20"/>
      <c r="E11" s="20"/>
      <c r="F11" s="20"/>
      <c r="G11" s="20"/>
      <c r="H11" s="20"/>
      <c r="I11" s="7" t="s">
        <v>42</v>
      </c>
      <c r="J11" s="25">
        <v>5159</v>
      </c>
      <c r="K11" s="7" t="s">
        <v>17</v>
      </c>
      <c r="L11" s="7" t="s">
        <v>35</v>
      </c>
      <c r="M11" s="7">
        <v>0.255</v>
      </c>
      <c r="N11" s="7"/>
      <c r="O11" s="7">
        <v>56550</v>
      </c>
      <c r="P11" s="7">
        <f t="shared" si="0"/>
        <v>14420.25</v>
      </c>
      <c r="Q11" s="24">
        <f t="shared" si="1"/>
        <v>2595.645</v>
      </c>
      <c r="R11" s="24">
        <f t="shared" si="2"/>
        <v>17015.895</v>
      </c>
      <c r="S11" s="10" t="s">
        <v>18</v>
      </c>
      <c r="T11" s="10" t="s">
        <v>22</v>
      </c>
      <c r="U11" s="10" t="s">
        <v>23</v>
      </c>
    </row>
    <row r="12" spans="1:21" s="6" customFormat="1" ht="15.6" x14ac:dyDescent="0.3">
      <c r="A12" s="7"/>
      <c r="B12" s="18"/>
      <c r="C12" s="19"/>
      <c r="D12" s="20"/>
      <c r="E12" s="20"/>
      <c r="F12" s="20"/>
      <c r="G12" s="20"/>
      <c r="H12" s="20"/>
      <c r="I12" s="7" t="s">
        <v>42</v>
      </c>
      <c r="J12" s="25">
        <v>5372</v>
      </c>
      <c r="K12" s="7" t="s">
        <v>17</v>
      </c>
      <c r="L12" s="7" t="s">
        <v>37</v>
      </c>
      <c r="M12" s="7">
        <v>0.73899999999999999</v>
      </c>
      <c r="N12" s="7"/>
      <c r="O12" s="7">
        <v>55600</v>
      </c>
      <c r="P12" s="7">
        <f t="shared" si="0"/>
        <v>41088.400000000001</v>
      </c>
      <c r="Q12" s="24">
        <f t="shared" si="1"/>
        <v>7395.9120000000003</v>
      </c>
      <c r="R12" s="24">
        <f t="shared" si="2"/>
        <v>48484.312000000005</v>
      </c>
      <c r="S12" s="10" t="s">
        <v>25</v>
      </c>
      <c r="T12" s="10" t="s">
        <v>26</v>
      </c>
      <c r="U12" s="10" t="s">
        <v>27</v>
      </c>
    </row>
    <row r="13" spans="1:21" s="6" customFormat="1" ht="15.6" x14ac:dyDescent="0.3">
      <c r="A13" s="7"/>
      <c r="B13" s="18"/>
      <c r="C13" s="19"/>
      <c r="D13" s="20"/>
      <c r="E13" s="20"/>
      <c r="F13" s="20"/>
      <c r="G13" s="20"/>
      <c r="H13" s="20"/>
      <c r="I13" s="7" t="s">
        <v>42</v>
      </c>
      <c r="J13" s="25">
        <v>5373</v>
      </c>
      <c r="K13" s="7" t="s">
        <v>17</v>
      </c>
      <c r="L13" s="7" t="s">
        <v>37</v>
      </c>
      <c r="M13" s="7">
        <v>0.53200000000000003</v>
      </c>
      <c r="N13" s="7"/>
      <c r="O13" s="7">
        <v>55600</v>
      </c>
      <c r="P13" s="7">
        <f t="shared" si="0"/>
        <v>29579.200000000001</v>
      </c>
      <c r="Q13" s="24">
        <f t="shared" si="1"/>
        <v>5324.2560000000003</v>
      </c>
      <c r="R13" s="24">
        <f t="shared" si="2"/>
        <v>34903.455999999998</v>
      </c>
      <c r="S13" s="10" t="s">
        <v>18</v>
      </c>
      <c r="T13" s="10" t="s">
        <v>22</v>
      </c>
      <c r="U13" s="10" t="s">
        <v>23</v>
      </c>
    </row>
    <row r="14" spans="1:21" s="6" customFormat="1" ht="15.6" x14ac:dyDescent="0.3">
      <c r="A14" s="7"/>
      <c r="B14" s="18"/>
      <c r="C14" s="19"/>
      <c r="D14" s="20"/>
      <c r="E14" s="20"/>
      <c r="F14" s="20"/>
      <c r="G14" s="20"/>
      <c r="H14" s="20"/>
      <c r="I14" s="7" t="s">
        <v>46</v>
      </c>
      <c r="J14" s="25">
        <v>5226</v>
      </c>
      <c r="K14" s="7" t="s">
        <v>17</v>
      </c>
      <c r="L14" s="7" t="s">
        <v>33</v>
      </c>
      <c r="M14" s="7">
        <v>0.94599999999999995</v>
      </c>
      <c r="N14" s="7"/>
      <c r="O14" s="7">
        <v>60200</v>
      </c>
      <c r="P14" s="7">
        <f t="shared" si="0"/>
        <v>56949.2</v>
      </c>
      <c r="Q14" s="24">
        <f t="shared" si="1"/>
        <v>10250.856</v>
      </c>
      <c r="R14" s="24">
        <f t="shared" si="2"/>
        <v>67200.055999999997</v>
      </c>
      <c r="S14" s="10" t="s">
        <v>18</v>
      </c>
      <c r="T14" s="10" t="s">
        <v>22</v>
      </c>
      <c r="U14" s="10" t="s">
        <v>23</v>
      </c>
    </row>
    <row r="15" spans="1:21" s="6" customFormat="1" ht="15.6" x14ac:dyDescent="0.3">
      <c r="A15" s="7"/>
      <c r="B15" s="18"/>
      <c r="C15" s="19"/>
      <c r="D15" s="20"/>
      <c r="E15" s="20"/>
      <c r="F15" s="20"/>
      <c r="G15" s="20"/>
      <c r="H15" s="20"/>
      <c r="I15" s="7" t="s">
        <v>46</v>
      </c>
      <c r="J15" s="25">
        <v>5226</v>
      </c>
      <c r="K15" s="7" t="s">
        <v>17</v>
      </c>
      <c r="L15" s="7" t="s">
        <v>34</v>
      </c>
      <c r="M15" s="7">
        <v>0.222</v>
      </c>
      <c r="N15" s="7"/>
      <c r="O15" s="7">
        <v>58200</v>
      </c>
      <c r="P15" s="7">
        <f t="shared" si="0"/>
        <v>12920.4</v>
      </c>
      <c r="Q15" s="24">
        <f t="shared" si="1"/>
        <v>2325.672</v>
      </c>
      <c r="R15" s="24">
        <f t="shared" si="2"/>
        <v>15246.072</v>
      </c>
      <c r="S15" s="10" t="s">
        <v>18</v>
      </c>
      <c r="T15" s="10" t="s">
        <v>22</v>
      </c>
      <c r="U15" s="10" t="s">
        <v>23</v>
      </c>
    </row>
    <row r="16" spans="1:21" s="6" customFormat="1" ht="15.6" x14ac:dyDescent="0.3">
      <c r="A16" s="7"/>
      <c r="B16" s="18"/>
      <c r="C16" s="19"/>
      <c r="D16" s="20"/>
      <c r="E16" s="20"/>
      <c r="F16" s="20"/>
      <c r="G16" s="20"/>
      <c r="H16" s="20"/>
      <c r="I16" s="7" t="s">
        <v>46</v>
      </c>
      <c r="J16" s="25">
        <v>5226</v>
      </c>
      <c r="K16" s="7" t="s">
        <v>17</v>
      </c>
      <c r="L16" s="7" t="s">
        <v>35</v>
      </c>
      <c r="M16" s="7">
        <v>0.373</v>
      </c>
      <c r="N16" s="7"/>
      <c r="O16" s="7">
        <v>57200</v>
      </c>
      <c r="P16" s="7">
        <f t="shared" si="0"/>
        <v>21335.599999999999</v>
      </c>
      <c r="Q16" s="24">
        <f t="shared" si="1"/>
        <v>3840.4079999999994</v>
      </c>
      <c r="R16" s="24">
        <f t="shared" si="2"/>
        <v>25176.007999999998</v>
      </c>
      <c r="S16" s="10" t="s">
        <v>18</v>
      </c>
      <c r="T16" s="10" t="s">
        <v>22</v>
      </c>
      <c r="U16" s="10" t="s">
        <v>23</v>
      </c>
    </row>
    <row r="17" spans="1:21" s="6" customFormat="1" ht="15.6" x14ac:dyDescent="0.3">
      <c r="A17" s="7"/>
      <c r="B17" s="18"/>
      <c r="C17" s="19"/>
      <c r="D17" s="20"/>
      <c r="E17" s="20"/>
      <c r="F17" s="20"/>
      <c r="G17" s="20"/>
      <c r="H17" s="20"/>
      <c r="I17" s="7" t="s">
        <v>47</v>
      </c>
      <c r="J17" s="25">
        <v>5616</v>
      </c>
      <c r="K17" s="7" t="s">
        <v>17</v>
      </c>
      <c r="L17" s="7" t="s">
        <v>33</v>
      </c>
      <c r="M17" s="7">
        <v>0.61499999999999999</v>
      </c>
      <c r="N17" s="7"/>
      <c r="O17" s="7">
        <v>60200</v>
      </c>
      <c r="P17" s="7">
        <f t="shared" si="0"/>
        <v>37023</v>
      </c>
      <c r="Q17" s="24">
        <f t="shared" si="1"/>
        <v>6664.1399999999994</v>
      </c>
      <c r="R17" s="24">
        <f t="shared" si="2"/>
        <v>43687.14</v>
      </c>
      <c r="S17" s="10" t="s">
        <v>25</v>
      </c>
      <c r="T17" s="10" t="s">
        <v>26</v>
      </c>
      <c r="U17" s="10" t="s">
        <v>27</v>
      </c>
    </row>
    <row r="18" spans="1:21" s="6" customFormat="1" ht="15.6" x14ac:dyDescent="0.3">
      <c r="A18" s="7"/>
      <c r="B18" s="18"/>
      <c r="C18" s="19"/>
      <c r="D18" s="20"/>
      <c r="E18" s="20"/>
      <c r="F18" s="20"/>
      <c r="G18" s="20"/>
      <c r="H18" s="20"/>
      <c r="I18" s="7" t="s">
        <v>47</v>
      </c>
      <c r="J18" s="25">
        <v>5616</v>
      </c>
      <c r="K18" s="7" t="s">
        <v>17</v>
      </c>
      <c r="L18" s="7" t="s">
        <v>34</v>
      </c>
      <c r="M18" s="7">
        <v>0.73899999999999999</v>
      </c>
      <c r="N18" s="7"/>
      <c r="O18" s="7">
        <v>58250</v>
      </c>
      <c r="P18" s="7">
        <f t="shared" si="0"/>
        <v>43046.75</v>
      </c>
      <c r="Q18" s="24">
        <f t="shared" si="1"/>
        <v>7748.415</v>
      </c>
      <c r="R18" s="24">
        <f t="shared" si="2"/>
        <v>50795.165000000001</v>
      </c>
      <c r="S18" s="10" t="s">
        <v>25</v>
      </c>
      <c r="T18" s="10" t="s">
        <v>26</v>
      </c>
      <c r="U18" s="10" t="s">
        <v>27</v>
      </c>
    </row>
    <row r="19" spans="1:21" s="6" customFormat="1" ht="15.6" x14ac:dyDescent="0.3">
      <c r="A19" s="7"/>
      <c r="B19" s="18"/>
      <c r="C19" s="19"/>
      <c r="D19" s="20"/>
      <c r="E19" s="20"/>
      <c r="F19" s="20"/>
      <c r="G19" s="20"/>
      <c r="H19" s="20"/>
      <c r="I19" s="7" t="s">
        <v>47</v>
      </c>
      <c r="J19" s="25">
        <v>5616</v>
      </c>
      <c r="K19" s="7" t="s">
        <v>17</v>
      </c>
      <c r="L19" s="7" t="s">
        <v>35</v>
      </c>
      <c r="M19" s="7">
        <v>1.512</v>
      </c>
      <c r="N19" s="7"/>
      <c r="O19" s="7">
        <v>57250</v>
      </c>
      <c r="P19" s="7">
        <f t="shared" si="0"/>
        <v>86562</v>
      </c>
      <c r="Q19" s="24">
        <f t="shared" si="1"/>
        <v>15581.16</v>
      </c>
      <c r="R19" s="24">
        <f t="shared" si="2"/>
        <v>102143.16</v>
      </c>
      <c r="S19" s="10" t="s">
        <v>25</v>
      </c>
      <c r="T19" s="10" t="s">
        <v>26</v>
      </c>
      <c r="U19" s="10" t="s">
        <v>27</v>
      </c>
    </row>
    <row r="20" spans="1:21" s="6" customFormat="1" ht="15.6" x14ac:dyDescent="0.3">
      <c r="A20" s="7"/>
      <c r="B20" s="18"/>
      <c r="C20" s="19"/>
      <c r="D20" s="20"/>
      <c r="E20" s="20"/>
      <c r="F20" s="20"/>
      <c r="G20" s="20"/>
      <c r="H20" s="20"/>
      <c r="I20" s="7" t="s">
        <v>47</v>
      </c>
      <c r="J20" s="25">
        <v>5616</v>
      </c>
      <c r="K20" s="7" t="s">
        <v>17</v>
      </c>
      <c r="L20" s="7" t="s">
        <v>36</v>
      </c>
      <c r="M20" s="7">
        <v>0.56799999999999995</v>
      </c>
      <c r="N20" s="7"/>
      <c r="O20" s="7">
        <v>57250</v>
      </c>
      <c r="P20" s="7">
        <f t="shared" si="0"/>
        <v>32517.999999999996</v>
      </c>
      <c r="Q20" s="24">
        <f t="shared" si="1"/>
        <v>5853.2399999999989</v>
      </c>
      <c r="R20" s="24">
        <f t="shared" si="2"/>
        <v>38371.24</v>
      </c>
      <c r="S20" s="10" t="s">
        <v>25</v>
      </c>
      <c r="T20" s="10" t="s">
        <v>26</v>
      </c>
      <c r="U20" s="10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Cement</vt:lpstr>
      <vt:lpstr>TMT</vt:lpstr>
      <vt:lpstr>Diesel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2024-12-17T05:36:55Z</cp:lastPrinted>
  <dcterms:created xsi:type="dcterms:W3CDTF">2022-06-10T14:11:52Z</dcterms:created>
  <dcterms:modified xsi:type="dcterms:W3CDTF">2025-05-31T10:17:41Z</dcterms:modified>
</cp:coreProperties>
</file>