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Music\New folder\"/>
    </mc:Choice>
  </mc:AlternateContent>
  <xr:revisionPtr revIDLastSave="0" documentId="13_ncr:1_{AA15528A-659F-4D1D-A59F-FAAF923599A0}" xr6:coauthVersionLast="47" xr6:coauthVersionMax="47" xr10:uidLastSave="{00000000-0000-0000-0000-000000000000}"/>
  <bookViews>
    <workbookView xWindow="0" yWindow="984" windowWidth="23040" windowHeight="112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" i="1" l="1"/>
  <c r="V9" i="1"/>
  <c r="V10" i="1"/>
  <c r="V11" i="1"/>
  <c r="V12" i="1"/>
  <c r="V13" i="1"/>
  <c r="V14" i="1"/>
  <c r="V15" i="1"/>
  <c r="H16" i="1"/>
  <c r="I16" i="1" s="1"/>
  <c r="O16" i="1" s="1"/>
  <c r="V16" i="1"/>
  <c r="H17" i="1"/>
  <c r="I17" i="1" s="1"/>
  <c r="V17" i="1"/>
  <c r="H18" i="1"/>
  <c r="I18" i="1" s="1"/>
  <c r="O18" i="1" s="1"/>
  <c r="V18" i="1"/>
  <c r="H19" i="1"/>
  <c r="K19" i="1" s="1"/>
  <c r="I19" i="1"/>
  <c r="O19" i="1" s="1"/>
  <c r="F22" i="1" s="1"/>
  <c r="Q22" i="1" s="1"/>
  <c r="M19" i="1"/>
  <c r="V19" i="1"/>
  <c r="V20" i="1"/>
  <c r="U21" i="1"/>
  <c r="V21" i="1" s="1"/>
  <c r="V22" i="1"/>
  <c r="H23" i="1"/>
  <c r="K23" i="1" s="1"/>
  <c r="V23" i="1"/>
  <c r="U24" i="1"/>
  <c r="V24" i="1" s="1"/>
  <c r="H25" i="1"/>
  <c r="I25" i="1" s="1"/>
  <c r="O25" i="1" s="1"/>
  <c r="F26" i="1" s="1"/>
  <c r="Q26" i="1" s="1"/>
  <c r="V25" i="1"/>
  <c r="V26" i="1"/>
  <c r="U27" i="1"/>
  <c r="V27" i="1" s="1"/>
  <c r="K32" i="1"/>
  <c r="L32" i="1"/>
  <c r="N32" i="1"/>
  <c r="O32" i="1"/>
  <c r="U32" i="1"/>
  <c r="V32" i="1" s="1"/>
  <c r="K33" i="1"/>
  <c r="L33" i="1"/>
  <c r="N33" i="1"/>
  <c r="O33" i="1"/>
  <c r="U33" i="1"/>
  <c r="V33" i="1" s="1"/>
  <c r="U34" i="1"/>
  <c r="V34" i="1" s="1"/>
  <c r="U35" i="1"/>
  <c r="V35" i="1" s="1"/>
  <c r="H36" i="1"/>
  <c r="K36" i="1" s="1"/>
  <c r="L36" i="1"/>
  <c r="N36" i="1"/>
  <c r="U36" i="1"/>
  <c r="V36" i="1" s="1"/>
  <c r="I37" i="1"/>
  <c r="J37" i="1" s="1"/>
  <c r="K37" i="1"/>
  <c r="L37" i="1"/>
  <c r="M37" i="1"/>
  <c r="N37" i="1"/>
  <c r="O37" i="1"/>
  <c r="F39" i="1" s="1"/>
  <c r="Q39" i="1" s="1"/>
  <c r="V37" i="1"/>
  <c r="V38" i="1"/>
  <c r="V39" i="1"/>
  <c r="V40" i="1"/>
  <c r="U41" i="1"/>
  <c r="V41" i="1" s="1"/>
  <c r="U42" i="1"/>
  <c r="V42" i="1" s="1"/>
  <c r="U43" i="1"/>
  <c r="V43" i="1" s="1"/>
  <c r="U44" i="1"/>
  <c r="V44" i="1" s="1"/>
  <c r="V45" i="1"/>
  <c r="V46" i="1"/>
  <c r="U47" i="1"/>
  <c r="V47" i="1" s="1"/>
  <c r="H55" i="1"/>
  <c r="I55" i="1" s="1"/>
  <c r="P62" i="1"/>
  <c r="L72" i="1" s="1"/>
  <c r="M84" i="1"/>
  <c r="O84" i="1" s="1"/>
  <c r="M85" i="1"/>
  <c r="O85" i="1" s="1"/>
  <c r="M86" i="1"/>
  <c r="O86" i="1" s="1"/>
  <c r="O88" i="1"/>
  <c r="F90" i="1"/>
  <c r="N19" i="1" l="1"/>
  <c r="L19" i="1"/>
  <c r="Q37" i="1"/>
  <c r="Q32" i="1"/>
  <c r="N23" i="1"/>
  <c r="N17" i="1"/>
  <c r="L16" i="1"/>
  <c r="L23" i="1"/>
  <c r="L17" i="1"/>
  <c r="O17" i="1"/>
  <c r="J17" i="1"/>
  <c r="N55" i="1"/>
  <c r="M36" i="1"/>
  <c r="Q36" i="1" s="1"/>
  <c r="I36" i="1"/>
  <c r="O36" i="1" s="1"/>
  <c r="F38" i="1" s="1"/>
  <c r="Q38" i="1" s="1"/>
  <c r="Q33" i="1"/>
  <c r="M23" i="1"/>
  <c r="I23" i="1"/>
  <c r="O23" i="1" s="1"/>
  <c r="F24" i="1" s="1"/>
  <c r="Q24" i="1" s="1"/>
  <c r="K17" i="1"/>
  <c r="O87" i="1"/>
  <c r="O89" i="1" s="1"/>
  <c r="L55" i="1"/>
  <c r="K55" i="1"/>
  <c r="L25" i="1"/>
  <c r="J19" i="1"/>
  <c r="Q19" i="1" s="1"/>
  <c r="L18" i="1"/>
  <c r="M17" i="1"/>
  <c r="J55" i="1"/>
  <c r="O55" i="1"/>
  <c r="F56" i="1" s="1"/>
  <c r="Q56" i="1" s="1"/>
  <c r="F21" i="1"/>
  <c r="Q21" i="1" s="1"/>
  <c r="F20" i="1"/>
  <c r="Q20" i="1" s="1"/>
  <c r="V62" i="1"/>
  <c r="K25" i="1"/>
  <c r="K18" i="1"/>
  <c r="K16" i="1"/>
  <c r="M55" i="1"/>
  <c r="N25" i="1"/>
  <c r="J25" i="1"/>
  <c r="N18" i="1"/>
  <c r="J18" i="1"/>
  <c r="N16" i="1"/>
  <c r="J16" i="1"/>
  <c r="M25" i="1"/>
  <c r="M18" i="1"/>
  <c r="M16" i="1"/>
  <c r="N62" i="1" l="1"/>
  <c r="O62" i="1"/>
  <c r="L62" i="1"/>
  <c r="J23" i="1"/>
  <c r="Q23" i="1" s="1"/>
  <c r="X32" i="1"/>
  <c r="J36" i="1"/>
  <c r="Q16" i="1"/>
  <c r="Q25" i="1"/>
  <c r="Q17" i="1"/>
  <c r="Q18" i="1"/>
  <c r="M62" i="1"/>
  <c r="L70" i="1" s="1"/>
  <c r="Q55" i="1"/>
  <c r="X55" i="1" s="1"/>
  <c r="X8" i="1" l="1"/>
  <c r="X62" i="1" s="1"/>
  <c r="Q62" i="1"/>
  <c r="V64" i="1" s="1"/>
  <c r="L71" i="1" s="1"/>
</calcChain>
</file>

<file path=xl/sharedStrings.xml><?xml version="1.0" encoding="utf-8"?>
<sst xmlns="http://schemas.openxmlformats.org/spreadsheetml/2006/main" count="171" uniqueCount="142">
  <si>
    <t>Amount</t>
  </si>
  <si>
    <t>PAYMENT NOTE No.</t>
  </si>
  <si>
    <t>UTR</t>
  </si>
  <si>
    <t>TDS Amount @ 1% on BASIC AMOUNT</t>
  </si>
  <si>
    <t xml:space="preserve">Debit </t>
  </si>
  <si>
    <t>Hydro Testing</t>
  </si>
  <si>
    <t>Pipeline Laying work</t>
  </si>
  <si>
    <t>Total Paid Amount Rs. -</t>
  </si>
  <si>
    <t>Balance Payable Amount Rs. -</t>
  </si>
  <si>
    <t>Hold Amount For Quantity excess against DPR</t>
  </si>
  <si>
    <t>Shri Balaji Construction</t>
  </si>
  <si>
    <t>ITEM</t>
  </si>
  <si>
    <t>DPR</t>
  </si>
  <si>
    <t>Qty as per updated  Dawing</t>
  </si>
  <si>
    <t>Dia</t>
  </si>
  <si>
    <t>Length</t>
  </si>
  <si>
    <t>Total</t>
  </si>
  <si>
    <t>CUM</t>
  </si>
  <si>
    <t>EXCESS</t>
  </si>
  <si>
    <t>RATE</t>
  </si>
  <si>
    <t>AMT</t>
  </si>
  <si>
    <t>90MM</t>
  </si>
  <si>
    <t>j HOOK</t>
  </si>
  <si>
    <t>BOE</t>
  </si>
  <si>
    <t>As per updated drawing</t>
  </si>
  <si>
    <t>As per old DPR</t>
  </si>
  <si>
    <t>hold amt</t>
  </si>
  <si>
    <t>prev hold</t>
  </si>
  <si>
    <t>to be hold</t>
  </si>
  <si>
    <t>RIUP22/1475</t>
  </si>
  <si>
    <t>10-12-2022 IFT/IFT22344008545/RIUP22/1475/SHRI BALAJI CONSTR 245979.00</t>
  </si>
  <si>
    <t>RIUP22/1803</t>
  </si>
  <si>
    <t>07-01-2023 IFT/IFT23007044361/RIUP22/1803/SHRI BALAJI CONSTR 584658.00</t>
  </si>
  <si>
    <t>RIUP22/1978</t>
  </si>
  <si>
    <t>24-01-2023 IFT/IFT23024007687/RIUP22/1978/SHRIBALAJI CONSTR 64392.00</t>
  </si>
  <si>
    <t>RIUP22/2084</t>
  </si>
  <si>
    <t>04-02-2023 IFT/IFT23035022862/RIUP22/2084/SHRI BALAJI CONSTR ₹ 3,63,926.00</t>
  </si>
  <si>
    <t>RIUP22/2214</t>
  </si>
  <si>
    <t>17-02-2023 IFT/IFT23048032050/RIUP22/2214/SHRI BALAJI CONSTR 99000.00</t>
  </si>
  <si>
    <t>RIUP22/2641</t>
  </si>
  <si>
    <t>17-03-2023 IFT/IFT23076014164/RIUP22/2641/SHRI BALAJI CONSTR 247500.00</t>
  </si>
  <si>
    <t>RIUP22/2748</t>
  </si>
  <si>
    <t>27-03-2023 IFT/IFT23086032017/RIUP22/2748/SHRI BALAJI CONSTR 99000.00</t>
  </si>
  <si>
    <t>RIUP23/273</t>
  </si>
  <si>
    <t>19-05-2023 IFT/IFT23139017435/RIUP23/273/SHRI BALAJI CONSTRU ₹ 99,970.00</t>
  </si>
  <si>
    <t>Nojal Nojli Village Pipeline laying work</t>
  </si>
  <si>
    <t>GST release note</t>
  </si>
  <si>
    <t>Mantmanti Village Pipeline laying work</t>
  </si>
  <si>
    <t>RIUP22/412</t>
  </si>
  <si>
    <t>28-07-2022 IFT/IFT22209020738/RIUP22/412/SHRI BALAJI CONSTRU 198000.00</t>
  </si>
  <si>
    <t>RIUP22/554</t>
  </si>
  <si>
    <t>20-08-2022 IFT/IFT22232005689/RIUP22/554/SHRI BALAJI CONSTRU 198000.00</t>
  </si>
  <si>
    <t>RIUP22/586</t>
  </si>
  <si>
    <t>22-08-2022 IFT/IFT22234028107/RIUP22/586/SHRI BALAJI CONSTRU 148500.00</t>
  </si>
  <si>
    <t>RIUP22/884</t>
  </si>
  <si>
    <t>03-10-2022 IFT/IFT22276009534/RIUP22/884/SHRI BALAJI CONSTRU 594000.00</t>
  </si>
  <si>
    <t>RIUP22/1078</t>
  </si>
  <si>
    <t>21-10-2022 IFT/IFT22294059834/RIUP22/1078/SHRI BALAJI CONSTR 297000.00</t>
  </si>
  <si>
    <t>RIUP22/1181</t>
  </si>
  <si>
    <t>05-11-2022 IFT/IFT22309031468/RIUP22/1181/SHRI BALAJI CONSTR 54565.00</t>
  </si>
  <si>
    <t>RIUP22/1482</t>
  </si>
  <si>
    <t>10-12-2022 IFT/IFT22344008547/RIUP22/1482/SHRI BALAJI CONSTR 200000.00</t>
  </si>
  <si>
    <t>RIUP22/1632</t>
  </si>
  <si>
    <t>27-12-2022 IFT/IFT22361012953/RIUP22/1632/SHRI BALAJI CONSTR 369545.00</t>
  </si>
  <si>
    <t>RIUP22/1977</t>
  </si>
  <si>
    <t>24-01-2023 IFT/IFT23024012629/RIUP22/1977/SHRI BALAJI CONSTR ₹ 41,724.00</t>
  </si>
  <si>
    <t>RIUP22/2361</t>
  </si>
  <si>
    <t>28-02-2023 IFT/IFT23059053147/RIUP22/2361/SHRI BALAJI CONSTR 49500.00</t>
  </si>
  <si>
    <t>25-08-2023 IFT/IFT23237043051/RIUP23/1717/SHRI BALAJI CONSTR 49500.00</t>
  </si>
  <si>
    <t>RIUP23/1717</t>
  </si>
  <si>
    <t>18-09-2023 IFT/IFT23261006068/RIUP23/2080/SHRI BALAJI CONSTR 187599.00</t>
  </si>
  <si>
    <t>RIUP23/2080</t>
  </si>
  <si>
    <t>RIUP23/2466</t>
  </si>
  <si>
    <t>04-10-2023 IFT/IFT23277053670/RIUP23/2466/SHRI BALAJI CONSTR 129832.00</t>
  </si>
  <si>
    <t>25-10-2023 IFT/IFT23298013281/RIUP23/2854/SHRI BALAJI CONSTR 148500.00</t>
  </si>
  <si>
    <t>RIUP23/2854</t>
  </si>
  <si>
    <t>08-08-2023 IFT/IFT23220049166/RIUP23/1404/SHRI BALAJI CONSTR 220197.00</t>
  </si>
  <si>
    <t>23-10-2023 IFT/IFT23296024452/RIUP23/2830/SHRI BALAJI CONSTR 148500.00</t>
  </si>
  <si>
    <t>14-09-2023 IFT/IFT23257021729/RIUP23/2016/SHRI BALAJI CONSTR 118800.00</t>
  </si>
  <si>
    <t>RIUP23/2830</t>
  </si>
  <si>
    <t>RIUP23/2016</t>
  </si>
  <si>
    <t>08-11-2023 IFT/IFT23312076789/RIUP23/3137/SHRI BALAJI CONSTR 99000.00</t>
  </si>
  <si>
    <t>RIUP23/3137</t>
  </si>
  <si>
    <t>08-11-2023 IFT/IFT23312068903/RIUP23/3011/SHRI BALAJI CONSTR 319514.00</t>
  </si>
  <si>
    <t>24-11-2023 IFT/IFT23328055355/RIUP23/3365/SHRI BALAJI CONSTR 61956.00</t>
  </si>
  <si>
    <t>15-12-2023 IFT/IFT23349026038/RIUP23/3768/SHRI BALAJI CONSTR 148500.00</t>
  </si>
  <si>
    <t>27-12-2023 IFT/IFT23361009769/RIUP23/3775/SHRI BALAJI CONSTR 89254.00</t>
  </si>
  <si>
    <t>RIUP23/1404</t>
  </si>
  <si>
    <t>RIUP23/3011</t>
  </si>
  <si>
    <t>RIUP23/3768</t>
  </si>
  <si>
    <t>RIUP23/3365</t>
  </si>
  <si>
    <t>RIUP23/3775</t>
  </si>
  <si>
    <t>6 &amp; 8</t>
  </si>
  <si>
    <t>08-01-2024 IFT/IFT24008065305/RIUP23/3955/SHRI BALAJI CONSTR ₹ 48,615.00</t>
  </si>
  <si>
    <t>07-12-2023 IFT/IFT23341087153/RIUP23/3641/SHRI BALAJI CONSTR 17873.00</t>
  </si>
  <si>
    <t>RIUP23/3641</t>
  </si>
  <si>
    <t>RIUP23/3955</t>
  </si>
  <si>
    <t xml:space="preserve">Hold Amount </t>
  </si>
  <si>
    <t>Advance / Surplus</t>
  </si>
  <si>
    <t>22-03-2024 IFT/IFT24082070375/RIUP23/5132/SHRI BALAJI CONSTR 120803.00</t>
  </si>
  <si>
    <t>RIUP23/5132</t>
  </si>
  <si>
    <t>22-02-2024 IFT/IFT24053032838/RIUP23/4815/SHRI BALAJI CONSTR 79200.00</t>
  </si>
  <si>
    <t>RIUP23/4815</t>
  </si>
  <si>
    <t>GST Remaining</t>
  </si>
  <si>
    <t>GST</t>
  </si>
  <si>
    <t>26-04-2024 IFT/IFT24117006559/RIUP23/5133/SHRI BALAJI CONSTR 56882.00 682517655.06 CBB</t>
  </si>
  <si>
    <t>17-05-2024 IFT/IFT24138018957/RIUP24/0143/SHRI BALAJI CONSTR 183737.00</t>
  </si>
  <si>
    <t>10-09-2024 IFT/IFT24254007340/RIUP24/1727/SHRI BALAJI CONSTR 99000.00</t>
  </si>
  <si>
    <t>Advance Village Wise</t>
  </si>
  <si>
    <t>17-09-2024 IFT/IFT24261027201/RIUP24/1806/SHRI BALAJI CONSTR 74250.00</t>
  </si>
  <si>
    <t>21-09-2024 IFT/IFT24265015454/RIUP24/1895/SHRI BALAJI CONSTR 74250.00</t>
  </si>
  <si>
    <t>01-10-2024 IFT/IFT24275137125/RIUP24/2011/SHRI BALAJI CONSTR 99000.00</t>
  </si>
  <si>
    <t>05-10-2024 IFT/IFT24279099632/RIUP24/2126/SHRI BALAJI CONSTR 247500.00</t>
  </si>
  <si>
    <t>RIUP24/2126</t>
  </si>
  <si>
    <t>21-10-2024 IFT/IFT24295027658/RIUP24/2257/SHRI BALAJI CONSTR 247500.00</t>
  </si>
  <si>
    <t>30-10-2024 IFT/IFT24304255883/RIUP24/2364/SHRI BALAJI CONSTR 198000.00</t>
  </si>
  <si>
    <t>30-10-2024 IFT/IFT24304255885/RIUP24/2365/SHRI BALAJI CONSTR 198000.00</t>
  </si>
  <si>
    <t>04-12-2024 IFT/IFT24339039524/RIUP24/2627/SHRI BALAJI CONSTR 198000.00</t>
  </si>
  <si>
    <t>Nil</t>
  </si>
  <si>
    <t>Total_Amount</t>
  </si>
  <si>
    <t>Final_Amount</t>
  </si>
  <si>
    <t>GST_SD_Amount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</si>
  <si>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</si>
  <si>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</si>
  <si>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</si>
  <si>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</si>
  <si>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</si>
  <si>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</si>
  <si>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</si>
  <si>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</si>
  <si>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</si>
  <si>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</si>
  <si>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</si>
  <si>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</si>
  <si>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Subcontractor:</t>
  </si>
  <si>
    <t>State:</t>
  </si>
  <si>
    <t>Uttar Pradesh</t>
  </si>
  <si>
    <t>District:</t>
  </si>
  <si>
    <t>Shamli</t>
  </si>
  <si>
    <t>Block:</t>
  </si>
  <si>
    <t>10-04-2023 IFT/IFT23100051022 /Shri Balaji Construction 2,56,274</t>
  </si>
  <si>
    <t>Bhatu village pipeline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</si>
</sst>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0"/>
      <color theme="1"/>
      <name val="Comic Sans MS"/>
      <family val="4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FF0000"/>
      <name val="Comic Sans MS"/>
      <family val="4"/>
    </font>
    <font>
      <b/>
      <sz val="9"/>
      <color rgb="FFFF0000"/>
      <name val="Comic Sans MS"/>
      <family val="4"/>
    </font>
    <font>
      <b/>
      <sz val="11"/>
      <name val="Calibri"/>
      <family val="2"/>
      <scheme val="minor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3">
    <xf numFmtId="0" fontId="0" fillId="0" borderId="0" xfId="0"/>
    <xf numFmtId="0" fontId="5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0" xfId="1" applyNumberFormat="1" applyFont="1" applyFill="1" applyBorder="1" applyAlignment="1">
      <alignment horizontal="center" vertical="center"/>
    </xf>
    <xf numFmtId="164" fontId="7" fillId="2" borderId="5" xfId="1" applyNumberFormat="1" applyFont="1" applyFill="1" applyBorder="1" applyAlignment="1">
      <alignment vertical="center"/>
    </xf>
    <xf numFmtId="15" fontId="3" fillId="2" borderId="4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164" fontId="0" fillId="2" borderId="3" xfId="1" applyNumberFormat="1" applyFon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vertical="center"/>
    </xf>
    <xf numFmtId="0" fontId="11" fillId="2" borderId="0" xfId="0" applyFont="1" applyFill="1" applyAlignment="1">
      <alignment vertical="center"/>
    </xf>
    <xf numFmtId="164" fontId="11" fillId="2" borderId="0" xfId="0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164" fontId="3" fillId="2" borderId="10" xfId="1" applyNumberFormat="1" applyFont="1" applyFill="1" applyBorder="1" applyAlignment="1">
      <alignment vertical="center"/>
    </xf>
    <xf numFmtId="164" fontId="7" fillId="2" borderId="10" xfId="1" applyNumberFormat="1" applyFont="1" applyFill="1" applyBorder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164" fontId="7" fillId="3" borderId="4" xfId="1" applyNumberFormat="1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/>
    </xf>
    <xf numFmtId="164" fontId="7" fillId="2" borderId="4" xfId="1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vertical="center"/>
    </xf>
    <xf numFmtId="0" fontId="0" fillId="2" borderId="4" xfId="0" applyFill="1" applyBorder="1" applyAlignment="1">
      <alignment vertical="center"/>
    </xf>
    <xf numFmtId="15" fontId="3" fillId="3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vertical="center"/>
    </xf>
    <xf numFmtId="15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164" fontId="8" fillId="2" borderId="4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164" fontId="7" fillId="2" borderId="8" xfId="1" applyNumberFormat="1" applyFont="1" applyFill="1" applyBorder="1" applyAlignment="1">
      <alignment vertical="center"/>
    </xf>
    <xf numFmtId="9" fontId="7" fillId="2" borderId="8" xfId="1" applyNumberFormat="1" applyFont="1" applyFill="1" applyBorder="1" applyAlignment="1">
      <alignment vertical="center"/>
    </xf>
    <xf numFmtId="14" fontId="3" fillId="2" borderId="0" xfId="0" applyNumberFormat="1" applyFont="1" applyFill="1" applyAlignment="1">
      <alignment vertical="center"/>
    </xf>
    <xf numFmtId="164" fontId="15" fillId="5" borderId="4" xfId="1" applyNumberFormat="1" applyFont="1" applyFill="1" applyBorder="1" applyAlignment="1">
      <alignment vertical="center"/>
    </xf>
    <xf numFmtId="0" fontId="16" fillId="2" borderId="4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vertical="center"/>
    </xf>
    <xf numFmtId="14" fontId="6" fillId="2" borderId="10" xfId="0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43" fontId="17" fillId="2" borderId="10" xfId="1" applyFont="1" applyFill="1" applyBorder="1" applyAlignment="1">
      <alignment horizontal="center" vertical="center"/>
    </xf>
    <xf numFmtId="43" fontId="6" fillId="2" borderId="10" xfId="1" applyFont="1" applyFill="1" applyBorder="1" applyAlignment="1">
      <alignment horizontal="center" vertical="center"/>
    </xf>
    <xf numFmtId="0" fontId="6" fillId="0" borderId="0" xfId="0" applyFont="1"/>
    <xf numFmtId="164" fontId="18" fillId="2" borderId="1" xfId="2" applyFont="1" applyFill="1" applyBorder="1" applyAlignment="1">
      <alignment vertical="center"/>
    </xf>
    <xf numFmtId="164" fontId="18" fillId="2" borderId="2" xfId="2" applyFont="1" applyFill="1" applyBorder="1" applyAlignment="1">
      <alignment vertical="center"/>
    </xf>
    <xf numFmtId="0" fontId="19" fillId="2" borderId="2" xfId="0" applyFont="1" applyFill="1" applyBorder="1" applyAlignment="1">
      <alignment vertical="center"/>
    </xf>
    <xf numFmtId="15" fontId="0" fillId="2" borderId="4" xfId="0" applyNumberFormat="1" applyFill="1" applyBorder="1" applyAlignment="1">
      <alignment vertical="center"/>
    </xf>
    <xf numFmtId="164" fontId="14" fillId="2" borderId="11" xfId="1" applyNumberFormat="1" applyFont="1" applyFill="1" applyBorder="1" applyAlignment="1">
      <alignment horizontal="center" vertical="center"/>
    </xf>
    <xf numFmtId="164" fontId="14" fillId="2" borderId="12" xfId="1" applyNumberFormat="1" applyFont="1" applyFill="1" applyBorder="1" applyAlignment="1">
      <alignment horizontal="center" vertical="center"/>
    </xf>
    <xf numFmtId="164" fontId="14" fillId="2" borderId="13" xfId="1" applyNumberFormat="1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right" vertical="center"/>
    </xf>
    <xf numFmtId="0" fontId="9" fillId="2" borderId="7" xfId="0" applyFont="1" applyFill="1" applyBorder="1" applyAlignment="1">
      <alignment horizontal="right" vertical="center"/>
    </xf>
    <xf numFmtId="14" fontId="13" fillId="2" borderId="11" xfId="1" applyNumberFormat="1" applyFont="1" applyFill="1" applyBorder="1" applyAlignment="1">
      <alignment horizontal="center" vertical="center"/>
    </xf>
    <xf numFmtId="164" fontId="13" fillId="2" borderId="13" xfId="1" applyNumberFormat="1" applyFont="1" applyFill="1" applyBorder="1" applyAlignment="1">
      <alignment horizontal="center" vertical="center"/>
    </xf>
    <xf numFmtId="164" fontId="13" fillId="2" borderId="14" xfId="1" applyNumberFormat="1" applyFont="1" applyFill="1" applyBorder="1" applyAlignment="1">
      <alignment horizontal="center" vertical="center"/>
    </xf>
    <xf numFmtId="164" fontId="13" fillId="2" borderId="16" xfId="1" applyNumberFormat="1" applyFont="1" applyFill="1" applyBorder="1" applyAlignment="1">
      <alignment horizontal="center" vertical="center"/>
    </xf>
    <xf numFmtId="164" fontId="13" fillId="2" borderId="17" xfId="1" applyNumberFormat="1" applyFont="1" applyFill="1" applyBorder="1" applyAlignment="1">
      <alignment horizontal="center" vertical="center"/>
    </xf>
    <xf numFmtId="164" fontId="13" fillId="2" borderId="18" xfId="1" applyNumberFormat="1" applyFont="1" applyFill="1" applyBorder="1" applyAlignment="1">
      <alignment horizontal="center" vertical="center"/>
    </xf>
    <xf numFmtId="164" fontId="13" fillId="2" borderId="14" xfId="1" applyNumberFormat="1" applyFont="1" applyFill="1" applyBorder="1" applyAlignment="1">
      <alignment horizontal="center" vertical="center" wrapText="1"/>
    </xf>
    <xf numFmtId="164" fontId="13" fillId="2" borderId="16" xfId="1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64" fontId="13" fillId="2" borderId="11" xfId="1" applyNumberFormat="1" applyFont="1" applyFill="1" applyBorder="1" applyAlignment="1">
      <alignment horizontal="center" vertical="center"/>
    </xf>
    <xf numFmtId="164" fontId="13" fillId="2" borderId="21" xfId="1" applyNumberFormat="1" applyFont="1" applyFill="1" applyBorder="1" applyAlignment="1">
      <alignment horizontal="center" vertical="center"/>
    </xf>
    <xf numFmtId="164" fontId="13" fillId="2" borderId="22" xfId="1" applyNumberFormat="1" applyFont="1" applyFill="1" applyBorder="1" applyAlignment="1">
      <alignment horizontal="center" vertical="center"/>
    </xf>
    <xf numFmtId="14" fontId="13" fillId="2" borderId="12" xfId="1" applyNumberFormat="1" applyFont="1" applyFill="1" applyBorder="1" applyAlignment="1">
      <alignment horizontal="center" vertical="center"/>
    </xf>
    <xf numFmtId="14" fontId="13" fillId="2" borderId="13" xfId="1" applyNumberFormat="1" applyFont="1" applyFill="1" applyBorder="1" applyAlignment="1">
      <alignment horizontal="center" vertical="center"/>
    </xf>
  </cellXfs>
  <cellStyles count="3">
    <cellStyle name="Comma" xfId="1" builtinId="3"/>
    <cellStyle name="Comma 2" xfId="2" xr:uid="{F07A6D57-814E-4132-BB48-ABE446596D8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90"/>
  <sheetViews>
    <sheetView tabSelected="1" zoomScale="70" zoomScaleNormal="70" workbookViewId="0">
      <pane ySplit="5" topLeftCell="A6" activePane="bottomLeft" state="frozen"/>
      <selection pane="bottomLeft" activeCell="L3" sqref="L3"/>
    </sheetView>
  </sheetViews>
  <sheetFormatPr defaultColWidth="9" defaultRowHeight="24.9" customHeight="1" x14ac:dyDescent="0.3"/>
  <cols>
    <col min="1" max="1" width="9" style="2"/>
    <col min="2" max="2" width="31.44140625" style="2" customWidth="1"/>
    <col min="3" max="3" width="13.5546875" style="2" bestFit="1" customWidth="1"/>
    <col min="4" max="5" width="6.109375" style="2" customWidth="1"/>
    <col min="6" max="6" width="14.109375" style="2" bestFit="1" customWidth="1"/>
    <col min="7" max="7" width="13.33203125" style="2" customWidth="1"/>
    <col min="8" max="8" width="15.5546875" style="2" bestFit="1" customWidth="1"/>
    <col min="9" max="9" width="22" style="12" bestFit="1" customWidth="1"/>
    <col min="10" max="10" width="18.44140625" style="12" bestFit="1" customWidth="1"/>
    <col min="11" max="11" width="12.44140625" style="2" bestFit="1" customWidth="1"/>
    <col min="12" max="12" width="14.5546875" style="2" bestFit="1" customWidth="1"/>
    <col min="13" max="13" width="15" style="2" customWidth="1"/>
    <col min="14" max="14" width="16.5546875" style="2" customWidth="1"/>
    <col min="15" max="15" width="15.6640625" style="2" bestFit="1" customWidth="1"/>
    <col min="16" max="16" width="14.88671875" style="2" customWidth="1"/>
    <col min="17" max="17" width="16.109375" style="2" bestFit="1" customWidth="1"/>
    <col min="18" max="18" width="10.88671875" style="2" bestFit="1" customWidth="1"/>
    <col min="19" max="19" width="21.6640625" style="2" hidden="1" customWidth="1"/>
    <col min="20" max="20" width="13" style="2" hidden="1" customWidth="1"/>
    <col min="21" max="21" width="14.5546875" style="2" hidden="1" customWidth="1"/>
    <col min="22" max="22" width="18.88671875" style="2" bestFit="1" customWidth="1"/>
    <col min="23" max="23" width="84.88671875" style="2" bestFit="1" customWidth="1"/>
    <col min="24" max="24" width="18.88671875" style="2" bestFit="1" customWidth="1"/>
    <col min="25" max="16384" width="9" style="2"/>
  </cols>
  <sheetData>
    <row r="1" spans="1:58" ht="24.9" customHeight="1" thickBot="1" x14ac:dyDescent="0.35">
      <c r="A1" s="57" t="s">
        <v>134</v>
      </c>
      <c r="B1" s="5" t="s">
        <v>10</v>
      </c>
      <c r="F1" s="3"/>
      <c r="G1" s="3"/>
      <c r="H1" s="3"/>
      <c r="I1" s="4"/>
      <c r="J1" s="4"/>
    </row>
    <row r="2" spans="1:58" ht="24.9" customHeight="1" thickBot="1" x14ac:dyDescent="0.35">
      <c r="A2" s="57" t="s">
        <v>135</v>
      </c>
      <c r="B2" s="58" t="s">
        <v>136</v>
      </c>
      <c r="C2" s="5"/>
      <c r="D2" s="5"/>
      <c r="E2" s="5"/>
      <c r="I2" s="13" t="s">
        <v>6</v>
      </c>
      <c r="J2" s="6"/>
      <c r="K2" s="7"/>
      <c r="L2" s="7"/>
      <c r="M2" s="7"/>
      <c r="N2" s="7"/>
      <c r="O2" s="7"/>
      <c r="P2" s="7"/>
      <c r="Q2" s="7"/>
      <c r="R2" s="48">
        <v>45408</v>
      </c>
      <c r="S2" s="7"/>
      <c r="T2" s="7"/>
      <c r="U2" s="7"/>
    </row>
    <row r="3" spans="1:58" ht="24.9" customHeight="1" thickBot="1" x14ac:dyDescent="0.35">
      <c r="A3" s="57" t="s">
        <v>137</v>
      </c>
      <c r="B3" s="59" t="s">
        <v>138</v>
      </c>
      <c r="C3" s="5"/>
      <c r="D3" s="5"/>
      <c r="E3" s="5"/>
      <c r="I3" s="13"/>
      <c r="J3" s="6"/>
      <c r="K3" s="7"/>
      <c r="L3" s="7"/>
      <c r="M3" s="7"/>
      <c r="N3" s="7"/>
      <c r="O3" s="7"/>
      <c r="P3" s="7"/>
      <c r="Q3" s="7"/>
      <c r="R3" s="48"/>
      <c r="S3" s="7"/>
      <c r="T3" s="7"/>
      <c r="U3" s="7"/>
    </row>
    <row r="4" spans="1:58" ht="24.9" customHeight="1" thickBot="1" x14ac:dyDescent="0.35">
      <c r="A4" s="57" t="s">
        <v>139</v>
      </c>
      <c r="B4" s="60" t="s">
        <v>138</v>
      </c>
      <c r="C4" s="8"/>
      <c r="D4" s="8"/>
      <c r="E4" s="8"/>
      <c r="F4" s="8"/>
      <c r="G4" s="7"/>
      <c r="H4" s="7"/>
      <c r="I4" s="9"/>
      <c r="J4" s="9"/>
      <c r="K4" s="7"/>
      <c r="L4" s="7"/>
      <c r="M4" s="7"/>
      <c r="N4" s="7"/>
      <c r="S4" s="7"/>
      <c r="T4" s="10"/>
      <c r="U4" s="10"/>
      <c r="V4" s="10"/>
      <c r="W4" s="10"/>
      <c r="X4" s="10"/>
    </row>
    <row r="5" spans="1:58" ht="24.9" customHeight="1" thickBot="1" x14ac:dyDescent="0.35">
      <c r="A5" s="52" t="s">
        <v>122</v>
      </c>
      <c r="B5" s="51" t="s">
        <v>123</v>
      </c>
      <c r="C5" s="53" t="s">
        <v>124</v>
      </c>
      <c r="D5" s="54" t="s">
        <v>125</v>
      </c>
      <c r="E5" s="51" t="s">
        <v>126</v>
      </c>
      <c r="F5" s="51" t="s">
        <v>127</v>
      </c>
      <c r="G5" s="54" t="s">
        <v>128</v>
      </c>
      <c r="H5" s="55" t="s">
        <v>129</v>
      </c>
      <c r="I5" s="56" t="s">
        <v>0</v>
      </c>
      <c r="J5" s="51" t="s">
        <v>130</v>
      </c>
      <c r="K5" s="51" t="s">
        <v>131</v>
      </c>
      <c r="L5" s="51" t="s">
        <v>132</v>
      </c>
      <c r="M5" s="51" t="s">
        <v>133</v>
      </c>
      <c r="N5" s="27" t="s">
        <v>5</v>
      </c>
      <c r="O5" s="51" t="s">
        <v>121</v>
      </c>
      <c r="P5" s="27" t="s">
        <v>9</v>
      </c>
      <c r="Q5" s="51" t="s">
        <v>120</v>
      </c>
      <c r="R5" s="1"/>
      <c r="S5" s="26" t="s">
        <v>1</v>
      </c>
      <c r="T5" s="26" t="s">
        <v>0</v>
      </c>
      <c r="U5" s="26" t="s">
        <v>3</v>
      </c>
      <c r="V5" s="51" t="s">
        <v>119</v>
      </c>
      <c r="W5" s="51" t="s">
        <v>2</v>
      </c>
      <c r="X5" s="26" t="s">
        <v>108</v>
      </c>
    </row>
    <row r="6" spans="1:58" ht="24.9" customHeight="1" x14ac:dyDescent="0.3">
      <c r="B6" s="44"/>
      <c r="C6" s="44"/>
      <c r="D6" s="44"/>
      <c r="E6" s="44"/>
      <c r="F6" s="44"/>
      <c r="G6" s="44"/>
      <c r="H6" s="44"/>
      <c r="I6" s="44"/>
      <c r="J6" s="44"/>
      <c r="K6" s="45">
        <v>0.01</v>
      </c>
      <c r="L6" s="45">
        <v>0.05</v>
      </c>
      <c r="M6" s="45">
        <v>0.1</v>
      </c>
      <c r="N6" s="45">
        <v>0.1</v>
      </c>
      <c r="O6" s="44"/>
      <c r="P6" s="44"/>
      <c r="Q6" s="44"/>
      <c r="R6" s="26"/>
      <c r="S6" s="46"/>
      <c r="T6" s="46"/>
      <c r="U6" s="47">
        <v>0.01</v>
      </c>
      <c r="V6" s="46"/>
      <c r="W6" s="46"/>
      <c r="X6" s="46"/>
    </row>
    <row r="7" spans="1:58" s="25" customFormat="1" ht="24.9" customHeight="1" x14ac:dyDescent="0.3">
      <c r="B7" s="37"/>
      <c r="C7" s="37"/>
      <c r="D7" s="38"/>
      <c r="E7" s="38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0">
        <v>53640</v>
      </c>
      <c r="S7" s="31"/>
      <c r="T7" s="31"/>
      <c r="U7" s="31"/>
      <c r="V7" s="31"/>
      <c r="W7" s="39"/>
      <c r="X7" s="31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spans="1:58" ht="24.9" customHeight="1" x14ac:dyDescent="0.3">
      <c r="A8" s="2">
        <v>53640</v>
      </c>
      <c r="B8" s="15" t="s">
        <v>45</v>
      </c>
      <c r="C8" s="15">
        <v>44896</v>
      </c>
      <c r="D8" s="32">
        <v>4</v>
      </c>
      <c r="E8" s="32"/>
      <c r="F8" s="33">
        <v>357732</v>
      </c>
      <c r="G8" s="33">
        <v>0</v>
      </c>
      <c r="H8" s="33">
        <v>357732</v>
      </c>
      <c r="I8" s="33">
        <v>64392</v>
      </c>
      <c r="J8" s="33">
        <v>422124</v>
      </c>
      <c r="K8" s="33">
        <v>3577</v>
      </c>
      <c r="L8" s="33">
        <v>17887</v>
      </c>
      <c r="M8" s="33">
        <v>35773</v>
      </c>
      <c r="N8" s="33">
        <v>35773</v>
      </c>
      <c r="O8" s="49">
        <v>64392</v>
      </c>
      <c r="P8" s="33">
        <v>18743</v>
      </c>
      <c r="Q8" s="33">
        <v>245979</v>
      </c>
      <c r="R8" s="34"/>
      <c r="S8" s="33" t="s">
        <v>29</v>
      </c>
      <c r="T8" s="33">
        <v>245979</v>
      </c>
      <c r="U8" s="33">
        <v>0</v>
      </c>
      <c r="V8" s="33">
        <f t="shared" ref="V8:V16" si="0">T8-U8</f>
        <v>245979</v>
      </c>
      <c r="W8" s="36" t="s">
        <v>30</v>
      </c>
      <c r="X8" s="33">
        <f>SUM(Q8:Q30)-SUM(V8:V30)</f>
        <v>-340357</v>
      </c>
    </row>
    <row r="9" spans="1:58" ht="24.9" customHeight="1" x14ac:dyDescent="0.3">
      <c r="A9" s="2">
        <v>53640</v>
      </c>
      <c r="B9" s="15" t="s">
        <v>45</v>
      </c>
      <c r="C9" s="15">
        <v>44927</v>
      </c>
      <c r="D9" s="32">
        <v>5</v>
      </c>
      <c r="E9" s="32"/>
      <c r="F9" s="33">
        <v>877768</v>
      </c>
      <c r="G9" s="33">
        <v>0</v>
      </c>
      <c r="H9" s="33">
        <v>877768</v>
      </c>
      <c r="I9" s="33">
        <v>157998</v>
      </c>
      <c r="J9" s="33">
        <v>1035766</v>
      </c>
      <c r="K9" s="33">
        <v>8778</v>
      </c>
      <c r="L9" s="33">
        <v>43888</v>
      </c>
      <c r="M9" s="33">
        <v>87777</v>
      </c>
      <c r="N9" s="33"/>
      <c r="O9" s="49">
        <v>157998</v>
      </c>
      <c r="P9" s="33">
        <v>64890</v>
      </c>
      <c r="Q9" s="33">
        <v>584658</v>
      </c>
      <c r="R9" s="34"/>
      <c r="S9" s="33" t="s">
        <v>31</v>
      </c>
      <c r="T9" s="33">
        <v>584658</v>
      </c>
      <c r="U9" s="33">
        <v>0</v>
      </c>
      <c r="V9" s="33">
        <f t="shared" si="0"/>
        <v>584658</v>
      </c>
      <c r="W9" s="36" t="s">
        <v>32</v>
      </c>
      <c r="X9" s="33"/>
    </row>
    <row r="10" spans="1:58" ht="24.9" customHeight="1" x14ac:dyDescent="0.3">
      <c r="A10" s="2">
        <v>53640</v>
      </c>
      <c r="B10" s="15" t="s">
        <v>46</v>
      </c>
      <c r="C10" s="15">
        <v>44947</v>
      </c>
      <c r="D10" s="32">
        <v>4</v>
      </c>
      <c r="E10" s="32"/>
      <c r="F10" s="33">
        <v>64392</v>
      </c>
      <c r="G10" s="33"/>
      <c r="H10" s="33">
        <v>64392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3">
        <v>64392</v>
      </c>
      <c r="R10" s="34"/>
      <c r="S10" s="33" t="s">
        <v>33</v>
      </c>
      <c r="T10" s="33">
        <v>64392</v>
      </c>
      <c r="U10" s="33">
        <v>0</v>
      </c>
      <c r="V10" s="33">
        <f t="shared" si="0"/>
        <v>64392</v>
      </c>
      <c r="W10" s="36" t="s">
        <v>34</v>
      </c>
      <c r="X10" s="33"/>
    </row>
    <row r="11" spans="1:58" ht="24.9" customHeight="1" x14ac:dyDescent="0.3">
      <c r="A11" s="2">
        <v>53640</v>
      </c>
      <c r="B11" s="15" t="s">
        <v>45</v>
      </c>
      <c r="C11" s="15">
        <v>44956</v>
      </c>
      <c r="D11" s="32">
        <v>6</v>
      </c>
      <c r="E11" s="32"/>
      <c r="F11" s="33">
        <v>545978</v>
      </c>
      <c r="G11" s="33">
        <v>0</v>
      </c>
      <c r="H11" s="33">
        <v>545978</v>
      </c>
      <c r="I11" s="33">
        <v>98276</v>
      </c>
      <c r="J11" s="33">
        <v>644254</v>
      </c>
      <c r="K11" s="33">
        <v>5460</v>
      </c>
      <c r="L11" s="33">
        <v>27299</v>
      </c>
      <c r="M11" s="33">
        <v>54598</v>
      </c>
      <c r="N11" s="33">
        <v>54598</v>
      </c>
      <c r="O11" s="49">
        <v>98276</v>
      </c>
      <c r="P11" s="33">
        <v>40097</v>
      </c>
      <c r="Q11" s="33">
        <v>363926</v>
      </c>
      <c r="R11" s="34"/>
      <c r="S11" s="33" t="s">
        <v>35</v>
      </c>
      <c r="T11" s="33">
        <v>363926</v>
      </c>
      <c r="U11" s="33">
        <v>0</v>
      </c>
      <c r="V11" s="33">
        <f t="shared" si="0"/>
        <v>363926</v>
      </c>
      <c r="W11" s="36" t="s">
        <v>36</v>
      </c>
      <c r="X11" s="33"/>
    </row>
    <row r="12" spans="1:58" ht="24.9" customHeight="1" x14ac:dyDescent="0.3">
      <c r="A12" s="2">
        <v>53640</v>
      </c>
      <c r="B12" s="15" t="s">
        <v>45</v>
      </c>
      <c r="C12" s="15">
        <v>44987</v>
      </c>
      <c r="D12" s="32">
        <v>7</v>
      </c>
      <c r="E12" s="32"/>
      <c r="F12" s="33">
        <v>555391</v>
      </c>
      <c r="G12" s="33">
        <v>0</v>
      </c>
      <c r="H12" s="33">
        <v>555391</v>
      </c>
      <c r="I12" s="33">
        <v>99970</v>
      </c>
      <c r="J12" s="33">
        <v>655361</v>
      </c>
      <c r="K12" s="33">
        <v>5554</v>
      </c>
      <c r="L12" s="33">
        <v>27770</v>
      </c>
      <c r="M12" s="33">
        <v>55539</v>
      </c>
      <c r="N12" s="33">
        <v>55539</v>
      </c>
      <c r="O12" s="49">
        <v>99970</v>
      </c>
      <c r="P12" s="33">
        <v>0</v>
      </c>
      <c r="Q12" s="33">
        <v>410989</v>
      </c>
      <c r="R12" s="34"/>
      <c r="S12" s="33" t="s">
        <v>37</v>
      </c>
      <c r="T12" s="33">
        <v>100000</v>
      </c>
      <c r="U12" s="33">
        <v>1000</v>
      </c>
      <c r="V12" s="33">
        <f t="shared" si="0"/>
        <v>99000</v>
      </c>
      <c r="W12" s="36" t="s">
        <v>38</v>
      </c>
      <c r="X12" s="33"/>
    </row>
    <row r="13" spans="1:58" ht="24.9" customHeight="1" x14ac:dyDescent="0.3">
      <c r="A13" s="2">
        <v>53640</v>
      </c>
      <c r="B13" s="15" t="s">
        <v>46</v>
      </c>
      <c r="C13" s="15">
        <v>45021</v>
      </c>
      <c r="D13" s="32">
        <v>5</v>
      </c>
      <c r="E13" s="32"/>
      <c r="F13" s="33">
        <v>157998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49">
        <v>157998</v>
      </c>
      <c r="R13" s="34"/>
      <c r="S13" s="33" t="s">
        <v>39</v>
      </c>
      <c r="T13" s="33">
        <v>250000</v>
      </c>
      <c r="U13" s="33">
        <v>2500</v>
      </c>
      <c r="V13" s="33">
        <f t="shared" si="0"/>
        <v>247500</v>
      </c>
      <c r="W13" s="36" t="s">
        <v>40</v>
      </c>
      <c r="X13" s="33"/>
    </row>
    <row r="14" spans="1:58" ht="24.9" customHeight="1" x14ac:dyDescent="0.3">
      <c r="A14" s="2">
        <v>53640</v>
      </c>
      <c r="B14" s="15" t="s">
        <v>46</v>
      </c>
      <c r="C14" s="15">
        <v>45021</v>
      </c>
      <c r="D14" s="32">
        <v>6</v>
      </c>
      <c r="E14" s="32"/>
      <c r="F14" s="33">
        <v>98276</v>
      </c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49">
        <v>98276</v>
      </c>
      <c r="R14" s="34"/>
      <c r="S14" s="33" t="s">
        <v>41</v>
      </c>
      <c r="T14" s="33">
        <v>100000</v>
      </c>
      <c r="U14" s="33">
        <v>1000</v>
      </c>
      <c r="V14" s="33">
        <f t="shared" si="0"/>
        <v>99000</v>
      </c>
      <c r="W14" s="36" t="s">
        <v>42</v>
      </c>
      <c r="X14" s="33"/>
    </row>
    <row r="15" spans="1:58" ht="24.9" customHeight="1" x14ac:dyDescent="0.3">
      <c r="A15" s="2">
        <v>53640</v>
      </c>
      <c r="B15" s="15" t="s">
        <v>46</v>
      </c>
      <c r="C15" s="15">
        <v>45045</v>
      </c>
      <c r="D15" s="32">
        <v>7</v>
      </c>
      <c r="E15" s="32"/>
      <c r="F15" s="33">
        <v>99970</v>
      </c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49">
        <v>99970</v>
      </c>
      <c r="R15" s="34"/>
      <c r="S15" s="33"/>
      <c r="T15" s="33">
        <v>256274</v>
      </c>
      <c r="U15" s="33"/>
      <c r="V15" s="33">
        <f t="shared" si="0"/>
        <v>256274</v>
      </c>
      <c r="W15" s="61" t="s">
        <v>140</v>
      </c>
      <c r="X15" s="33"/>
    </row>
    <row r="16" spans="1:58" ht="24.9" customHeight="1" x14ac:dyDescent="0.3">
      <c r="A16" s="2">
        <v>53640</v>
      </c>
      <c r="B16" s="40" t="s">
        <v>45</v>
      </c>
      <c r="C16" s="15">
        <v>45134</v>
      </c>
      <c r="D16" s="41">
        <v>4</v>
      </c>
      <c r="E16" s="41"/>
      <c r="F16" s="33">
        <v>454626</v>
      </c>
      <c r="G16" s="33">
        <v>110427.09</v>
      </c>
      <c r="H16" s="33">
        <f>F16-G16</f>
        <v>344198.91000000003</v>
      </c>
      <c r="I16" s="33">
        <f>ROUND(H16*18%,)</f>
        <v>61956</v>
      </c>
      <c r="J16" s="33">
        <f>H16+I16</f>
        <v>406154.91000000003</v>
      </c>
      <c r="K16" s="33">
        <f>ROUND(H16*$K$6,)</f>
        <v>3442</v>
      </c>
      <c r="L16" s="33">
        <f>ROUND(H16*5%,)</f>
        <v>17210</v>
      </c>
      <c r="M16" s="33">
        <f t="shared" ref="M16" si="1">ROUND(H16*10%,)</f>
        <v>34420</v>
      </c>
      <c r="N16" s="33">
        <f>ROUND(H16*10%,)</f>
        <v>34420</v>
      </c>
      <c r="O16" s="49">
        <f>I16</f>
        <v>61956</v>
      </c>
      <c r="P16" s="33">
        <v>0</v>
      </c>
      <c r="Q16" s="33">
        <f>ROUND(J16-SUM(K16:P16),)</f>
        <v>254707</v>
      </c>
      <c r="R16" s="34"/>
      <c r="S16" s="33" t="s">
        <v>43</v>
      </c>
      <c r="T16" s="33">
        <v>99970</v>
      </c>
      <c r="U16" s="33"/>
      <c r="V16" s="33">
        <f t="shared" si="0"/>
        <v>99970</v>
      </c>
      <c r="W16" s="36" t="s">
        <v>44</v>
      </c>
      <c r="X16" s="33"/>
    </row>
    <row r="17" spans="1:58" ht="24.9" customHeight="1" x14ac:dyDescent="0.3">
      <c r="A17" s="2">
        <v>53640</v>
      </c>
      <c r="B17" s="40" t="s">
        <v>45</v>
      </c>
      <c r="C17" s="15">
        <v>45174</v>
      </c>
      <c r="D17" s="41">
        <v>6</v>
      </c>
      <c r="E17" s="41"/>
      <c r="F17" s="33">
        <v>320402</v>
      </c>
      <c r="G17" s="33">
        <v>0</v>
      </c>
      <c r="H17" s="33">
        <f>F17-G17</f>
        <v>320402</v>
      </c>
      <c r="I17" s="33">
        <f>ROUND(H17*18%,)</f>
        <v>57672</v>
      </c>
      <c r="J17" s="33">
        <f>H17+I17</f>
        <v>378074</v>
      </c>
      <c r="K17" s="33">
        <f>ROUND(H17*$K$6,)</f>
        <v>3204</v>
      </c>
      <c r="L17" s="33">
        <f>ROUND(H17*5%,)</f>
        <v>16020</v>
      </c>
      <c r="M17" s="33">
        <f t="shared" ref="M17" si="2">ROUND(H17*10%,)</f>
        <v>32040</v>
      </c>
      <c r="N17" s="33">
        <f>ROUND(H17*10%,)</f>
        <v>32040</v>
      </c>
      <c r="O17" s="49">
        <f>I17</f>
        <v>57672</v>
      </c>
      <c r="P17" s="33">
        <v>0</v>
      </c>
      <c r="Q17" s="33">
        <f>ROUND(J17-SUM(K17:P17),)</f>
        <v>237098</v>
      </c>
      <c r="R17" s="34"/>
      <c r="S17" s="33" t="s">
        <v>87</v>
      </c>
      <c r="T17" s="33">
        <v>220197</v>
      </c>
      <c r="U17" s="33"/>
      <c r="V17" s="33">
        <f>T17-U17</f>
        <v>220197</v>
      </c>
      <c r="W17" s="36" t="s">
        <v>76</v>
      </c>
      <c r="X17" s="33"/>
    </row>
    <row r="18" spans="1:58" ht="24.9" customHeight="1" x14ac:dyDescent="0.3">
      <c r="A18" s="2">
        <v>53640</v>
      </c>
      <c r="B18" s="40" t="s">
        <v>45</v>
      </c>
      <c r="C18" s="15">
        <v>45195</v>
      </c>
      <c r="D18" s="41">
        <v>8</v>
      </c>
      <c r="E18" s="41"/>
      <c r="F18" s="33">
        <v>175450</v>
      </c>
      <c r="G18" s="33">
        <v>0</v>
      </c>
      <c r="H18" s="33">
        <f>F18-G18</f>
        <v>175450</v>
      </c>
      <c r="I18" s="33">
        <f>ROUND(H18*18%,)</f>
        <v>31581</v>
      </c>
      <c r="J18" s="33">
        <f>H18+I18</f>
        <v>207031</v>
      </c>
      <c r="K18" s="33">
        <f>ROUND(H18*$K$6,)</f>
        <v>1755</v>
      </c>
      <c r="L18" s="33">
        <f>ROUND(H18*5%,)</f>
        <v>8773</v>
      </c>
      <c r="M18" s="33">
        <f t="shared" ref="M18" si="3">ROUND(H18*10%,)</f>
        <v>17545</v>
      </c>
      <c r="N18" s="33">
        <f>ROUND(H18*10%,)</f>
        <v>17545</v>
      </c>
      <c r="O18" s="49">
        <f>I18</f>
        <v>31581</v>
      </c>
      <c r="P18" s="33">
        <v>0</v>
      </c>
      <c r="Q18" s="33">
        <f>ROUND(J18-SUM(K18:P18),)</f>
        <v>129832</v>
      </c>
      <c r="R18" s="34"/>
      <c r="S18" s="33" t="s">
        <v>69</v>
      </c>
      <c r="T18" s="33">
        <v>50000</v>
      </c>
      <c r="U18" s="33">
        <v>500</v>
      </c>
      <c r="V18" s="33">
        <f t="shared" ref="V18" si="4">T18-U18</f>
        <v>49500</v>
      </c>
      <c r="W18" s="36" t="s">
        <v>68</v>
      </c>
      <c r="X18" s="33"/>
    </row>
    <row r="19" spans="1:58" ht="24.9" customHeight="1" x14ac:dyDescent="0.3">
      <c r="A19" s="2">
        <v>53640</v>
      </c>
      <c r="B19" s="40" t="s">
        <v>45</v>
      </c>
      <c r="C19" s="15">
        <v>45219</v>
      </c>
      <c r="D19" s="41">
        <v>11</v>
      </c>
      <c r="E19" s="41"/>
      <c r="F19" s="33">
        <v>671125</v>
      </c>
      <c r="G19" s="33">
        <v>0</v>
      </c>
      <c r="H19" s="33">
        <f>F19-G19</f>
        <v>671125</v>
      </c>
      <c r="I19" s="33">
        <f>ROUND(H19*18%,)</f>
        <v>120803</v>
      </c>
      <c r="J19" s="33">
        <f>H19+I19</f>
        <v>791928</v>
      </c>
      <c r="K19" s="33">
        <f>ROUND(H19*$K$6,)</f>
        <v>6711</v>
      </c>
      <c r="L19" s="33">
        <f>ROUND(H19*5%,)</f>
        <v>33556</v>
      </c>
      <c r="M19" s="33">
        <f t="shared" ref="M19" si="5">ROUND(H19*10%,)</f>
        <v>67113</v>
      </c>
      <c r="N19" s="33">
        <f>ROUND(H19*10%,)</f>
        <v>67113</v>
      </c>
      <c r="O19" s="49">
        <f>I19</f>
        <v>120803</v>
      </c>
      <c r="P19" s="33">
        <v>28618</v>
      </c>
      <c r="Q19" s="33">
        <f>ROUND(J19-SUM(K19:P19),)</f>
        <v>468014</v>
      </c>
      <c r="R19" s="34"/>
      <c r="S19" s="33" t="s">
        <v>71</v>
      </c>
      <c r="T19" s="33">
        <v>187599</v>
      </c>
      <c r="U19" s="33">
        <v>0</v>
      </c>
      <c r="V19" s="33">
        <f>T19-U19</f>
        <v>187599</v>
      </c>
      <c r="W19" s="36" t="s">
        <v>70</v>
      </c>
      <c r="X19" s="33"/>
    </row>
    <row r="20" spans="1:58" ht="24.9" customHeight="1" x14ac:dyDescent="0.3">
      <c r="A20" s="2">
        <v>53640</v>
      </c>
      <c r="B20" s="15" t="s">
        <v>46</v>
      </c>
      <c r="C20" s="15"/>
      <c r="D20" s="32">
        <v>4</v>
      </c>
      <c r="E20" s="32"/>
      <c r="F20" s="33">
        <f>O16</f>
        <v>61956</v>
      </c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49">
        <f>F20</f>
        <v>61956</v>
      </c>
      <c r="R20" s="34"/>
      <c r="S20" s="33" t="s">
        <v>72</v>
      </c>
      <c r="T20" s="33">
        <v>129832</v>
      </c>
      <c r="U20" s="33"/>
      <c r="V20" s="33">
        <f>T20-U20</f>
        <v>129832</v>
      </c>
      <c r="W20" s="36" t="s">
        <v>73</v>
      </c>
      <c r="X20" s="33"/>
    </row>
    <row r="21" spans="1:58" ht="24.9" customHeight="1" x14ac:dyDescent="0.3">
      <c r="A21" s="2">
        <v>53640</v>
      </c>
      <c r="B21" s="15" t="s">
        <v>46</v>
      </c>
      <c r="C21" s="15"/>
      <c r="D21" s="32" t="s">
        <v>92</v>
      </c>
      <c r="E21" s="32"/>
      <c r="F21" s="33">
        <f>O17+O18</f>
        <v>89253</v>
      </c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49">
        <f>F21</f>
        <v>89253</v>
      </c>
      <c r="R21" s="34"/>
      <c r="S21" s="33" t="s">
        <v>75</v>
      </c>
      <c r="T21" s="33">
        <v>150000</v>
      </c>
      <c r="U21" s="33">
        <f>T21*1%</f>
        <v>1500</v>
      </c>
      <c r="V21" s="33">
        <f>T21-U21</f>
        <v>148500</v>
      </c>
      <c r="W21" s="36" t="s">
        <v>74</v>
      </c>
      <c r="X21" s="33"/>
    </row>
    <row r="22" spans="1:58" ht="24.9" customHeight="1" x14ac:dyDescent="0.3">
      <c r="A22" s="2">
        <v>53640</v>
      </c>
      <c r="B22" s="15" t="s">
        <v>46</v>
      </c>
      <c r="C22" s="15"/>
      <c r="D22" s="32">
        <v>11</v>
      </c>
      <c r="E22" s="32"/>
      <c r="F22" s="33">
        <f>O19</f>
        <v>120803</v>
      </c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49">
        <f>F22</f>
        <v>120803</v>
      </c>
      <c r="R22" s="34"/>
      <c r="S22" s="33" t="s">
        <v>88</v>
      </c>
      <c r="T22" s="33">
        <v>319514</v>
      </c>
      <c r="U22" s="33"/>
      <c r="V22" s="33">
        <f t="shared" ref="V22:V27" si="6">T22-U22</f>
        <v>319514</v>
      </c>
      <c r="W22" s="35" t="s">
        <v>83</v>
      </c>
      <c r="X22" s="33"/>
    </row>
    <row r="23" spans="1:58" ht="24.9" customHeight="1" x14ac:dyDescent="0.3">
      <c r="A23" s="2">
        <v>53640</v>
      </c>
      <c r="B23" s="40" t="s">
        <v>45</v>
      </c>
      <c r="C23" s="15">
        <v>45360</v>
      </c>
      <c r="D23" s="41">
        <v>14</v>
      </c>
      <c r="E23" s="41"/>
      <c r="F23" s="33">
        <v>205283</v>
      </c>
      <c r="G23" s="33">
        <v>19075</v>
      </c>
      <c r="H23" s="33">
        <f>F23-G23</f>
        <v>186208</v>
      </c>
      <c r="I23" s="33">
        <f>ROUND(H23*18%,)</f>
        <v>33517</v>
      </c>
      <c r="J23" s="33">
        <f>H23+I23</f>
        <v>219725</v>
      </c>
      <c r="K23" s="33">
        <f>ROUND(H23*$K$6,)</f>
        <v>1862</v>
      </c>
      <c r="L23" s="33">
        <f>ROUND(H23*5%,)</f>
        <v>9310</v>
      </c>
      <c r="M23" s="33">
        <f t="shared" ref="M23" si="7">ROUND(H23*10%,)</f>
        <v>18621</v>
      </c>
      <c r="N23" s="33">
        <f>ROUND(H23*10%,)</f>
        <v>18621</v>
      </c>
      <c r="O23" s="49">
        <f>I23</f>
        <v>33517</v>
      </c>
      <c r="P23" s="33">
        <v>103330</v>
      </c>
      <c r="Q23" s="33">
        <f>ROUND(J23-SUM(K23:P23),)</f>
        <v>34464</v>
      </c>
      <c r="R23" s="34"/>
      <c r="S23" s="33" t="s">
        <v>90</v>
      </c>
      <c r="T23" s="33">
        <v>61956</v>
      </c>
      <c r="U23" s="33"/>
      <c r="V23" s="33">
        <f t="shared" si="6"/>
        <v>61956</v>
      </c>
      <c r="W23" s="35" t="s">
        <v>84</v>
      </c>
      <c r="X23" s="33"/>
    </row>
    <row r="24" spans="1:58" ht="24.9" customHeight="1" x14ac:dyDescent="0.3">
      <c r="A24" s="2">
        <v>53640</v>
      </c>
      <c r="B24" s="15" t="s">
        <v>46</v>
      </c>
      <c r="C24" s="15"/>
      <c r="D24" s="32">
        <v>14</v>
      </c>
      <c r="E24" s="32"/>
      <c r="F24" s="33">
        <f>O23</f>
        <v>33517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49">
        <f>F24</f>
        <v>33517</v>
      </c>
      <c r="R24" s="34"/>
      <c r="S24" s="33" t="s">
        <v>89</v>
      </c>
      <c r="T24" s="33">
        <v>150000</v>
      </c>
      <c r="U24" s="33">
        <f>T24*1%</f>
        <v>1500</v>
      </c>
      <c r="V24" s="33">
        <f t="shared" si="6"/>
        <v>148500</v>
      </c>
      <c r="W24" s="35" t="s">
        <v>85</v>
      </c>
      <c r="X24" s="33"/>
    </row>
    <row r="25" spans="1:58" ht="24.9" customHeight="1" x14ac:dyDescent="0.3">
      <c r="A25" s="2">
        <v>53640</v>
      </c>
      <c r="B25" s="40" t="s">
        <v>45</v>
      </c>
      <c r="C25" s="15">
        <v>45594</v>
      </c>
      <c r="D25" s="32">
        <v>12</v>
      </c>
      <c r="E25" s="32"/>
      <c r="F25" s="33">
        <v>907318</v>
      </c>
      <c r="G25" s="33">
        <v>221270</v>
      </c>
      <c r="H25" s="33">
        <f>F25-G25</f>
        <v>686048</v>
      </c>
      <c r="I25" s="33">
        <f>ROUND(H25*18%,)</f>
        <v>123489</v>
      </c>
      <c r="J25" s="33">
        <f>H25+I25</f>
        <v>809537</v>
      </c>
      <c r="K25" s="33">
        <f>ROUND(H25*$K$6,)</f>
        <v>6860</v>
      </c>
      <c r="L25" s="33">
        <f>ROUND(H25*5%,)</f>
        <v>34302</v>
      </c>
      <c r="M25" s="33">
        <f t="shared" ref="M25" si="8">ROUND(H25*10%,)</f>
        <v>68605</v>
      </c>
      <c r="N25" s="33">
        <f>ROUND(H25*10%,)</f>
        <v>68605</v>
      </c>
      <c r="O25" s="49">
        <f>I25</f>
        <v>123489</v>
      </c>
      <c r="P25" s="33"/>
      <c r="Q25" s="33">
        <f>ROUND(J25-SUM(K25:P25),)</f>
        <v>507676</v>
      </c>
      <c r="R25" s="50"/>
      <c r="S25" s="33" t="s">
        <v>91</v>
      </c>
      <c r="T25" s="33">
        <v>89254</v>
      </c>
      <c r="U25" s="33"/>
      <c r="V25" s="33">
        <f t="shared" si="6"/>
        <v>89254</v>
      </c>
      <c r="W25" s="35" t="s">
        <v>86</v>
      </c>
      <c r="X25" s="33"/>
    </row>
    <row r="26" spans="1:58" ht="24.9" customHeight="1" x14ac:dyDescent="0.3">
      <c r="A26" s="2">
        <v>53640</v>
      </c>
      <c r="B26" s="15" t="s">
        <v>46</v>
      </c>
      <c r="C26" s="15"/>
      <c r="D26" s="32">
        <v>12</v>
      </c>
      <c r="E26" s="32"/>
      <c r="F26" s="33">
        <f>O25</f>
        <v>123489</v>
      </c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49">
        <f>F26</f>
        <v>123489</v>
      </c>
      <c r="R26" s="34"/>
      <c r="S26" s="33" t="s">
        <v>100</v>
      </c>
      <c r="T26" s="33">
        <v>120803</v>
      </c>
      <c r="U26" s="33"/>
      <c r="V26" s="33">
        <f t="shared" si="6"/>
        <v>120803</v>
      </c>
      <c r="W26" s="35" t="s">
        <v>99</v>
      </c>
      <c r="X26" s="33"/>
    </row>
    <row r="27" spans="1:58" ht="24.9" customHeight="1" x14ac:dyDescent="0.3">
      <c r="A27" s="2">
        <v>53640</v>
      </c>
      <c r="B27" s="15"/>
      <c r="C27" s="15"/>
      <c r="D27" s="32"/>
      <c r="E27" s="32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4"/>
      <c r="S27" s="33" t="s">
        <v>113</v>
      </c>
      <c r="T27" s="33">
        <v>250000</v>
      </c>
      <c r="U27" s="33">
        <f>T27*1%</f>
        <v>2500</v>
      </c>
      <c r="V27" s="33">
        <f t="shared" si="6"/>
        <v>247500</v>
      </c>
      <c r="W27" s="35" t="s">
        <v>112</v>
      </c>
      <c r="X27" s="33"/>
    </row>
    <row r="28" spans="1:58" ht="24.9" customHeight="1" x14ac:dyDescent="0.3">
      <c r="A28" s="2">
        <v>53640</v>
      </c>
      <c r="B28" s="15"/>
      <c r="C28" s="15"/>
      <c r="D28" s="32"/>
      <c r="E28" s="32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4"/>
      <c r="S28" s="33"/>
      <c r="T28" s="33"/>
      <c r="U28" s="33"/>
      <c r="V28" s="33">
        <v>247500</v>
      </c>
      <c r="W28" s="35" t="s">
        <v>114</v>
      </c>
      <c r="X28" s="33"/>
    </row>
    <row r="29" spans="1:58" ht="24.9" customHeight="1" x14ac:dyDescent="0.3">
      <c r="A29" s="2">
        <v>53640</v>
      </c>
      <c r="B29" s="15"/>
      <c r="C29" s="15"/>
      <c r="D29" s="32"/>
      <c r="E29" s="32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4"/>
      <c r="S29" s="33"/>
      <c r="T29" s="33"/>
      <c r="U29" s="33"/>
      <c r="V29" s="33">
        <v>198000</v>
      </c>
      <c r="W29" s="35" t="s">
        <v>115</v>
      </c>
      <c r="X29" s="33"/>
    </row>
    <row r="30" spans="1:58" ht="24.9" customHeight="1" x14ac:dyDescent="0.3">
      <c r="A30" s="2">
        <v>53640</v>
      </c>
      <c r="B30" s="15"/>
      <c r="C30" s="15"/>
      <c r="D30" s="32"/>
      <c r="E30" s="32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4"/>
      <c r="S30" s="33"/>
      <c r="T30" s="33"/>
      <c r="U30" s="33"/>
      <c r="V30" s="33">
        <v>198000</v>
      </c>
      <c r="W30" s="35" t="s">
        <v>117</v>
      </c>
      <c r="X30" s="33"/>
    </row>
    <row r="31" spans="1:58" s="25" customFormat="1" ht="24.9" customHeight="1" x14ac:dyDescent="0.3">
      <c r="B31" s="37"/>
      <c r="C31" s="37"/>
      <c r="D31" s="38"/>
      <c r="E31" s="38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0">
        <v>51737</v>
      </c>
      <c r="S31" s="31"/>
      <c r="T31" s="31"/>
      <c r="U31" s="31"/>
      <c r="V31" s="31"/>
      <c r="W31" s="39"/>
      <c r="X31" s="31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</row>
    <row r="32" spans="1:58" ht="24.9" customHeight="1" x14ac:dyDescent="0.3">
      <c r="A32" s="2">
        <v>51737</v>
      </c>
      <c r="B32" s="15" t="s">
        <v>47</v>
      </c>
      <c r="C32" s="15">
        <v>44824</v>
      </c>
      <c r="D32" s="32">
        <v>1</v>
      </c>
      <c r="E32" s="32"/>
      <c r="F32" s="33">
        <v>2107070.25</v>
      </c>
      <c r="G32" s="33">
        <v>54041.999999999993</v>
      </c>
      <c r="H32" s="33">
        <v>2053028.25</v>
      </c>
      <c r="I32" s="33">
        <v>369545</v>
      </c>
      <c r="J32" s="33">
        <v>2422573.25</v>
      </c>
      <c r="K32" s="33">
        <f>H32*1%</f>
        <v>20530.282500000001</v>
      </c>
      <c r="L32" s="33">
        <f>H32*10%</f>
        <v>205302.82500000001</v>
      </c>
      <c r="M32" s="33"/>
      <c r="N32" s="33">
        <f>H32*10%</f>
        <v>205302.82500000001</v>
      </c>
      <c r="O32" s="49">
        <f>I32</f>
        <v>369545</v>
      </c>
      <c r="P32" s="33">
        <v>314949</v>
      </c>
      <c r="Q32" s="33">
        <f>H32-K32-L32-M32-N32-P32</f>
        <v>1306943.3175000001</v>
      </c>
      <c r="R32" s="34"/>
      <c r="S32" s="33" t="s">
        <v>48</v>
      </c>
      <c r="T32" s="33">
        <v>200000</v>
      </c>
      <c r="U32" s="33">
        <f t="shared" ref="U32:U35" si="9">T32*1%</f>
        <v>2000</v>
      </c>
      <c r="V32" s="33">
        <f>T32-U32</f>
        <v>198000</v>
      </c>
      <c r="W32" s="35" t="s">
        <v>49</v>
      </c>
      <c r="X32" s="33">
        <f>SUM(Q32:Q53)-SUM(V32:V53)</f>
        <v>-823659.36449999968</v>
      </c>
    </row>
    <row r="33" spans="1:24" ht="24.9" customHeight="1" x14ac:dyDescent="0.3">
      <c r="A33" s="2">
        <v>51737</v>
      </c>
      <c r="B33" s="15" t="s">
        <v>47</v>
      </c>
      <c r="C33" s="15">
        <v>44847</v>
      </c>
      <c r="D33" s="32">
        <v>2</v>
      </c>
      <c r="E33" s="32"/>
      <c r="F33" s="33">
        <v>231800.2</v>
      </c>
      <c r="G33" s="33">
        <v>0</v>
      </c>
      <c r="H33" s="33">
        <v>231800.2</v>
      </c>
      <c r="I33" s="33">
        <v>41724</v>
      </c>
      <c r="J33" s="33">
        <v>273524.2</v>
      </c>
      <c r="K33" s="33">
        <f>H33*1%</f>
        <v>2318.002</v>
      </c>
      <c r="L33" s="33">
        <f>H33*10%</f>
        <v>23180.020000000004</v>
      </c>
      <c r="M33" s="33"/>
      <c r="N33" s="33">
        <f>H33*10%</f>
        <v>23180.020000000004</v>
      </c>
      <c r="O33" s="49">
        <f>I33</f>
        <v>41724</v>
      </c>
      <c r="P33" s="33"/>
      <c r="Q33" s="33">
        <f>H33-K33-L33-M33-N33-P33</f>
        <v>183122.158</v>
      </c>
      <c r="R33" s="34"/>
      <c r="S33" s="33" t="s">
        <v>50</v>
      </c>
      <c r="T33" s="33">
        <v>200000</v>
      </c>
      <c r="U33" s="33">
        <f t="shared" si="9"/>
        <v>2000</v>
      </c>
      <c r="V33" s="33">
        <f t="shared" ref="V33:V45" si="10">T33-U33</f>
        <v>198000</v>
      </c>
      <c r="W33" s="35" t="s">
        <v>51</v>
      </c>
      <c r="X33" s="33"/>
    </row>
    <row r="34" spans="1:24" ht="24.9" customHeight="1" x14ac:dyDescent="0.3">
      <c r="A34" s="2">
        <v>51737</v>
      </c>
      <c r="B34" s="15" t="s">
        <v>46</v>
      </c>
      <c r="C34" s="15"/>
      <c r="D34" s="32">
        <v>1</v>
      </c>
      <c r="E34" s="32"/>
      <c r="F34" s="33">
        <v>369545</v>
      </c>
      <c r="G34" s="33">
        <v>0</v>
      </c>
      <c r="H34" s="33">
        <v>369545</v>
      </c>
      <c r="I34" s="33">
        <v>0</v>
      </c>
      <c r="J34" s="33">
        <v>369545</v>
      </c>
      <c r="K34" s="33">
        <v>0</v>
      </c>
      <c r="L34" s="33"/>
      <c r="M34" s="33"/>
      <c r="N34" s="33"/>
      <c r="O34" s="33"/>
      <c r="P34" s="33"/>
      <c r="Q34" s="49">
        <v>369545</v>
      </c>
      <c r="R34" s="34"/>
      <c r="S34" s="33" t="s">
        <v>52</v>
      </c>
      <c r="T34" s="33">
        <v>150000</v>
      </c>
      <c r="U34" s="33">
        <f t="shared" si="9"/>
        <v>1500</v>
      </c>
      <c r="V34" s="33">
        <f t="shared" si="10"/>
        <v>148500</v>
      </c>
      <c r="W34" s="35" t="s">
        <v>53</v>
      </c>
      <c r="X34" s="33"/>
    </row>
    <row r="35" spans="1:24" ht="24.9" customHeight="1" x14ac:dyDescent="0.3">
      <c r="A35" s="2">
        <v>51737</v>
      </c>
      <c r="B35" s="15" t="s">
        <v>46</v>
      </c>
      <c r="C35" s="15"/>
      <c r="D35" s="32">
        <v>2</v>
      </c>
      <c r="E35" s="32"/>
      <c r="F35" s="33">
        <v>41724</v>
      </c>
      <c r="G35" s="33">
        <v>0</v>
      </c>
      <c r="H35" s="33">
        <v>41724</v>
      </c>
      <c r="I35" s="33">
        <v>0</v>
      </c>
      <c r="J35" s="33">
        <v>41724</v>
      </c>
      <c r="K35" s="33">
        <v>0</v>
      </c>
      <c r="L35" s="33">
        <v>0</v>
      </c>
      <c r="M35" s="33"/>
      <c r="N35" s="33"/>
      <c r="O35" s="33"/>
      <c r="P35" s="33">
        <v>0</v>
      </c>
      <c r="Q35" s="49">
        <v>41724</v>
      </c>
      <c r="R35" s="34"/>
      <c r="S35" s="33" t="s">
        <v>54</v>
      </c>
      <c r="T35" s="33">
        <v>600000</v>
      </c>
      <c r="U35" s="33">
        <f t="shared" si="9"/>
        <v>6000</v>
      </c>
      <c r="V35" s="33">
        <f t="shared" si="10"/>
        <v>594000</v>
      </c>
      <c r="W35" s="35" t="s">
        <v>55</v>
      </c>
      <c r="X35" s="33"/>
    </row>
    <row r="36" spans="1:24" ht="24.9" customHeight="1" x14ac:dyDescent="0.3">
      <c r="A36" s="2">
        <v>51737</v>
      </c>
      <c r="B36" s="15" t="s">
        <v>47</v>
      </c>
      <c r="C36" s="15">
        <v>45218</v>
      </c>
      <c r="D36" s="32">
        <v>10</v>
      </c>
      <c r="E36" s="32"/>
      <c r="F36" s="33">
        <v>270086</v>
      </c>
      <c r="G36" s="33">
        <v>0</v>
      </c>
      <c r="H36" s="33">
        <f>F36-G36</f>
        <v>270086</v>
      </c>
      <c r="I36" s="33">
        <f>H36*18%</f>
        <v>48615.479999999996</v>
      </c>
      <c r="J36" s="33">
        <f>H36+I36</f>
        <v>318701.48</v>
      </c>
      <c r="K36" s="33">
        <f>H36*1%</f>
        <v>2700.86</v>
      </c>
      <c r="L36" s="33">
        <f>H36*5%</f>
        <v>13504.300000000001</v>
      </c>
      <c r="M36" s="33">
        <f>H36*10%</f>
        <v>27008.600000000002</v>
      </c>
      <c r="N36" s="33">
        <f>H36*10%</f>
        <v>27008.600000000002</v>
      </c>
      <c r="O36" s="49">
        <f>I36</f>
        <v>48615.479999999996</v>
      </c>
      <c r="P36" s="33">
        <v>0</v>
      </c>
      <c r="Q36" s="33">
        <f>H36-K36-L36-M36-N36</f>
        <v>199863.64</v>
      </c>
      <c r="R36" s="34"/>
      <c r="S36" s="33" t="s">
        <v>56</v>
      </c>
      <c r="T36" s="33">
        <v>300000</v>
      </c>
      <c r="U36" s="33">
        <f>T36*1%</f>
        <v>3000</v>
      </c>
      <c r="V36" s="33">
        <f t="shared" si="10"/>
        <v>297000</v>
      </c>
      <c r="W36" s="35" t="s">
        <v>57</v>
      </c>
      <c r="X36" s="33"/>
    </row>
    <row r="37" spans="1:24" ht="24.9" customHeight="1" x14ac:dyDescent="0.3">
      <c r="A37" s="2">
        <v>51737</v>
      </c>
      <c r="B37" s="15" t="s">
        <v>47</v>
      </c>
      <c r="C37" s="15">
        <v>45231</v>
      </c>
      <c r="D37" s="32">
        <v>12</v>
      </c>
      <c r="E37" s="32"/>
      <c r="F37" s="33">
        <v>316012</v>
      </c>
      <c r="G37" s="33">
        <v>0</v>
      </c>
      <c r="H37" s="33">
        <v>316012</v>
      </c>
      <c r="I37" s="33">
        <f>H37*18%</f>
        <v>56882.159999999996</v>
      </c>
      <c r="J37" s="33">
        <f>H37+I37</f>
        <v>372894.16</v>
      </c>
      <c r="K37" s="33">
        <f>H37*1%</f>
        <v>3160.12</v>
      </c>
      <c r="L37" s="33">
        <f>H37*5%</f>
        <v>15800.6</v>
      </c>
      <c r="M37" s="33">
        <f>H37*10%</f>
        <v>31601.200000000001</v>
      </c>
      <c r="N37" s="33">
        <f>H37*10%</f>
        <v>31601.200000000001</v>
      </c>
      <c r="O37" s="49">
        <f>I37</f>
        <v>56882.159999999996</v>
      </c>
      <c r="P37" s="33">
        <v>0</v>
      </c>
      <c r="Q37" s="33">
        <f>H37-K37-L37-M37-N37</f>
        <v>233848.88</v>
      </c>
      <c r="R37" s="34"/>
      <c r="S37" s="33" t="s">
        <v>58</v>
      </c>
      <c r="T37" s="33">
        <v>54565</v>
      </c>
      <c r="U37" s="33">
        <v>0</v>
      </c>
      <c r="V37" s="33">
        <f t="shared" si="10"/>
        <v>54565</v>
      </c>
      <c r="W37" s="35" t="s">
        <v>59</v>
      </c>
      <c r="X37" s="33"/>
    </row>
    <row r="38" spans="1:24" ht="24.9" customHeight="1" x14ac:dyDescent="0.3">
      <c r="A38" s="2">
        <v>51737</v>
      </c>
      <c r="B38" s="15" t="s">
        <v>46</v>
      </c>
      <c r="C38" s="15"/>
      <c r="D38" s="32">
        <v>10</v>
      </c>
      <c r="E38" s="32"/>
      <c r="F38" s="33">
        <f>O36</f>
        <v>48615.479999999996</v>
      </c>
      <c r="G38" s="33">
        <v>0</v>
      </c>
      <c r="H38" s="33"/>
      <c r="I38" s="33">
        <v>0</v>
      </c>
      <c r="J38" s="33"/>
      <c r="K38" s="33">
        <v>0</v>
      </c>
      <c r="L38" s="33">
        <v>0</v>
      </c>
      <c r="M38" s="33"/>
      <c r="N38" s="33"/>
      <c r="O38" s="33"/>
      <c r="P38" s="33">
        <v>0</v>
      </c>
      <c r="Q38" s="49">
        <f>F38</f>
        <v>48615.479999999996</v>
      </c>
      <c r="R38" s="34"/>
      <c r="S38" s="33" t="s">
        <v>60</v>
      </c>
      <c r="T38" s="33">
        <v>200000</v>
      </c>
      <c r="U38" s="33">
        <v>0</v>
      </c>
      <c r="V38" s="33">
        <f>T38-U38</f>
        <v>200000</v>
      </c>
      <c r="W38" s="35" t="s">
        <v>61</v>
      </c>
      <c r="X38" s="33"/>
    </row>
    <row r="39" spans="1:24" ht="24.9" customHeight="1" x14ac:dyDescent="0.3">
      <c r="A39" s="2">
        <v>51737</v>
      </c>
      <c r="B39" s="15" t="s">
        <v>46</v>
      </c>
      <c r="C39" s="15"/>
      <c r="D39" s="32">
        <v>12</v>
      </c>
      <c r="E39" s="32"/>
      <c r="F39" s="33">
        <f>O37</f>
        <v>56882.159999999996</v>
      </c>
      <c r="G39" s="33">
        <v>0</v>
      </c>
      <c r="H39" s="33"/>
      <c r="I39" s="33">
        <v>0</v>
      </c>
      <c r="J39" s="33"/>
      <c r="K39" s="33">
        <v>0</v>
      </c>
      <c r="L39" s="33">
        <v>0</v>
      </c>
      <c r="M39" s="33"/>
      <c r="N39" s="33"/>
      <c r="O39" s="33"/>
      <c r="P39" s="33">
        <v>0</v>
      </c>
      <c r="Q39" s="49">
        <f>F39</f>
        <v>56882.159999999996</v>
      </c>
      <c r="R39" s="34"/>
      <c r="S39" s="33" t="s">
        <v>62</v>
      </c>
      <c r="T39" s="33">
        <v>369545</v>
      </c>
      <c r="U39" s="33"/>
      <c r="V39" s="33">
        <f t="shared" si="10"/>
        <v>369545</v>
      </c>
      <c r="W39" s="35" t="s">
        <v>63</v>
      </c>
      <c r="X39" s="33"/>
    </row>
    <row r="40" spans="1:24" ht="24.9" customHeight="1" x14ac:dyDescent="0.3">
      <c r="A40" s="2">
        <v>51737</v>
      </c>
      <c r="B40" s="15"/>
      <c r="C40" s="15"/>
      <c r="D40" s="32"/>
      <c r="E40" s="32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4"/>
      <c r="S40" s="33" t="s">
        <v>64</v>
      </c>
      <c r="T40" s="33">
        <v>41724</v>
      </c>
      <c r="U40" s="33"/>
      <c r="V40" s="33">
        <f t="shared" si="10"/>
        <v>41724</v>
      </c>
      <c r="W40" s="35" t="s">
        <v>65</v>
      </c>
      <c r="X40" s="33"/>
    </row>
    <row r="41" spans="1:24" ht="24.9" customHeight="1" x14ac:dyDescent="0.3">
      <c r="A41" s="2">
        <v>51737</v>
      </c>
      <c r="B41" s="15"/>
      <c r="C41" s="15"/>
      <c r="D41" s="32"/>
      <c r="E41" s="32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4"/>
      <c r="S41" s="33" t="s">
        <v>66</v>
      </c>
      <c r="T41" s="33">
        <v>50000</v>
      </c>
      <c r="U41" s="33">
        <f>T41*1%</f>
        <v>500</v>
      </c>
      <c r="V41" s="33">
        <f t="shared" si="10"/>
        <v>49500</v>
      </c>
      <c r="W41" s="35" t="s">
        <v>67</v>
      </c>
      <c r="X41" s="33"/>
    </row>
    <row r="42" spans="1:24" ht="24.9" customHeight="1" x14ac:dyDescent="0.3">
      <c r="A42" s="2">
        <v>51737</v>
      </c>
      <c r="B42" s="15"/>
      <c r="C42" s="15"/>
      <c r="D42" s="32"/>
      <c r="E42" s="32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/>
      <c r="S42" s="11" t="s">
        <v>79</v>
      </c>
      <c r="T42" s="33">
        <v>150000</v>
      </c>
      <c r="U42" s="33">
        <f t="shared" ref="U42:U44" si="11">T42*1%</f>
        <v>1500</v>
      </c>
      <c r="V42" s="33">
        <f t="shared" si="10"/>
        <v>148500</v>
      </c>
      <c r="W42" s="35" t="s">
        <v>77</v>
      </c>
      <c r="X42" s="33"/>
    </row>
    <row r="43" spans="1:24" ht="24.9" customHeight="1" x14ac:dyDescent="0.3">
      <c r="A43" s="2">
        <v>51737</v>
      </c>
      <c r="B43" s="15"/>
      <c r="C43" s="15"/>
      <c r="D43" s="32"/>
      <c r="E43" s="32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4"/>
      <c r="S43" s="11" t="s">
        <v>80</v>
      </c>
      <c r="T43" s="33">
        <v>120000</v>
      </c>
      <c r="U43" s="33">
        <f t="shared" si="11"/>
        <v>1200</v>
      </c>
      <c r="V43" s="33">
        <f t="shared" si="10"/>
        <v>118800</v>
      </c>
      <c r="W43" s="35" t="s">
        <v>78</v>
      </c>
      <c r="X43" s="33"/>
    </row>
    <row r="44" spans="1:24" ht="24.9" customHeight="1" x14ac:dyDescent="0.3">
      <c r="A44" s="2">
        <v>51737</v>
      </c>
      <c r="B44" s="15"/>
      <c r="C44" s="15"/>
      <c r="D44" s="32"/>
      <c r="E44" s="32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4"/>
      <c r="S44" s="33" t="s">
        <v>82</v>
      </c>
      <c r="T44" s="33">
        <v>100000</v>
      </c>
      <c r="U44" s="33">
        <f t="shared" si="11"/>
        <v>1000</v>
      </c>
      <c r="V44" s="33">
        <f t="shared" si="10"/>
        <v>99000</v>
      </c>
      <c r="W44" s="35" t="s">
        <v>81</v>
      </c>
      <c r="X44" s="33"/>
    </row>
    <row r="45" spans="1:24" ht="24.9" customHeight="1" x14ac:dyDescent="0.3">
      <c r="A45" s="2">
        <v>51737</v>
      </c>
      <c r="B45" s="15"/>
      <c r="C45" s="15"/>
      <c r="D45" s="32"/>
      <c r="E45" s="32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4"/>
      <c r="S45" s="11" t="s">
        <v>95</v>
      </c>
      <c r="T45" s="33">
        <v>17873</v>
      </c>
      <c r="U45" s="33"/>
      <c r="V45" s="33">
        <f t="shared" si="10"/>
        <v>17873</v>
      </c>
      <c r="W45" s="35" t="s">
        <v>94</v>
      </c>
      <c r="X45" s="33"/>
    </row>
    <row r="46" spans="1:24" ht="24.9" customHeight="1" x14ac:dyDescent="0.3">
      <c r="A46" s="2">
        <v>51737</v>
      </c>
      <c r="B46" s="15"/>
      <c r="C46" s="15"/>
      <c r="D46" s="32"/>
      <c r="E46" s="32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4"/>
      <c r="S46" s="33" t="s">
        <v>96</v>
      </c>
      <c r="T46" s="33">
        <v>48615</v>
      </c>
      <c r="U46" s="33"/>
      <c r="V46" s="33">
        <f t="shared" ref="V46:V47" si="12">T46-U46</f>
        <v>48615</v>
      </c>
      <c r="W46" s="36" t="s">
        <v>93</v>
      </c>
      <c r="X46" s="33"/>
    </row>
    <row r="47" spans="1:24" ht="24.9" customHeight="1" x14ac:dyDescent="0.3">
      <c r="A47" s="2">
        <v>51737</v>
      </c>
      <c r="B47" s="15"/>
      <c r="C47" s="15"/>
      <c r="D47" s="32"/>
      <c r="E47" s="32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4"/>
      <c r="S47" s="33" t="s">
        <v>102</v>
      </c>
      <c r="T47" s="33">
        <v>80000</v>
      </c>
      <c r="U47" s="33">
        <f t="shared" ref="U47" si="13">T47*1%</f>
        <v>800</v>
      </c>
      <c r="V47" s="33">
        <f t="shared" si="12"/>
        <v>79200</v>
      </c>
      <c r="W47" s="36" t="s">
        <v>101</v>
      </c>
      <c r="X47" s="33"/>
    </row>
    <row r="48" spans="1:24" ht="24.9" customHeight="1" x14ac:dyDescent="0.3">
      <c r="A48" s="2">
        <v>51737</v>
      </c>
      <c r="B48" s="15"/>
      <c r="C48" s="15"/>
      <c r="D48" s="32"/>
      <c r="E48" s="32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4"/>
      <c r="S48" s="33"/>
      <c r="T48" s="33"/>
      <c r="U48" s="33"/>
      <c r="V48" s="33">
        <v>56882</v>
      </c>
      <c r="W48" s="36" t="s">
        <v>105</v>
      </c>
      <c r="X48" s="33"/>
    </row>
    <row r="49" spans="1:58" ht="24.9" customHeight="1" x14ac:dyDescent="0.3">
      <c r="A49" s="2">
        <v>51737</v>
      </c>
      <c r="B49" s="15"/>
      <c r="C49" s="15"/>
      <c r="D49" s="32"/>
      <c r="E49" s="32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4"/>
      <c r="S49" s="33"/>
      <c r="T49" s="33"/>
      <c r="U49" s="33"/>
      <c r="V49" s="33">
        <v>99000</v>
      </c>
      <c r="W49" s="36" t="s">
        <v>107</v>
      </c>
      <c r="X49" s="33"/>
    </row>
    <row r="50" spans="1:58" ht="24.9" customHeight="1" x14ac:dyDescent="0.3">
      <c r="A50" s="2">
        <v>51737</v>
      </c>
      <c r="B50" s="15"/>
      <c r="C50" s="15"/>
      <c r="D50" s="32"/>
      <c r="E50" s="32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4"/>
      <c r="S50" s="33"/>
      <c r="T50" s="33"/>
      <c r="U50" s="33"/>
      <c r="V50" s="33">
        <v>74250</v>
      </c>
      <c r="W50" s="36" t="s">
        <v>109</v>
      </c>
      <c r="X50" s="33"/>
    </row>
    <row r="51" spans="1:58" ht="24.9" customHeight="1" x14ac:dyDescent="0.3">
      <c r="A51" s="2">
        <v>51737</v>
      </c>
      <c r="B51" s="15"/>
      <c r="C51" s="15"/>
      <c r="D51" s="32"/>
      <c r="E51" s="32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4"/>
      <c r="S51" s="33"/>
      <c r="T51" s="33"/>
      <c r="U51" s="33"/>
      <c r="V51" s="33">
        <v>74250</v>
      </c>
      <c r="W51" s="36" t="s">
        <v>110</v>
      </c>
      <c r="X51" s="33"/>
    </row>
    <row r="52" spans="1:58" ht="24.9" customHeight="1" x14ac:dyDescent="0.3">
      <c r="A52" s="2">
        <v>51737</v>
      </c>
      <c r="B52" s="15"/>
      <c r="C52" s="15"/>
      <c r="D52" s="32"/>
      <c r="E52" s="32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4"/>
      <c r="S52" s="33"/>
      <c r="T52" s="33"/>
      <c r="U52" s="33"/>
      <c r="V52" s="33">
        <v>99000</v>
      </c>
      <c r="W52" s="36" t="s">
        <v>111</v>
      </c>
      <c r="X52" s="33"/>
    </row>
    <row r="53" spans="1:58" ht="24.9" customHeight="1" x14ac:dyDescent="0.3">
      <c r="A53" s="2">
        <v>51737</v>
      </c>
      <c r="B53" s="15"/>
      <c r="C53" s="15"/>
      <c r="D53" s="32"/>
      <c r="E53" s="32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4"/>
      <c r="S53" s="33"/>
      <c r="T53" s="33"/>
      <c r="U53" s="33"/>
      <c r="V53" s="33">
        <v>198000</v>
      </c>
      <c r="W53" s="36" t="s">
        <v>116</v>
      </c>
      <c r="X53" s="33"/>
    </row>
    <row r="54" spans="1:58" s="25" customFormat="1" ht="24.9" customHeight="1" x14ac:dyDescent="0.3">
      <c r="A54" s="25">
        <v>62993</v>
      </c>
      <c r="B54" s="37"/>
      <c r="C54" s="37"/>
      <c r="D54" s="38"/>
      <c r="E54" s="38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0">
        <v>62993</v>
      </c>
      <c r="S54" s="31"/>
      <c r="T54" s="31"/>
      <c r="U54" s="31"/>
      <c r="V54" s="31"/>
      <c r="W54" s="39"/>
      <c r="X54" s="31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  <row r="55" spans="1:58" ht="24.9" customHeight="1" x14ac:dyDescent="0.3">
      <c r="A55" s="25">
        <v>62993</v>
      </c>
      <c r="B55" s="15" t="s">
        <v>141</v>
      </c>
      <c r="C55" s="15">
        <v>45363</v>
      </c>
      <c r="D55" s="32">
        <v>15</v>
      </c>
      <c r="E55" s="32"/>
      <c r="F55" s="33">
        <v>260280</v>
      </c>
      <c r="G55" s="33"/>
      <c r="H55" s="33">
        <f>F55-G55</f>
        <v>260280</v>
      </c>
      <c r="I55" s="33">
        <f>H55*18%</f>
        <v>46850.400000000001</v>
      </c>
      <c r="J55" s="33">
        <f>H55+I55</f>
        <v>307130.40000000002</v>
      </c>
      <c r="K55" s="33">
        <f>H55*1%</f>
        <v>2602.8000000000002</v>
      </c>
      <c r="L55" s="33">
        <f>H55*5%</f>
        <v>13014</v>
      </c>
      <c r="M55" s="33">
        <f>H55*10%</f>
        <v>26028</v>
      </c>
      <c r="N55" s="33">
        <f>H55*10%</f>
        <v>26028</v>
      </c>
      <c r="O55" s="49">
        <f>I55</f>
        <v>46850.400000000001</v>
      </c>
      <c r="P55" s="33">
        <v>8870</v>
      </c>
      <c r="Q55" s="33">
        <f>J55-SUM(K55:P55)</f>
        <v>183737.2</v>
      </c>
      <c r="R55" s="34"/>
      <c r="S55" s="33"/>
      <c r="T55" s="33"/>
      <c r="U55" s="33"/>
      <c r="V55" s="33">
        <v>183737</v>
      </c>
      <c r="W55" s="36" t="s">
        <v>106</v>
      </c>
      <c r="X55" s="33">
        <f>SUM(Q55:Q57)-SUM(V55:V57)</f>
        <v>46850.600000000006</v>
      </c>
    </row>
    <row r="56" spans="1:58" ht="24.9" customHeight="1" x14ac:dyDescent="0.3">
      <c r="A56" s="25">
        <v>62993</v>
      </c>
      <c r="B56" s="15" t="s">
        <v>104</v>
      </c>
      <c r="C56" s="15"/>
      <c r="D56" s="32">
        <v>15</v>
      </c>
      <c r="E56" s="32"/>
      <c r="F56" s="33">
        <f>O55</f>
        <v>46850.400000000001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49">
        <f>F56</f>
        <v>46850.400000000001</v>
      </c>
      <c r="R56" s="34"/>
      <c r="S56" s="33"/>
      <c r="T56" s="33"/>
      <c r="U56" s="33"/>
      <c r="V56" s="33"/>
      <c r="W56" s="36"/>
      <c r="X56" s="33"/>
    </row>
    <row r="57" spans="1:58" ht="24.9" customHeight="1" x14ac:dyDescent="0.3">
      <c r="A57" s="25">
        <v>62993</v>
      </c>
      <c r="B57" s="15"/>
      <c r="C57" s="15"/>
      <c r="D57" s="32"/>
      <c r="E57" s="32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4"/>
      <c r="S57" s="33"/>
      <c r="T57" s="33"/>
      <c r="U57" s="33"/>
      <c r="V57" s="33"/>
      <c r="W57" s="36"/>
      <c r="X57" s="33"/>
    </row>
    <row r="58" spans="1:58" s="25" customFormat="1" ht="24.9" customHeight="1" x14ac:dyDescent="0.3">
      <c r="B58" s="37"/>
      <c r="C58" s="37"/>
      <c r="D58" s="38"/>
      <c r="E58" s="38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0"/>
      <c r="S58" s="31"/>
      <c r="T58" s="31"/>
      <c r="U58" s="31"/>
      <c r="V58" s="31"/>
      <c r="W58" s="39"/>
      <c r="X58" s="31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</row>
    <row r="59" spans="1:58" ht="24.9" customHeight="1" x14ac:dyDescent="0.3">
      <c r="B59" s="15"/>
      <c r="C59" s="15"/>
      <c r="D59" s="32"/>
      <c r="E59" s="32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4"/>
      <c r="S59" s="33"/>
      <c r="T59" s="33"/>
      <c r="U59" s="33"/>
      <c r="V59" s="33"/>
      <c r="W59" s="36"/>
      <c r="X59" s="33"/>
    </row>
    <row r="60" spans="1:58" ht="24.9" customHeight="1" thickBot="1" x14ac:dyDescent="0.35">
      <c r="B60" s="15"/>
      <c r="C60" s="15"/>
      <c r="D60" s="32"/>
      <c r="E60" s="32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4"/>
      <c r="S60" s="33"/>
      <c r="T60" s="33"/>
      <c r="U60" s="33"/>
      <c r="V60" s="33"/>
      <c r="W60" s="36"/>
      <c r="X60" s="33"/>
    </row>
    <row r="61" spans="1:58" ht="24.9" customHeight="1" x14ac:dyDescent="0.3"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8"/>
      <c r="S61" s="29"/>
      <c r="T61" s="29"/>
      <c r="U61" s="29"/>
      <c r="V61" s="29"/>
      <c r="W61" s="29"/>
      <c r="X61" s="29"/>
    </row>
    <row r="62" spans="1:58" ht="24.9" customHeight="1" x14ac:dyDescent="0.3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42">
        <f>SUM(L7:L60)</f>
        <v>506816.745</v>
      </c>
      <c r="M62" s="42">
        <f>SUM(M7:M60)</f>
        <v>556668.79999999993</v>
      </c>
      <c r="N62" s="42">
        <f>SUM(N7:N60)</f>
        <v>697374.6449999999</v>
      </c>
      <c r="O62" s="42">
        <f>SUM(O7:O60)</f>
        <v>1413271.0399999998</v>
      </c>
      <c r="P62" s="42">
        <f>SUM(P7:P60)</f>
        <v>579497</v>
      </c>
      <c r="Q62" s="42">
        <f>SUM(Q7:Q60)</f>
        <v>6758129.2355000004</v>
      </c>
      <c r="R62" s="11"/>
      <c r="S62" s="42" t="s">
        <v>7</v>
      </c>
      <c r="T62" s="33"/>
      <c r="U62" s="33"/>
      <c r="V62" s="42">
        <f>SUM(V6:V60)</f>
        <v>7875295</v>
      </c>
      <c r="W62" s="33"/>
      <c r="X62" s="42">
        <f>SUM(X7:X61)</f>
        <v>-1117165.7644999996</v>
      </c>
    </row>
    <row r="63" spans="1:58" ht="24.9" customHeight="1" x14ac:dyDescent="0.3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11"/>
      <c r="S63" s="33"/>
      <c r="T63" s="33"/>
      <c r="U63" s="33"/>
      <c r="V63" s="33"/>
      <c r="W63" s="33"/>
      <c r="X63" s="33"/>
    </row>
    <row r="64" spans="1:58" ht="24.9" customHeight="1" x14ac:dyDescent="0.3">
      <c r="B64" s="33"/>
      <c r="C64" s="33"/>
      <c r="D64" s="33"/>
      <c r="E64" s="33"/>
      <c r="F64" s="33"/>
      <c r="G64" s="33"/>
      <c r="H64" s="33"/>
      <c r="I64" s="33"/>
      <c r="J64" s="33"/>
      <c r="K64" s="42"/>
      <c r="L64" s="42"/>
      <c r="M64" s="42"/>
      <c r="N64" s="42"/>
      <c r="O64" s="42"/>
      <c r="P64" s="42"/>
      <c r="Q64" s="33"/>
      <c r="R64" s="11"/>
      <c r="S64" s="42" t="s">
        <v>8</v>
      </c>
      <c r="T64" s="33"/>
      <c r="U64" s="33"/>
      <c r="V64" s="42">
        <f>Q62-V62</f>
        <v>-1117165.7644999996</v>
      </c>
      <c r="W64" s="33"/>
      <c r="X64" s="42"/>
    </row>
    <row r="65" spans="2:24" ht="24.9" customHeight="1" thickBot="1" x14ac:dyDescent="0.3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43"/>
      <c r="S65" s="14"/>
      <c r="T65" s="14"/>
      <c r="U65" s="14"/>
      <c r="V65" s="14"/>
      <c r="W65" s="14"/>
      <c r="X65" s="14"/>
    </row>
    <row r="67" spans="2:24" ht="24.9" customHeight="1" thickBot="1" x14ac:dyDescent="0.35"/>
    <row r="68" spans="2:24" ht="24.9" customHeight="1" thickBot="1" x14ac:dyDescent="0.35">
      <c r="J68" s="62" t="s">
        <v>10</v>
      </c>
      <c r="K68" s="63"/>
      <c r="L68" s="63"/>
      <c r="M68" s="64"/>
    </row>
    <row r="69" spans="2:24" ht="24.9" customHeight="1" thickBot="1" x14ac:dyDescent="0.35">
      <c r="J69" s="67">
        <v>45736</v>
      </c>
      <c r="K69" s="81"/>
      <c r="L69" s="81"/>
      <c r="M69" s="82"/>
    </row>
    <row r="70" spans="2:24" ht="24.9" customHeight="1" x14ac:dyDescent="0.3">
      <c r="J70" s="79" t="s">
        <v>97</v>
      </c>
      <c r="K70" s="80"/>
      <c r="L70" s="79">
        <f>L62+M62+N62</f>
        <v>1760860.19</v>
      </c>
      <c r="M70" s="80"/>
    </row>
    <row r="71" spans="2:24" ht="18" x14ac:dyDescent="0.3">
      <c r="J71" s="69" t="s">
        <v>98</v>
      </c>
      <c r="K71" s="70"/>
      <c r="L71" s="69">
        <f>V64</f>
        <v>-1117165.7644999996</v>
      </c>
      <c r="M71" s="70"/>
    </row>
    <row r="72" spans="2:24" ht="35.25" customHeight="1" x14ac:dyDescent="0.3">
      <c r="J72" s="73" t="s">
        <v>9</v>
      </c>
      <c r="K72" s="74"/>
      <c r="L72" s="69">
        <f>P62</f>
        <v>579497</v>
      </c>
      <c r="M72" s="70"/>
    </row>
    <row r="73" spans="2:24" ht="24.9" customHeight="1" thickBot="1" x14ac:dyDescent="0.35">
      <c r="J73" s="71" t="s">
        <v>4</v>
      </c>
      <c r="K73" s="72"/>
      <c r="L73" s="71">
        <v>-123987</v>
      </c>
      <c r="M73" s="72"/>
    </row>
    <row r="74" spans="2:24" ht="24.9" customHeight="1" thickBot="1" x14ac:dyDescent="0.35">
      <c r="J74" s="78" t="s">
        <v>103</v>
      </c>
      <c r="K74" s="68"/>
      <c r="L74" s="78" t="s">
        <v>118</v>
      </c>
      <c r="M74" s="68"/>
    </row>
    <row r="82" spans="4:15" ht="24.9" customHeight="1" x14ac:dyDescent="0.3">
      <c r="D82" s="75" t="s">
        <v>13</v>
      </c>
      <c r="E82" s="76"/>
      <c r="F82" s="77"/>
    </row>
    <row r="83" spans="4:15" ht="24.9" customHeight="1" x14ac:dyDescent="0.3">
      <c r="D83" s="17" t="s">
        <v>14</v>
      </c>
      <c r="E83" s="17"/>
      <c r="F83" s="17" t="s">
        <v>15</v>
      </c>
      <c r="G83" s="16" t="s">
        <v>17</v>
      </c>
      <c r="I83" s="2"/>
      <c r="J83" s="17" t="s">
        <v>11</v>
      </c>
      <c r="K83" s="20" t="s">
        <v>12</v>
      </c>
      <c r="L83" s="20" t="s">
        <v>17</v>
      </c>
      <c r="M83" s="17" t="s">
        <v>18</v>
      </c>
      <c r="N83" s="17" t="s">
        <v>19</v>
      </c>
      <c r="O83" s="17" t="s">
        <v>20</v>
      </c>
    </row>
    <row r="84" spans="4:15" ht="24.9" customHeight="1" x14ac:dyDescent="0.3">
      <c r="D84" s="17">
        <v>63</v>
      </c>
      <c r="E84" s="17"/>
      <c r="F84" s="17">
        <v>5175</v>
      </c>
      <c r="G84" s="16">
        <v>4794.2</v>
      </c>
      <c r="H84" s="65" t="s">
        <v>24</v>
      </c>
      <c r="I84" s="66"/>
      <c r="J84" s="17" t="s">
        <v>21</v>
      </c>
      <c r="K84" s="20">
        <v>588</v>
      </c>
      <c r="L84" s="20">
        <v>625.9</v>
      </c>
      <c r="M84" s="21">
        <f>L84-K84</f>
        <v>37.899999999999977</v>
      </c>
      <c r="N84" s="17">
        <v>95</v>
      </c>
      <c r="O84" s="21">
        <f>N84*M84</f>
        <v>3600.4999999999977</v>
      </c>
    </row>
    <row r="85" spans="4:15" ht="24.9" customHeight="1" x14ac:dyDescent="0.3">
      <c r="D85" s="17">
        <v>75</v>
      </c>
      <c r="E85" s="17"/>
      <c r="F85" s="17">
        <v>694</v>
      </c>
      <c r="G85" s="16">
        <v>678.9</v>
      </c>
      <c r="I85" s="2"/>
      <c r="J85" s="17" t="s">
        <v>22</v>
      </c>
      <c r="K85" s="20">
        <v>0</v>
      </c>
      <c r="L85" s="20">
        <v>674</v>
      </c>
      <c r="M85" s="21">
        <f>L85-K85</f>
        <v>674</v>
      </c>
      <c r="N85" s="17">
        <v>8</v>
      </c>
      <c r="O85" s="21">
        <f>N85*M85</f>
        <v>5392</v>
      </c>
    </row>
    <row r="86" spans="4:15" ht="24.9" customHeight="1" x14ac:dyDescent="0.3">
      <c r="D86" s="17">
        <v>90</v>
      </c>
      <c r="E86" s="17"/>
      <c r="F86" s="17">
        <v>588</v>
      </c>
      <c r="G86" s="16">
        <v>625.9</v>
      </c>
      <c r="I86" s="18" t="s">
        <v>25</v>
      </c>
      <c r="J86" s="17" t="s">
        <v>23</v>
      </c>
      <c r="K86" s="20">
        <v>37.130000000000003</v>
      </c>
      <c r="L86" s="20">
        <v>301.7</v>
      </c>
      <c r="M86" s="21">
        <f>L86-K86</f>
        <v>264.57</v>
      </c>
      <c r="N86" s="17">
        <v>50</v>
      </c>
      <c r="O86" s="21">
        <f>N86*M86</f>
        <v>13228.5</v>
      </c>
    </row>
    <row r="87" spans="4:15" ht="24.9" customHeight="1" x14ac:dyDescent="0.3">
      <c r="D87" s="17">
        <v>110</v>
      </c>
      <c r="E87" s="17"/>
      <c r="F87" s="17">
        <v>434</v>
      </c>
      <c r="G87" s="16">
        <v>421.6</v>
      </c>
      <c r="N87" s="2" t="s">
        <v>26</v>
      </c>
      <c r="O87" s="22">
        <f>SUM(O84:O86)</f>
        <v>22221</v>
      </c>
    </row>
    <row r="88" spans="4:15" ht="24.9" customHeight="1" x14ac:dyDescent="0.3">
      <c r="D88" s="17">
        <v>160</v>
      </c>
      <c r="E88" s="17"/>
      <c r="F88" s="17">
        <v>774</v>
      </c>
      <c r="G88" s="16">
        <v>768</v>
      </c>
      <c r="N88" s="2" t="s">
        <v>27</v>
      </c>
      <c r="O88" s="22" t="e">
        <f>#REF!</f>
        <v>#REF!</v>
      </c>
    </row>
    <row r="89" spans="4:15" ht="24.9" customHeight="1" x14ac:dyDescent="0.3">
      <c r="D89" s="17">
        <v>200</v>
      </c>
      <c r="E89" s="17"/>
      <c r="F89" s="17">
        <v>273</v>
      </c>
      <c r="G89" s="16">
        <v>189.5</v>
      </c>
      <c r="N89" s="23" t="s">
        <v>28</v>
      </c>
      <c r="O89" s="24" t="e">
        <f>O87-O88</f>
        <v>#REF!</v>
      </c>
    </row>
    <row r="90" spans="4:15" ht="24.9" customHeight="1" x14ac:dyDescent="0.3">
      <c r="D90" s="19" t="s">
        <v>16</v>
      </c>
      <c r="E90" s="19"/>
      <c r="F90" s="19">
        <f>SUM(F84:F89)</f>
        <v>7938</v>
      </c>
    </row>
  </sheetData>
  <mergeCells count="14">
    <mergeCell ref="J68:M68"/>
    <mergeCell ref="D82:F82"/>
    <mergeCell ref="H84:I84"/>
    <mergeCell ref="J69:M69"/>
    <mergeCell ref="J70:K70"/>
    <mergeCell ref="L70:M70"/>
    <mergeCell ref="J71:K71"/>
    <mergeCell ref="L71:M71"/>
    <mergeCell ref="J73:K73"/>
    <mergeCell ref="L73:M73"/>
    <mergeCell ref="J74:K74"/>
    <mergeCell ref="L74:M74"/>
    <mergeCell ref="J72:K72"/>
    <mergeCell ref="L72:M72"/>
  </mergeCells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2022-06-28T06:22:04Z</cp:lastPrinted>
  <dcterms:created xsi:type="dcterms:W3CDTF">2022-06-10T14:11:52Z</dcterms:created>
  <dcterms:modified xsi:type="dcterms:W3CDTF">2025-05-30T09:25:57Z</dcterms:modified>
</cp:coreProperties>
</file>