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" l="1"/>
  <c r="K27" i="1" l="1"/>
  <c r="K25" i="1"/>
  <c r="O18" i="1"/>
  <c r="P12" i="1" l="1"/>
  <c r="L11" i="1"/>
  <c r="M11" i="1" s="1"/>
  <c r="K11" i="1"/>
  <c r="J11" i="1"/>
  <c r="H11" i="1"/>
  <c r="I11" i="1" s="1"/>
  <c r="I13" i="1"/>
  <c r="I12" i="1"/>
  <c r="J12" i="1" s="1"/>
  <c r="N11" i="1" l="1"/>
  <c r="J13" i="1"/>
  <c r="G9" i="1"/>
  <c r="H9" i="1" s="1"/>
  <c r="Q7" i="1"/>
  <c r="F35" i="1"/>
  <c r="F34" i="1"/>
  <c r="F36" i="1" s="1"/>
  <c r="F38" i="1" s="1"/>
  <c r="P11" i="1" l="1"/>
  <c r="E13" i="1"/>
  <c r="P13" i="1" s="1"/>
  <c r="K9" i="1"/>
  <c r="L9" i="1"/>
  <c r="N9" i="1"/>
  <c r="J9" i="1"/>
  <c r="M9" i="1"/>
  <c r="F8" i="1"/>
  <c r="I9" i="1" l="1"/>
  <c r="P9" i="1" s="1"/>
  <c r="G8" i="1"/>
  <c r="L8" i="1" s="1"/>
  <c r="L18" i="1" s="1"/>
  <c r="J8" i="1" l="1"/>
  <c r="H8" i="1"/>
  <c r="K8" i="1"/>
  <c r="K18" i="1" s="1"/>
  <c r="M8" i="1"/>
  <c r="M18" i="1" s="1"/>
  <c r="N8" i="1" l="1"/>
  <c r="N18" i="1" s="1"/>
  <c r="E10" i="1"/>
  <c r="P10" i="1" s="1"/>
  <c r="T8" i="1"/>
  <c r="T18" i="1" s="1"/>
  <c r="T20" i="1" s="1"/>
  <c r="I10" i="1" l="1"/>
  <c r="J10" i="1" l="1"/>
  <c r="J18" i="1" s="1"/>
  <c r="I8" i="1" l="1"/>
  <c r="P8" i="1" s="1"/>
  <c r="P18" i="1" l="1"/>
  <c r="K26" i="1" s="1"/>
  <c r="V18" i="1"/>
</calcChain>
</file>

<file path=xl/sharedStrings.xml><?xml version="1.0" encoding="utf-8"?>
<sst xmlns="http://schemas.openxmlformats.org/spreadsheetml/2006/main" count="59" uniqueCount="52">
  <si>
    <t>Amount</t>
  </si>
  <si>
    <t>UTR</t>
  </si>
  <si>
    <t>Balance Payable Amount Rs. -</t>
  </si>
  <si>
    <t>Total Paid Amount Rs. -</t>
  </si>
  <si>
    <t>Hold the Amount because the Qty. is more then the DPR</t>
  </si>
  <si>
    <t xml:space="preserve">ITEM </t>
  </si>
  <si>
    <t>EXCESS</t>
  </si>
  <si>
    <t>RATE</t>
  </si>
  <si>
    <t>AMOUNT</t>
  </si>
  <si>
    <t>DISM BOE</t>
  </si>
  <si>
    <t>RR BOE</t>
  </si>
  <si>
    <t>Hold Amount</t>
  </si>
  <si>
    <t>Prev hold in 54756</t>
  </si>
  <si>
    <t>To be Hold</t>
  </si>
  <si>
    <t>Shri Khatu Shyam Jee Enterprises</t>
  </si>
  <si>
    <t xml:space="preserve">Advance / Surplus </t>
  </si>
  <si>
    <t>GST Remaining</t>
  </si>
  <si>
    <t>26-10-2023 NEFT/AXISP00437151653/RIUP23/2888/SHRI KHATU SHYAM E ₹ 1,55,414.00</t>
  </si>
  <si>
    <t>Advance Village Wise</t>
  </si>
  <si>
    <t>GST</t>
  </si>
  <si>
    <t>16-03-2024 NEFT/AXISP00481604507/RIUP23/5115/SHRI KHATU SHYAM E/CBIN0282378 60885.00</t>
  </si>
  <si>
    <t>21-03-2024 NEFT/AXISP00483037816/RIUP23/4487/SHRI KHATU SHYAME/CBIN0282378 300000.00</t>
  </si>
  <si>
    <t>06-04-2024 NEFT/AXISP00489150351/RIUP24/070/SHRI KHATU SHYAM E/CBIN0282378 200000.00</t>
  </si>
  <si>
    <t>03-06-2024 NEFT/AXISP00505249175/RIUP24/0624/SHRI KHATU SHYAM E/CBIN0282378 400000.00</t>
  </si>
  <si>
    <t>19-09-2024 NEFT/AXISP00542202585/RIUP24/1800/SHRI KHATU SHYAME/CBIN0282378 186285.00</t>
  </si>
  <si>
    <t>Extra Hold</t>
  </si>
  <si>
    <t>clear</t>
  </si>
  <si>
    <t>18-10-2024 NEFT/AXISP00555313350/RIUP24/2225/SHRI KHATU SHYAME/CBIN0282378 159305.00</t>
  </si>
  <si>
    <t>Subcontractor:</t>
  </si>
  <si>
    <t>State:</t>
  </si>
  <si>
    <t>District:</t>
  </si>
  <si>
    <t>Block:</t>
  </si>
  <si>
    <t>Uttar Pradesh</t>
  </si>
  <si>
    <t>Muzaffarnagar</t>
  </si>
  <si>
    <t xml:space="preserve">Ratanpuri Village Pipe laying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</si>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</sst>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165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43" fontId="3" fillId="2" borderId="0" xfId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14" fontId="3" fillId="2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9" fontId="3" fillId="2" borderId="11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43" fontId="3" fillId="2" borderId="6" xfId="1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 wrapText="1"/>
    </xf>
    <xf numFmtId="43" fontId="3" fillId="2" borderId="10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43" fontId="3" fillId="2" borderId="11" xfId="1" applyNumberFormat="1" applyFont="1" applyFill="1" applyBorder="1" applyAlignment="1">
      <alignment horizontal="left" vertical="center"/>
    </xf>
    <xf numFmtId="43" fontId="3" fillId="3" borderId="4" xfId="1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 wrapText="1"/>
    </xf>
    <xf numFmtId="43" fontId="3" fillId="2" borderId="5" xfId="1" applyNumberFormat="1" applyFont="1" applyFill="1" applyBorder="1" applyAlignment="1">
      <alignment horizontal="left" vertical="center"/>
    </xf>
    <xf numFmtId="43" fontId="3" fillId="2" borderId="6" xfId="1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43" fontId="3" fillId="2" borderId="10" xfId="1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43" fontId="9" fillId="5" borderId="5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43" fontId="0" fillId="2" borderId="5" xfId="0" applyNumberFormat="1" applyFill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43" fontId="3" fillId="2" borderId="0" xfId="1" applyNumberFormat="1" applyFont="1" applyFill="1" applyBorder="1" applyAlignment="1">
      <alignment horizontal="center" vertical="center"/>
    </xf>
    <xf numFmtId="43" fontId="0" fillId="2" borderId="2" xfId="1" applyNumberFormat="1" applyFont="1" applyFill="1" applyBorder="1" applyAlignment="1">
      <alignment horizontal="center" vertical="center"/>
    </xf>
    <xf numFmtId="43" fontId="0" fillId="2" borderId="7" xfId="1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43" fontId="0" fillId="2" borderId="0" xfId="1" applyNumberFormat="1" applyFont="1" applyFill="1" applyAlignment="1">
      <alignment horizontal="right" vertical="center"/>
    </xf>
    <xf numFmtId="43" fontId="3" fillId="2" borderId="0" xfId="1" applyNumberFormat="1" applyFont="1" applyFill="1" applyBorder="1" applyAlignment="1">
      <alignment horizontal="center" vertical="center"/>
    </xf>
    <xf numFmtId="43" fontId="8" fillId="2" borderId="8" xfId="1" applyNumberFormat="1" applyFont="1" applyFill="1" applyBorder="1" applyAlignment="1">
      <alignment horizontal="center" vertical="center"/>
    </xf>
    <xf numFmtId="43" fontId="8" fillId="2" borderId="1" xfId="1" applyNumberFormat="1" applyFont="1" applyFill="1" applyBorder="1" applyAlignment="1">
      <alignment horizontal="center" vertical="center"/>
    </xf>
    <xf numFmtId="43" fontId="8" fillId="2" borderId="9" xfId="1" applyNumberFormat="1" applyFont="1" applyFill="1" applyBorder="1" applyAlignment="1">
      <alignment horizontal="center" vertical="center"/>
    </xf>
    <xf numFmtId="14" fontId="7" fillId="2" borderId="2" xfId="1" applyNumberFormat="1" applyFont="1" applyFill="1" applyBorder="1" applyAlignment="1">
      <alignment horizontal="center" vertical="center"/>
    </xf>
    <xf numFmtId="43" fontId="7" fillId="2" borderId="3" xfId="1" applyNumberFormat="1" applyFont="1" applyFill="1" applyBorder="1" applyAlignment="1">
      <alignment horizontal="center" vertical="center"/>
    </xf>
    <xf numFmtId="43" fontId="7" fillId="2" borderId="7" xfId="1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10" xfId="0" applyFont="1" applyFill="1" applyBorder="1" applyAlignment="1">
      <alignment vertical="center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3" fontId="10" fillId="2" borderId="10" xfId="1" applyNumberFormat="1" applyFont="1" applyFill="1" applyBorder="1" applyAlignment="1">
      <alignment horizontal="center" vertical="center"/>
    </xf>
    <xf numFmtId="43" fontId="6" fillId="2" borderId="1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8"/>
  <sheetViews>
    <sheetView tabSelected="1" view="pageBreakPreview" zoomScaleNormal="100" zoomScaleSheetLayoutView="100" workbookViewId="0">
      <selection activeCell="I17" sqref="I16:I17"/>
    </sheetView>
  </sheetViews>
  <sheetFormatPr defaultColWidth="9" defaultRowHeight="24.95" customHeight="1" x14ac:dyDescent="0.25"/>
  <cols>
    <col min="1" max="1" width="13" style="2" customWidth="1"/>
    <col min="2" max="2" width="30" style="48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7" width="13.28515625" style="2" customWidth="1"/>
    <col min="8" max="8" width="13.7109375" style="10" bestFit="1" customWidth="1"/>
    <col min="9" max="9" width="13.140625" style="10" bestFit="1" customWidth="1"/>
    <col min="10" max="10" width="11.5703125" style="2" customWidth="1"/>
    <col min="11" max="11" width="13.5703125" style="2" customWidth="1"/>
    <col min="12" max="12" width="12.42578125" style="2" customWidth="1"/>
    <col min="13" max="14" width="12.5703125" style="2" customWidth="1"/>
    <col min="15" max="15" width="13.5703125" style="2" customWidth="1"/>
    <col min="16" max="16" width="14.85546875" style="2" customWidth="1"/>
    <col min="17" max="17" width="16.85546875" style="2" customWidth="1"/>
    <col min="18" max="18" width="19.140625" style="2" customWidth="1"/>
    <col min="19" max="19" width="12.28515625" style="2" customWidth="1"/>
    <col min="20" max="20" width="14" style="2" customWidth="1"/>
    <col min="21" max="21" width="107" style="2" bestFit="1" customWidth="1"/>
    <col min="22" max="22" width="28.42578125" style="2" bestFit="1" customWidth="1"/>
    <col min="23" max="61" width="9" style="51"/>
    <col min="62" max="16384" width="9" style="2"/>
  </cols>
  <sheetData>
    <row r="1" spans="1:61" s="37" customFormat="1" ht="24.95" customHeight="1" x14ac:dyDescent="0.25">
      <c r="A1" s="68" t="s">
        <v>28</v>
      </c>
      <c r="B1" s="40" t="s">
        <v>14</v>
      </c>
      <c r="E1" s="38"/>
      <c r="F1" s="38"/>
      <c r="G1" s="38"/>
      <c r="H1" s="3"/>
      <c r="I1" s="3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</row>
    <row r="2" spans="1:61" s="37" customFormat="1" ht="24.95" customHeight="1" x14ac:dyDescent="0.25">
      <c r="A2" s="68" t="s">
        <v>29</v>
      </c>
      <c r="B2" s="69" t="s">
        <v>32</v>
      </c>
      <c r="C2" s="4"/>
      <c r="G2" s="16"/>
      <c r="H2" s="61"/>
      <c r="I2" s="61"/>
      <c r="J2" s="36"/>
      <c r="K2" s="36"/>
      <c r="L2" s="36"/>
      <c r="M2" s="36"/>
      <c r="N2" s="36"/>
      <c r="O2" s="36"/>
      <c r="P2" s="36"/>
      <c r="Q2" s="36"/>
      <c r="R2" s="36"/>
      <c r="S2" s="36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</row>
    <row r="3" spans="1:61" s="37" customFormat="1" ht="24.95" customHeight="1" x14ac:dyDescent="0.25">
      <c r="A3" s="68" t="s">
        <v>30</v>
      </c>
      <c r="B3" s="69" t="s">
        <v>33</v>
      </c>
      <c r="C3" s="4"/>
      <c r="G3" s="55"/>
      <c r="H3" s="55"/>
      <c r="I3" s="55"/>
      <c r="J3" s="36"/>
      <c r="K3" s="36"/>
      <c r="L3" s="36"/>
      <c r="M3" s="36"/>
      <c r="N3" s="36"/>
      <c r="O3" s="36"/>
      <c r="P3" s="36"/>
      <c r="Q3" s="36"/>
      <c r="R3" s="36"/>
      <c r="S3" s="36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</row>
    <row r="4" spans="1:61" ht="24.95" customHeight="1" thickBot="1" x14ac:dyDescent="0.3">
      <c r="A4" s="68" t="s">
        <v>31</v>
      </c>
      <c r="B4" s="69" t="s">
        <v>33</v>
      </c>
      <c r="C4" s="36"/>
      <c r="D4" s="36"/>
      <c r="E4" s="36"/>
      <c r="F4" s="5"/>
      <c r="G4" s="5"/>
      <c r="H4" s="6"/>
      <c r="I4" s="6"/>
      <c r="J4" s="5"/>
      <c r="K4" s="5"/>
      <c r="L4" s="5"/>
      <c r="M4" s="5"/>
      <c r="R4" s="7"/>
      <c r="S4" s="7"/>
      <c r="T4" s="7"/>
      <c r="U4" s="7"/>
    </row>
    <row r="5" spans="1:61" ht="24.95" customHeight="1" x14ac:dyDescent="0.25">
      <c r="A5" s="70" t="s">
        <v>35</v>
      </c>
      <c r="B5" s="54" t="s">
        <v>36</v>
      </c>
      <c r="C5" s="71" t="s">
        <v>37</v>
      </c>
      <c r="D5" s="72" t="s">
        <v>38</v>
      </c>
      <c r="E5" s="54" t="s">
        <v>39</v>
      </c>
      <c r="F5" s="54" t="s">
        <v>40</v>
      </c>
      <c r="G5" s="72" t="s">
        <v>41</v>
      </c>
      <c r="H5" s="73" t="s">
        <v>42</v>
      </c>
      <c r="I5" s="74" t="s">
        <v>0</v>
      </c>
      <c r="J5" s="54" t="s">
        <v>43</v>
      </c>
      <c r="K5" s="54" t="s">
        <v>44</v>
      </c>
      <c r="L5" s="54" t="s">
        <v>45</v>
      </c>
      <c r="M5" s="54" t="s">
        <v>46</v>
      </c>
      <c r="N5" s="17" t="s">
        <v>47</v>
      </c>
      <c r="O5" s="17" t="s">
        <v>4</v>
      </c>
      <c r="P5" s="17" t="s">
        <v>48</v>
      </c>
      <c r="Q5" s="17"/>
      <c r="R5" s="54" t="s">
        <v>49</v>
      </c>
      <c r="S5" s="54" t="s">
        <v>50</v>
      </c>
      <c r="T5" s="54" t="s">
        <v>51</v>
      </c>
      <c r="U5" s="54" t="s">
        <v>1</v>
      </c>
      <c r="V5" s="58" t="s">
        <v>18</v>
      </c>
    </row>
    <row r="6" spans="1:61" ht="24.95" customHeight="1" thickBot="1" x14ac:dyDescent="0.3">
      <c r="A6" s="26"/>
      <c r="B6" s="41"/>
      <c r="C6" s="24"/>
      <c r="D6" s="24"/>
      <c r="E6" s="24"/>
      <c r="F6" s="24"/>
      <c r="G6" s="24"/>
      <c r="H6" s="29">
        <v>0.18</v>
      </c>
      <c r="I6" s="24"/>
      <c r="J6" s="29">
        <v>0.01</v>
      </c>
      <c r="K6" s="29">
        <v>0.05</v>
      </c>
      <c r="L6" s="29">
        <v>0.1</v>
      </c>
      <c r="M6" s="29">
        <v>0.1</v>
      </c>
      <c r="N6" s="29">
        <v>0.18</v>
      </c>
      <c r="O6" s="29"/>
      <c r="P6" s="24"/>
      <c r="Q6" s="30"/>
      <c r="R6" s="24"/>
      <c r="S6" s="29">
        <v>0.01</v>
      </c>
      <c r="T6" s="24"/>
      <c r="U6" s="24"/>
      <c r="V6" s="59"/>
    </row>
    <row r="7" spans="1:61" s="12" customFormat="1" ht="24.95" customHeight="1" x14ac:dyDescent="0.25">
      <c r="A7" s="27"/>
      <c r="B7" s="42"/>
      <c r="C7" s="13"/>
      <c r="D7" s="13"/>
      <c r="E7" s="13"/>
      <c r="F7" s="13"/>
      <c r="G7" s="13"/>
      <c r="H7" s="14"/>
      <c r="I7" s="13"/>
      <c r="J7" s="14"/>
      <c r="K7" s="14"/>
      <c r="L7" s="14"/>
      <c r="M7" s="14"/>
      <c r="N7" s="14"/>
      <c r="O7" s="14"/>
      <c r="P7" s="13"/>
      <c r="Q7" s="28">
        <f>A8</f>
        <v>59896</v>
      </c>
      <c r="R7" s="13"/>
      <c r="S7" s="14"/>
      <c r="T7" s="13"/>
      <c r="U7" s="13"/>
      <c r="V7" s="27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</row>
    <row r="8" spans="1:61" ht="28.5" customHeight="1" x14ac:dyDescent="0.25">
      <c r="A8" s="18">
        <v>59896</v>
      </c>
      <c r="B8" s="43" t="s">
        <v>34</v>
      </c>
      <c r="C8" s="1">
        <v>45206</v>
      </c>
      <c r="D8" s="20">
        <v>1</v>
      </c>
      <c r="E8" s="8">
        <v>350531</v>
      </c>
      <c r="F8" s="8">
        <f>614*20</f>
        <v>12280</v>
      </c>
      <c r="G8" s="8">
        <f>ROUND(E8-F8,)</f>
        <v>338251</v>
      </c>
      <c r="H8" s="8">
        <f>ROUND(G8*H6,0)</f>
        <v>60885</v>
      </c>
      <c r="I8" s="8">
        <f>G8+H8</f>
        <v>399136</v>
      </c>
      <c r="J8" s="8">
        <f>ROUND(G8*$J$6,)</f>
        <v>3383</v>
      </c>
      <c r="K8" s="8">
        <f>ROUND(G8*$K$6,)</f>
        <v>16913</v>
      </c>
      <c r="L8" s="8">
        <f>G8*5%</f>
        <v>16912.55</v>
      </c>
      <c r="M8" s="8">
        <f>ROUND(G8*$M$6,)</f>
        <v>33825</v>
      </c>
      <c r="N8" s="49">
        <f>H8</f>
        <v>60885</v>
      </c>
      <c r="O8" s="8">
        <v>111803</v>
      </c>
      <c r="P8" s="8">
        <f>ROUND(I8-SUM(J8:O8),0)</f>
        <v>155414</v>
      </c>
      <c r="Q8" s="19"/>
      <c r="R8" s="8">
        <v>155414</v>
      </c>
      <c r="S8" s="8">
        <v>0</v>
      </c>
      <c r="T8" s="8">
        <f>R8-S8</f>
        <v>155414</v>
      </c>
      <c r="U8" s="23" t="s">
        <v>17</v>
      </c>
      <c r="V8" s="52">
        <f>SUM(P8:P15)-SUM(T8:T15)</f>
        <v>363804.41999999993</v>
      </c>
    </row>
    <row r="9" spans="1:61" ht="24.95" customHeight="1" x14ac:dyDescent="0.25">
      <c r="A9" s="18">
        <v>59896</v>
      </c>
      <c r="B9" s="43" t="s">
        <v>34</v>
      </c>
      <c r="C9" s="1">
        <v>45304</v>
      </c>
      <c r="D9" s="20">
        <v>2</v>
      </c>
      <c r="E9" s="8">
        <v>921530</v>
      </c>
      <c r="F9" s="8">
        <v>36500</v>
      </c>
      <c r="G9" s="8">
        <f>ROUND(E9-F9,)</f>
        <v>885030</v>
      </c>
      <c r="H9" s="8">
        <f>ROUND(G9*H6,0)</f>
        <v>159305</v>
      </c>
      <c r="I9" s="8">
        <f>G9+H9</f>
        <v>1044335</v>
      </c>
      <c r="J9" s="8">
        <f>ROUND(G9*$J$6,)</f>
        <v>8850</v>
      </c>
      <c r="K9" s="8">
        <f>ROUND(G9*$K$6,)</f>
        <v>44252</v>
      </c>
      <c r="L9" s="8">
        <f>ROUND(G9*$L$6,)</f>
        <v>88503</v>
      </c>
      <c r="M9" s="8">
        <f>ROUND(G9*$M$6,)</f>
        <v>88503</v>
      </c>
      <c r="N9" s="49">
        <f>H9</f>
        <v>159305</v>
      </c>
      <c r="O9" s="8">
        <v>766</v>
      </c>
      <c r="P9" s="8">
        <f>ROUND(I9-SUM(J9:O9),0)</f>
        <v>654156</v>
      </c>
      <c r="Q9" s="19"/>
      <c r="R9" s="8">
        <v>0</v>
      </c>
      <c r="S9" s="8">
        <v>0</v>
      </c>
      <c r="T9" s="8">
        <v>60885</v>
      </c>
      <c r="U9" s="23" t="s">
        <v>20</v>
      </c>
      <c r="V9" s="18"/>
    </row>
    <row r="10" spans="1:61" ht="24.95" customHeight="1" x14ac:dyDescent="0.25">
      <c r="A10" s="18">
        <v>59896</v>
      </c>
      <c r="B10" s="43" t="s">
        <v>19</v>
      </c>
      <c r="C10" s="21"/>
      <c r="D10" s="22">
        <v>1</v>
      </c>
      <c r="E10" s="8">
        <f>H8</f>
        <v>60885</v>
      </c>
      <c r="F10" s="8"/>
      <c r="G10" s="8"/>
      <c r="H10" s="8">
        <v>0</v>
      </c>
      <c r="I10" s="8">
        <f>G10+H10</f>
        <v>0</v>
      </c>
      <c r="J10" s="8">
        <f>J$6*I10</f>
        <v>0</v>
      </c>
      <c r="K10" s="8">
        <v>0</v>
      </c>
      <c r="L10" s="8"/>
      <c r="M10" s="8"/>
      <c r="N10" s="8">
        <v>0</v>
      </c>
      <c r="O10" s="8"/>
      <c r="P10" s="49">
        <f>E10</f>
        <v>60885</v>
      </c>
      <c r="Q10" s="19"/>
      <c r="R10" s="8"/>
      <c r="S10" s="8"/>
      <c r="T10" s="8">
        <v>300000</v>
      </c>
      <c r="U10" s="23" t="s">
        <v>21</v>
      </c>
      <c r="V10" s="18"/>
    </row>
    <row r="11" spans="1:61" ht="24.95" customHeight="1" x14ac:dyDescent="0.25">
      <c r="A11" s="18">
        <v>59896</v>
      </c>
      <c r="B11" s="43" t="s">
        <v>34</v>
      </c>
      <c r="C11" s="21">
        <v>45427</v>
      </c>
      <c r="D11" s="20">
        <v>1</v>
      </c>
      <c r="E11" s="8">
        <v>1034919</v>
      </c>
      <c r="F11" s="8"/>
      <c r="G11" s="8">
        <v>1034919</v>
      </c>
      <c r="H11" s="8">
        <f>G11*18%</f>
        <v>186285.41999999998</v>
      </c>
      <c r="I11" s="8">
        <f t="shared" ref="I11:I13" si="0">G11+H11</f>
        <v>1221204.42</v>
      </c>
      <c r="J11" s="8">
        <f>G11*1%</f>
        <v>10349.19</v>
      </c>
      <c r="K11" s="8">
        <f>G11*5%</f>
        <v>51745.950000000004</v>
      </c>
      <c r="L11" s="8">
        <f>G11*10%</f>
        <v>103491.90000000001</v>
      </c>
      <c r="M11" s="8">
        <f>L11</f>
        <v>103491.90000000001</v>
      </c>
      <c r="N11" s="49">
        <f>H11</f>
        <v>186285.41999999998</v>
      </c>
      <c r="O11" s="8">
        <v>156192</v>
      </c>
      <c r="P11" s="8">
        <f>ROUND(I11-SUM(J11:O11),0)</f>
        <v>609648</v>
      </c>
      <c r="Q11" s="19"/>
      <c r="R11" s="8"/>
      <c r="S11" s="8"/>
      <c r="T11" s="8">
        <v>200000</v>
      </c>
      <c r="U11" s="23" t="s">
        <v>22</v>
      </c>
      <c r="V11" s="18"/>
    </row>
    <row r="12" spans="1:61" ht="24.95" customHeight="1" x14ac:dyDescent="0.25">
      <c r="A12" s="18">
        <v>59896</v>
      </c>
      <c r="B12" s="44" t="s">
        <v>19</v>
      </c>
      <c r="C12" s="8"/>
      <c r="D12" s="20">
        <v>2</v>
      </c>
      <c r="E12" s="8">
        <v>159305</v>
      </c>
      <c r="F12" s="8"/>
      <c r="G12" s="8"/>
      <c r="H12" s="8">
        <v>0</v>
      </c>
      <c r="I12" s="8">
        <f t="shared" si="0"/>
        <v>0</v>
      </c>
      <c r="J12" s="8">
        <f t="shared" ref="J12:J13" si="1">J$6*I12</f>
        <v>0</v>
      </c>
      <c r="K12" s="8">
        <v>0</v>
      </c>
      <c r="L12" s="8"/>
      <c r="M12" s="8"/>
      <c r="N12" s="8">
        <v>0</v>
      </c>
      <c r="O12" s="8"/>
      <c r="P12" s="49">
        <f>E12</f>
        <v>159305</v>
      </c>
      <c r="Q12" s="19"/>
      <c r="R12" s="8"/>
      <c r="S12" s="8"/>
      <c r="T12" s="8">
        <v>400000</v>
      </c>
      <c r="U12" s="23" t="s">
        <v>23</v>
      </c>
      <c r="V12" s="18"/>
    </row>
    <row r="13" spans="1:61" ht="24.95" customHeight="1" x14ac:dyDescent="0.25">
      <c r="A13" s="18">
        <v>59896</v>
      </c>
      <c r="B13" s="44" t="s">
        <v>19</v>
      </c>
      <c r="C13" s="8"/>
      <c r="D13" s="20">
        <v>1</v>
      </c>
      <c r="E13" s="8">
        <f>N11</f>
        <v>186285.41999999998</v>
      </c>
      <c r="F13" s="8"/>
      <c r="G13" s="8"/>
      <c r="H13" s="8">
        <v>0</v>
      </c>
      <c r="I13" s="8">
        <f t="shared" si="0"/>
        <v>0</v>
      </c>
      <c r="J13" s="8">
        <f t="shared" si="1"/>
        <v>0</v>
      </c>
      <c r="K13" s="8">
        <v>0</v>
      </c>
      <c r="L13" s="8"/>
      <c r="M13" s="8"/>
      <c r="N13" s="8">
        <v>0</v>
      </c>
      <c r="O13" s="8"/>
      <c r="P13" s="49">
        <f>E13</f>
        <v>186285.41999999998</v>
      </c>
      <c r="Q13" s="19"/>
      <c r="R13" s="8"/>
      <c r="S13" s="8"/>
      <c r="T13" s="8">
        <v>186285</v>
      </c>
      <c r="U13" s="23" t="s">
        <v>24</v>
      </c>
      <c r="V13" s="18"/>
    </row>
    <row r="14" spans="1:61" ht="24.95" customHeight="1" x14ac:dyDescent="0.25">
      <c r="A14" s="18">
        <v>59896</v>
      </c>
      <c r="B14" s="4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3"/>
      <c r="R14" s="9"/>
      <c r="S14" s="9"/>
      <c r="T14" s="9">
        <v>159305</v>
      </c>
      <c r="U14" s="53" t="s">
        <v>27</v>
      </c>
      <c r="V14" s="31"/>
    </row>
    <row r="15" spans="1:61" ht="24.95" customHeight="1" x14ac:dyDescent="0.25">
      <c r="A15" s="18">
        <v>59896</v>
      </c>
      <c r="B15" s="4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33"/>
      <c r="R15" s="9"/>
      <c r="S15" s="9"/>
      <c r="T15" s="9"/>
      <c r="U15" s="39"/>
      <c r="V15" s="31"/>
    </row>
    <row r="16" spans="1:61" ht="24.95" customHeight="1" x14ac:dyDescent="0.25">
      <c r="A16" s="18">
        <v>59896</v>
      </c>
      <c r="B16" s="4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3"/>
      <c r="R16" s="9"/>
      <c r="S16" s="9"/>
      <c r="T16" s="9"/>
      <c r="U16" s="39"/>
      <c r="V16" s="31"/>
    </row>
    <row r="17" spans="1:22" ht="24.95" customHeight="1" thickBot="1" x14ac:dyDescent="0.3">
      <c r="A17" s="18">
        <v>59896</v>
      </c>
      <c r="B17" s="46"/>
      <c r="C17" s="15"/>
      <c r="D17" s="15"/>
      <c r="E17" s="32"/>
      <c r="F17" s="32"/>
      <c r="G17" s="32"/>
      <c r="H17" s="9"/>
      <c r="I17" s="9"/>
      <c r="J17" s="9"/>
      <c r="K17" s="9"/>
      <c r="L17" s="9"/>
      <c r="M17" s="9"/>
      <c r="N17" s="9"/>
      <c r="O17" s="9"/>
      <c r="P17" s="9"/>
      <c r="Q17" s="33"/>
      <c r="R17" s="9"/>
      <c r="S17" s="9"/>
      <c r="T17" s="9"/>
      <c r="U17" s="9"/>
      <c r="V17" s="31"/>
    </row>
    <row r="18" spans="1:22" ht="24.95" customHeight="1" x14ac:dyDescent="0.25">
      <c r="A18" s="34"/>
      <c r="B18" s="47"/>
      <c r="C18" s="34"/>
      <c r="D18" s="34"/>
      <c r="E18" s="34"/>
      <c r="F18" s="34"/>
      <c r="G18" s="34"/>
      <c r="H18" s="34"/>
      <c r="I18" s="34"/>
      <c r="J18" s="35">
        <f t="shared" ref="J18:O18" si="2">SUM(J8:J17)</f>
        <v>22582.190000000002</v>
      </c>
      <c r="K18" s="35">
        <f t="shared" si="2"/>
        <v>112910.95000000001</v>
      </c>
      <c r="L18" s="35">
        <f t="shared" si="2"/>
        <v>208907.45</v>
      </c>
      <c r="M18" s="35">
        <f t="shared" si="2"/>
        <v>225819.90000000002</v>
      </c>
      <c r="N18" s="35">
        <f t="shared" si="2"/>
        <v>406475.42</v>
      </c>
      <c r="O18" s="35">
        <f t="shared" si="2"/>
        <v>268761</v>
      </c>
      <c r="P18" s="35">
        <f>SUM(P8:P17)</f>
        <v>1825693.42</v>
      </c>
      <c r="Q18" s="35"/>
      <c r="R18" s="35"/>
      <c r="S18" s="35"/>
      <c r="T18" s="35">
        <f>SUM(T8:T17)</f>
        <v>1461889</v>
      </c>
      <c r="U18" s="35" t="s">
        <v>3</v>
      </c>
      <c r="V18" s="35">
        <f>SUM(V6:V17)</f>
        <v>363804.41999999993</v>
      </c>
    </row>
    <row r="19" spans="1:22" ht="24.95" customHeight="1" x14ac:dyDescent="0.25">
      <c r="A19" s="8"/>
      <c r="B19" s="4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8"/>
    </row>
    <row r="20" spans="1:22" ht="24.95" customHeight="1" thickBot="1" x14ac:dyDescent="0.3">
      <c r="A20" s="24"/>
      <c r="B20" s="4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5">
        <f>P18-T18</f>
        <v>363804.41999999993</v>
      </c>
      <c r="U20" s="25" t="s">
        <v>2</v>
      </c>
      <c r="V20" s="26"/>
    </row>
    <row r="22" spans="1:22" ht="24.95" customHeight="1" thickBot="1" x14ac:dyDescent="0.3"/>
    <row r="23" spans="1:22" ht="24.95" customHeight="1" thickBot="1" x14ac:dyDescent="0.3">
      <c r="I23" s="62" t="s">
        <v>14</v>
      </c>
      <c r="J23" s="63"/>
      <c r="K23" s="63"/>
      <c r="L23" s="64"/>
    </row>
    <row r="24" spans="1:22" ht="24.95" customHeight="1" thickBot="1" x14ac:dyDescent="0.3">
      <c r="I24" s="65">
        <v>45584</v>
      </c>
      <c r="J24" s="66"/>
      <c r="K24" s="66"/>
      <c r="L24" s="67"/>
    </row>
    <row r="25" spans="1:22" ht="24.95" customHeight="1" thickBot="1" x14ac:dyDescent="0.3">
      <c r="I25" s="56" t="s">
        <v>11</v>
      </c>
      <c r="J25" s="57"/>
      <c r="K25" s="56">
        <f>K18+L18+M18</f>
        <v>547638.30000000005</v>
      </c>
      <c r="L25" s="57"/>
    </row>
    <row r="26" spans="1:22" ht="24.95" customHeight="1" thickBot="1" x14ac:dyDescent="0.3">
      <c r="I26" s="56" t="s">
        <v>15</v>
      </c>
      <c r="J26" s="57"/>
      <c r="K26" s="56">
        <f>T20</f>
        <v>363804.41999999993</v>
      </c>
      <c r="L26" s="57"/>
    </row>
    <row r="27" spans="1:22" ht="24.95" customHeight="1" thickBot="1" x14ac:dyDescent="0.3">
      <c r="I27" s="56" t="s">
        <v>25</v>
      </c>
      <c r="J27" s="57"/>
      <c r="K27" s="56">
        <f>O18</f>
        <v>268761</v>
      </c>
      <c r="L27" s="57"/>
    </row>
    <row r="28" spans="1:22" ht="24.95" customHeight="1" thickBot="1" x14ac:dyDescent="0.3">
      <c r="I28" s="56" t="s">
        <v>16</v>
      </c>
      <c r="J28" s="57"/>
      <c r="K28" s="56" t="s">
        <v>26</v>
      </c>
      <c r="L28" s="57"/>
    </row>
    <row r="33" spans="3:6" ht="24.95" customHeight="1" x14ac:dyDescent="0.25">
      <c r="C33" s="2" t="s">
        <v>5</v>
      </c>
      <c r="D33" s="2" t="s">
        <v>6</v>
      </c>
      <c r="E33" s="10" t="s">
        <v>7</v>
      </c>
      <c r="F33" s="10" t="s">
        <v>8</v>
      </c>
    </row>
    <row r="34" spans="3:6" ht="24.95" customHeight="1" x14ac:dyDescent="0.25">
      <c r="C34" s="2" t="s">
        <v>9</v>
      </c>
      <c r="D34" s="2">
        <v>481.77</v>
      </c>
      <c r="E34" s="10">
        <v>50</v>
      </c>
      <c r="F34" s="10">
        <f>D34*E34</f>
        <v>24088.5</v>
      </c>
    </row>
    <row r="35" spans="3:6" ht="24.95" customHeight="1" x14ac:dyDescent="0.25">
      <c r="C35" s="2" t="s">
        <v>10</v>
      </c>
      <c r="D35" s="2">
        <v>438.57</v>
      </c>
      <c r="E35" s="10">
        <v>200</v>
      </c>
      <c r="F35" s="10">
        <f>D35*E35</f>
        <v>87714</v>
      </c>
    </row>
    <row r="36" spans="3:6" ht="24.95" customHeight="1" x14ac:dyDescent="0.25">
      <c r="E36" s="10" t="s">
        <v>11</v>
      </c>
      <c r="F36" s="10">
        <f>SUM(F34:F35)</f>
        <v>111802.5</v>
      </c>
    </row>
    <row r="37" spans="3:6" ht="24.95" customHeight="1" x14ac:dyDescent="0.25">
      <c r="D37" s="60" t="s">
        <v>12</v>
      </c>
      <c r="E37" s="60"/>
      <c r="F37" s="10">
        <v>0</v>
      </c>
    </row>
    <row r="38" spans="3:6" ht="24.95" customHeight="1" x14ac:dyDescent="0.25">
      <c r="E38" s="10" t="s">
        <v>13</v>
      </c>
      <c r="F38" s="11">
        <f>F36-F37</f>
        <v>111802.5</v>
      </c>
    </row>
  </sheetData>
  <mergeCells count="13">
    <mergeCell ref="I28:J28"/>
    <mergeCell ref="K28:L28"/>
    <mergeCell ref="V5:V6"/>
    <mergeCell ref="D37:E37"/>
    <mergeCell ref="H2:I2"/>
    <mergeCell ref="I23:L23"/>
    <mergeCell ref="I24:L24"/>
    <mergeCell ref="I25:J25"/>
    <mergeCell ref="K25:L25"/>
    <mergeCell ref="I26:J26"/>
    <mergeCell ref="I27:J27"/>
    <mergeCell ref="K26:L26"/>
    <mergeCell ref="K27:L27"/>
  </mergeCells>
  <pageMargins left="0.7" right="0.7" top="0.75" bottom="0.75" header="0.3" footer="0.3"/>
  <pageSetup scale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2025-05-27T05:42:09Z</dcterms:modified>
</cp:coreProperties>
</file>