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Updated Data\Updated Data\"/>
    </mc:Choice>
  </mc:AlternateContent>
  <xr:revisionPtr revIDLastSave="0" documentId="13_ncr:1_{E9D3D63D-1A29-43CC-95BA-4966166BBB7A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17" i="1"/>
  <c r="N26" i="1"/>
  <c r="M26" i="1"/>
  <c r="L26" i="1"/>
  <c r="K26" i="1"/>
  <c r="J26" i="1"/>
  <c r="H26" i="1"/>
  <c r="I26" i="1" s="1"/>
  <c r="G54" i="1" l="1"/>
  <c r="J54" i="1" s="1"/>
  <c r="K54" i="1" l="1"/>
  <c r="H54" i="1"/>
  <c r="L54" i="1" s="1"/>
  <c r="E55" i="1" s="1"/>
  <c r="N55" i="1" s="1"/>
  <c r="G25" i="1"/>
  <c r="G67" i="1"/>
  <c r="J67" i="1" s="1"/>
  <c r="J25" i="1" l="1"/>
  <c r="K25" i="1"/>
  <c r="I54" i="1"/>
  <c r="N54" i="1" s="1"/>
  <c r="H25" i="1"/>
  <c r="I25" i="1" s="1"/>
  <c r="L25" i="1"/>
  <c r="K67" i="1"/>
  <c r="H67" i="1"/>
  <c r="L67" i="1" l="1"/>
  <c r="E68" i="1"/>
  <c r="N68" i="1" s="1"/>
  <c r="N25" i="1"/>
  <c r="I67" i="1"/>
  <c r="N67" i="1" l="1"/>
  <c r="O76" i="1"/>
  <c r="G73" i="1"/>
  <c r="J73" i="1" s="1"/>
  <c r="K73" i="1" l="1"/>
  <c r="H73" i="1"/>
  <c r="L73" i="1" l="1"/>
  <c r="E74" i="1" s="1"/>
  <c r="N74" i="1" s="1"/>
  <c r="I73" i="1"/>
  <c r="N73" i="1" s="1"/>
  <c r="Q75" i="1" s="1"/>
  <c r="L84" i="1"/>
  <c r="N47" i="1" l="1"/>
  <c r="G48" i="1"/>
  <c r="J48" i="1" s="1"/>
  <c r="K48" i="1" l="1"/>
  <c r="H48" i="1"/>
  <c r="L48" i="1" s="1"/>
  <c r="E49" i="1" s="1"/>
  <c r="N49" i="1" s="1"/>
  <c r="G70" i="1"/>
  <c r="J70" i="1" s="1"/>
  <c r="G11" i="1"/>
  <c r="K11" i="1" s="1"/>
  <c r="I48" i="1" l="1"/>
  <c r="N48" i="1" s="1"/>
  <c r="K70" i="1"/>
  <c r="H70" i="1"/>
  <c r="L70" i="1" s="1"/>
  <c r="E71" i="1" s="1"/>
  <c r="N71" i="1" s="1"/>
  <c r="H11" i="1"/>
  <c r="L11" i="1" s="1"/>
  <c r="J11" i="1"/>
  <c r="G59" i="1"/>
  <c r="J59" i="1" s="1"/>
  <c r="N53" i="1"/>
  <c r="N44" i="1"/>
  <c r="N36" i="1"/>
  <c r="E12" i="1" l="1"/>
  <c r="N12" i="1" s="1"/>
  <c r="I70" i="1"/>
  <c r="N70" i="1" s="1"/>
  <c r="Q72" i="1" s="1"/>
  <c r="I11" i="1"/>
  <c r="N11" i="1" s="1"/>
  <c r="Q14" i="1" s="1"/>
  <c r="H59" i="1"/>
  <c r="L59" i="1" s="1"/>
  <c r="E61" i="1" s="1"/>
  <c r="N61" i="1" s="1"/>
  <c r="K59" i="1"/>
  <c r="E65" i="1"/>
  <c r="G65" i="1" s="1"/>
  <c r="J65" i="1" s="1"/>
  <c r="I59" i="1" l="1"/>
  <c r="N59" i="1" s="1"/>
  <c r="K65" i="1"/>
  <c r="H65" i="1"/>
  <c r="L65" i="1" l="1"/>
  <c r="E66" i="1"/>
  <c r="N66" i="1" s="1"/>
  <c r="I65" i="1"/>
  <c r="N65" i="1" l="1"/>
  <c r="Q69" i="1" s="1"/>
  <c r="N41" i="1"/>
  <c r="G40" i="1"/>
  <c r="N39" i="1"/>
  <c r="E38" i="1"/>
  <c r="G38" i="1" s="1"/>
  <c r="K40" i="1" l="1"/>
  <c r="J40" i="1"/>
  <c r="J38" i="1"/>
  <c r="H38" i="1"/>
  <c r="L38" i="1" s="1"/>
  <c r="H40" i="1"/>
  <c r="K38" i="1"/>
  <c r="I40" i="1" l="1"/>
  <c r="L40" i="1"/>
  <c r="I38" i="1"/>
  <c r="N38" i="1" s="1"/>
  <c r="N40" i="1" l="1"/>
  <c r="Q42" i="1" s="1"/>
  <c r="E58" i="1"/>
  <c r="G58" i="1" s="1"/>
  <c r="J58" i="1" s="1"/>
  <c r="K58" i="1" l="1"/>
  <c r="H58" i="1"/>
  <c r="E52" i="1"/>
  <c r="G52" i="1" s="1"/>
  <c r="J52" i="1" s="1"/>
  <c r="L58" i="1" l="1"/>
  <c r="E60" i="1"/>
  <c r="N60" i="1" s="1"/>
  <c r="H52" i="1"/>
  <c r="L52" i="1" s="1"/>
  <c r="I58" i="1"/>
  <c r="K52" i="1"/>
  <c r="G46" i="1"/>
  <c r="J46" i="1" s="1"/>
  <c r="N58" i="1" l="1"/>
  <c r="Q64" i="1" s="1"/>
  <c r="H46" i="1"/>
  <c r="L46" i="1" s="1"/>
  <c r="I52" i="1"/>
  <c r="N52" i="1" s="1"/>
  <c r="Q57" i="1" s="1"/>
  <c r="K46" i="1"/>
  <c r="I46" i="1" l="1"/>
  <c r="N46" i="1" s="1"/>
  <c r="Q51" i="1" s="1"/>
  <c r="G43" i="1" l="1"/>
  <c r="J43" i="1" s="1"/>
  <c r="H43" i="1" l="1"/>
  <c r="L43" i="1" s="1"/>
  <c r="K43" i="1"/>
  <c r="I43" i="1" l="1"/>
  <c r="N43" i="1" s="1"/>
  <c r="Q45" i="1" s="1"/>
  <c r="N24" i="1" l="1"/>
  <c r="M24" i="1"/>
  <c r="L24" i="1"/>
  <c r="K24" i="1"/>
  <c r="J24" i="1"/>
  <c r="H24" i="1"/>
  <c r="I24" i="1" s="1"/>
  <c r="G23" i="1"/>
  <c r="J23" i="1" s="1"/>
  <c r="M76" i="1" l="1"/>
  <c r="L87" i="1" s="1"/>
  <c r="K23" i="1"/>
  <c r="H23" i="1"/>
  <c r="L23" i="1"/>
  <c r="I23" i="1" l="1"/>
  <c r="N23" i="1" s="1"/>
  <c r="N19" i="1" l="1"/>
  <c r="E18" i="1"/>
  <c r="G18" i="1" s="1"/>
  <c r="J18" i="1" l="1"/>
  <c r="H18" i="1"/>
  <c r="L18" i="1" s="1"/>
  <c r="K18" i="1"/>
  <c r="I18" i="1" l="1"/>
  <c r="N18" i="1" s="1"/>
  <c r="Q20" i="1" s="1"/>
  <c r="E35" i="1" l="1"/>
  <c r="G35" i="1" s="1"/>
  <c r="N34" i="1"/>
  <c r="E33" i="1"/>
  <c r="G33" i="1" s="1"/>
  <c r="H35" i="1" l="1"/>
  <c r="L35" i="1" s="1"/>
  <c r="K35" i="1"/>
  <c r="J35" i="1"/>
  <c r="J33" i="1"/>
  <c r="H33" i="1"/>
  <c r="L33" i="1" s="1"/>
  <c r="K33" i="1"/>
  <c r="I33" i="1" l="1"/>
  <c r="N33" i="1" s="1"/>
  <c r="I35" i="1"/>
  <c r="N35" i="1" s="1"/>
  <c r="Q37" i="1" l="1"/>
  <c r="N31" i="1"/>
  <c r="N30" i="1"/>
  <c r="E29" i="1"/>
  <c r="G29" i="1" s="1"/>
  <c r="E28" i="1"/>
  <c r="G28" i="1" s="1"/>
  <c r="K28" i="1" l="1"/>
  <c r="J28" i="1"/>
  <c r="H28" i="1"/>
  <c r="L28" i="1" s="1"/>
  <c r="K29" i="1"/>
  <c r="H29" i="1"/>
  <c r="L29" i="1" s="1"/>
  <c r="J29" i="1"/>
  <c r="I29" i="1" l="1"/>
  <c r="N29" i="1" s="1"/>
  <c r="I28" i="1"/>
  <c r="N28" i="1" s="1"/>
  <c r="N22" i="1"/>
  <c r="Q32" i="1" l="1"/>
  <c r="E21" i="1"/>
  <c r="G21" i="1" l="1"/>
  <c r="K21" i="1" s="1"/>
  <c r="J21" i="1" l="1"/>
  <c r="H21" i="1"/>
  <c r="L21" i="1" s="1"/>
  <c r="I21" i="1" l="1"/>
  <c r="N21" i="1" s="1"/>
  <c r="Q27" i="1" s="1"/>
  <c r="H22" i="1"/>
  <c r="Q76" i="1" l="1"/>
  <c r="N76" i="1"/>
  <c r="J22" i="1"/>
  <c r="K22" i="1"/>
  <c r="K76" i="1" l="1"/>
  <c r="L83" i="1" s="1"/>
  <c r="L22" i="1"/>
  <c r="I22" i="1"/>
  <c r="L76" i="1" l="1"/>
  <c r="L86" i="1" s="1"/>
  <c r="O78" i="1"/>
  <c r="L85" i="1" s="1"/>
</calcChain>
</file>

<file path=xl/sharedStrings.xml><?xml version="1.0" encoding="utf-8"?>
<sst xmlns="http://schemas.openxmlformats.org/spreadsheetml/2006/main" count="120" uniqueCount="90">
  <si>
    <t>Amount</t>
  </si>
  <si>
    <t>UTR</t>
  </si>
  <si>
    <t>Badhai kalan Village Boundary wall work</t>
  </si>
  <si>
    <t>M/s Shree Shree Balaji contractor</t>
  </si>
  <si>
    <t>23-03-2023 NEFT/AXISP00373687999/RIUP22/2680/SHRI SHRI BALAJ 195577.00</t>
  </si>
  <si>
    <t>21-04-2023 NEFT/AXISP00383558982/RIUP23/042/SHRI SHRI BALAJI 39555.00</t>
  </si>
  <si>
    <t>GST release note</t>
  </si>
  <si>
    <t xml:space="preserve">Karwara village -Pump house work  </t>
  </si>
  <si>
    <t>19-04-2023 19-04-2023 NEFT/AXISP00382928305/SPUP23/0147/SHRI SHRI BALAJ 166283.00</t>
  </si>
  <si>
    <t>30-05-2023 NEFT/AXISP00393348671/RIUP23/441/SHRI SHRI BALAJI 141510.00</t>
  </si>
  <si>
    <t>14-06-2023 NEFT/AXISP00398362778/RIUP23/587/SHRI SHRI BALAJI ₹ 33,630.00</t>
  </si>
  <si>
    <t>28-06-2023 NEFT/AXISP00401332313/RIUP23/862/SHRI SHRI BALAJI 28620.00</t>
  </si>
  <si>
    <t xml:space="preserve">Lalukheri village -Pump house work  </t>
  </si>
  <si>
    <t>19-04-2023 19-04-2023 NEFT/AXISP00382928304/SPUP23/0148/SHRI SHRI BALAJ 166283.00</t>
  </si>
  <si>
    <t>14-06-2023 NEFT/AXISP00398362779/RIUP23/588/SHRI SHRI BALAJI ₹ 33,630.00</t>
  </si>
  <si>
    <t>19-06-2023 NEFT/AXISP00399545678/RIUP23/723/SHRI SHRI BALAJI 141510.00</t>
  </si>
  <si>
    <t>kutabi  Village Pump House work</t>
  </si>
  <si>
    <t>29-05-2023 NEFT/AXISP00393029889/RIUP23/408/SHRI SHRI BALAJI 152968.00</t>
  </si>
  <si>
    <t>28-06-2023 NEFT/AXISP00401332312/RIUP23/861/SHRI SHRI BALAJI 30937.00</t>
  </si>
  <si>
    <t>13-02-2023 NEFT/AXISP00362757396/RIUP22/2155/SHRI SHRI BALAJ ₹ 2,92,160.00</t>
  </si>
  <si>
    <t>21-04-2023 NEFT/AXISP00383558981/RIUP23/041/SHRI SHRI BALAJI 59088.00</t>
  </si>
  <si>
    <t>kutabi  VillageBoundry wall work</t>
  </si>
  <si>
    <t>Hold Amount</t>
  </si>
  <si>
    <t>03-08-2023 NEFT/AXISP00412355118/RIUP23/1352/SHRI SHRI BALAJ 71956.00</t>
  </si>
  <si>
    <t>02-08-2023 NEFT/AXISP00412149933/RIUP23/1355/SHRI SHRI BALAJ 134390.00</t>
  </si>
  <si>
    <t>10-08-2023 NEFT/AXISP00414796771/RIUP23/1462/SHRI SHRI BALAJ 222975.00</t>
  </si>
  <si>
    <t>GST Release Note</t>
  </si>
  <si>
    <t>Kamalpur  VillageBoundry wall work</t>
  </si>
  <si>
    <t>Jafarpur Village Pump House work</t>
  </si>
  <si>
    <t>29-08-2023 NEFT/AXISP00419117076/RIUP23/1779/SHRI SHRI BALAJI C/PUNB0148000 ₹ 14,553.00</t>
  </si>
  <si>
    <t>29-08-2023 NEFT/AXISP00419117074/RIUP23/1778/SHRI SHRI BALAJI C/PUNB0148000 ₹ 27,180.00</t>
  </si>
  <si>
    <t>29-08-2023 NEFT/AXISP00419117075/RIUP23/1780/SHRI SHRI BALAJI C/PUNB0148000 ₹ 45,662.00</t>
  </si>
  <si>
    <t>GST Release note</t>
  </si>
  <si>
    <t>07-09-2023 NEFT/AXISP00422654383/RIUP23/1861/SHRI SHRI BALAJI C/PUNB0148000 197580.00</t>
  </si>
  <si>
    <t>03-10-2023 NEFT/AXISP00430096874/RIUP23/2428/SHRI SHRI BALAJI C/PUNB0148000 199908.00</t>
  </si>
  <si>
    <t>25-07-2023 NEFT/AXISP00409091570/RIUP23/1204/SHRI SHRI BALAJ 28620.00</t>
  </si>
  <si>
    <t>17-10-2023 NEFT/AXISP00435127255/RIUP23/2673/SHRI SHRI BALAJI C/PUNB0148000 189000.00</t>
  </si>
  <si>
    <t>DULEHRA Village Pump House work</t>
  </si>
  <si>
    <t>01-11-2023 NEFT/AXISP00439227039/RIUP23/2916/SHRI SHRI BALAJI C/PUNB0148000 39960.00</t>
  </si>
  <si>
    <t>01-11-2023 NEFT/AXISP00439227038/RIUP23/2917/SHRI SHRI BALAJI C/PUNB0148000 42926.00</t>
  </si>
  <si>
    <t>01-11-2023 NEFT/AXISP00439227034/RIUP23/2974/SHRI SHRI BALAJI C/PUNB0148000 199800.00</t>
  </si>
  <si>
    <t>All  work</t>
  </si>
  <si>
    <t>30-12-2023 NEFT/AXISP00457475298/RIUP23/3666/SHRI SHRI BALAJI C/PUNB0148000 103410.00</t>
  </si>
  <si>
    <t>29-12-2023 NEFT/AXISP00456946532/RIUP23/3950/SHRI SHRI BALAJI C/PUNB0148000 ₹ 37,800.00</t>
  </si>
  <si>
    <t>29-12-2023 NEFT/AXISP00456946533/RIUP23/3951/SHRI SHRI BALAJI C/PUNB0148000 ₹ 39,960.00</t>
  </si>
  <si>
    <t>14-11-2022 NEFT/AXISP00337247395/RIUP22/1247/SHRI SHRI BALAJ 148500.00</t>
  </si>
  <si>
    <t>14-11-2022 NEFT/AXISP00337247396/RIUP22/1248/SHRI SHRI BALAJ 99000.00</t>
  </si>
  <si>
    <t>24-02-2023 NEFT/AXISP00365393661/RIUP22/2293/SHRI SHRI BALAJ 193160.00</t>
  </si>
  <si>
    <t>21-04-2023 NEFT/AXISP00383558980/RIUP23/040/SHRI SHRI BALAJI 59088.00</t>
  </si>
  <si>
    <t>GST</t>
  </si>
  <si>
    <t>16-02-2024 NEFT/AXISP00472105151/RIUP23/4442/SHRI SHRI BALAJI C/PUNB0148000 99900.00</t>
  </si>
  <si>
    <t>06-04-2024 NEFT/AXISP00489186676/RIUP23/5224/SHRI SHRI BALAJI C/PUNB0148000 21762.00</t>
  </si>
  <si>
    <t>05-02-2024 NEFT/AXISP00468222697/RIUP23/4499/SHRI SHRI BALAJI C/PUNB0148000 60585.00</t>
  </si>
  <si>
    <t>Hold</t>
  </si>
  <si>
    <t xml:space="preserve">Total Debit </t>
  </si>
  <si>
    <t>Advance/ Surplus</t>
  </si>
  <si>
    <t>GST Remaining</t>
  </si>
  <si>
    <t>DPR excess Hold</t>
  </si>
  <si>
    <t>Shree Shree Balaji Contractor</t>
  </si>
  <si>
    <t>TDS deducted 5 %</t>
  </si>
  <si>
    <t>23-10-2024 NEFT/AXISP00557269329/RIUP23/5223/SHRI SHRI BALAJI C/PUNB0148000 19980.00</t>
  </si>
  <si>
    <t>DULEHRA Village Boundary Wall  work</t>
  </si>
  <si>
    <t>12-03-2025 NEFT/AXISP00632194505/RIUP24/3236/SHRI SHRI BALAJI C/PUNB0148000 50000.00</t>
  </si>
  <si>
    <t>08-04-2025 NEFT/AXISP00648286720/RIUP24/3350/SHRI SHRI BALAJI C/PUNB0148000 56595.00</t>
  </si>
  <si>
    <t>16-04-2025 NEFT/AXISP00651859286/RIUP25/0091/SHRI SHRI BALAJI C/PUNB0148000 30000.00</t>
  </si>
  <si>
    <t>16-04-2025 NEFT/AXISP00651859285/RIUP25/0090/SHRI SHRI BALAJI C/PUNB0148000 30000.00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</si>
  <si>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</si>
  <si>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</si>
  <si>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</si>
  <si>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</si>
  <si>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</si>
  <si>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</si>
  <si>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</si>
  <si>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</si>
  <si>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</si>
  <si>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</si>
  <si>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</si>
  <si>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</si>
  <si>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</si>
  <si>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>Uttar Pradesh</t>
  </si>
  <si>
    <t>Muzaffarnagar</t>
  </si>
  <si>
    <t>Kamalpur  Village Boundry Wall work</t>
  </si>
  <si>
    <t>Safipur Patti village- PH work</t>
  </si>
  <si>
    <t>Subcontractor:</t>
  </si>
  <si>
    <t>State:</t>
  </si>
  <si>
    <t>District:</t>
  </si>
  <si>
    <t>Block:</t>
  </si>
  <si>
    <t xml:space="preserve">  Pipalhera Village  Pump House Work</t>
  </si>
  <si>
    <t xml:space="preserve">Pipalhera village Construction of Pump house work </t>
  </si>
  <si>
    <t>Balwakhedi village PH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</si>
</sst>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₹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8"/>
      <color theme="1"/>
      <name val="Comic Sans MS"/>
      <family val="4"/>
    </font>
    <font>
      <sz val="9"/>
      <color rgb="FFFF0000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omic Sans MS"/>
      <family val="4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7">
    <xf numFmtId="0" fontId="0" fillId="0" borderId="0" xfId="0"/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9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164" fontId="5" fillId="2" borderId="6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5" fillId="2" borderId="10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5" fillId="2" borderId="12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vertical="center"/>
    </xf>
    <xf numFmtId="0" fontId="3" fillId="2" borderId="1" xfId="1" applyNumberFormat="1" applyFont="1" applyFill="1" applyBorder="1" applyAlignment="1">
      <alignment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7" xfId="1" applyNumberFormat="1" applyFont="1" applyFill="1" applyBorder="1" applyAlignment="1">
      <alignment vertical="center"/>
    </xf>
    <xf numFmtId="0" fontId="3" fillId="2" borderId="11" xfId="1" applyNumberFormat="1" applyFont="1" applyFill="1" applyBorder="1" applyAlignment="1">
      <alignment vertical="center"/>
    </xf>
    <xf numFmtId="0" fontId="3" fillId="2" borderId="2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6" fillId="2" borderId="16" xfId="0" applyNumberFormat="1" applyFont="1" applyFill="1" applyBorder="1" applyAlignment="1">
      <alignment vertical="center"/>
    </xf>
    <xf numFmtId="165" fontId="6" fillId="2" borderId="19" xfId="0" applyNumberFormat="1" applyFont="1" applyFill="1" applyBorder="1" applyAlignment="1">
      <alignment vertical="center"/>
    </xf>
    <xf numFmtId="164" fontId="11" fillId="2" borderId="5" xfId="1" applyNumberFormat="1" applyFont="1" applyFill="1" applyBorder="1" applyAlignment="1">
      <alignment vertical="center"/>
    </xf>
    <xf numFmtId="164" fontId="8" fillId="2" borderId="1" xfId="1" applyNumberFormat="1" applyFont="1" applyFill="1" applyBorder="1" applyAlignment="1">
      <alignment vertical="center"/>
    </xf>
    <xf numFmtId="164" fontId="8" fillId="2" borderId="3" xfId="1" applyNumberFormat="1" applyFont="1" applyFill="1" applyBorder="1" applyAlignment="1">
      <alignment vertical="center"/>
    </xf>
    <xf numFmtId="164" fontId="8" fillId="2" borderId="9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2" fillId="2" borderId="0" xfId="0" applyFont="1" applyFill="1"/>
    <xf numFmtId="164" fontId="8" fillId="2" borderId="5" xfId="1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0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0" fontId="12" fillId="0" borderId="0" xfId="0" applyFont="1"/>
    <xf numFmtId="0" fontId="6" fillId="2" borderId="20" xfId="0" applyFont="1" applyFill="1" applyBorder="1" applyAlignment="1">
      <alignment vertical="center"/>
    </xf>
    <xf numFmtId="0" fontId="6" fillId="2" borderId="20" xfId="0" applyFont="1" applyFill="1" applyBorder="1" applyAlignment="1">
      <alignment horizontal="center" vertical="center" wrapText="1"/>
    </xf>
    <xf numFmtId="14" fontId="6" fillId="2" borderId="20" xfId="0" applyNumberFormat="1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64" fontId="13" fillId="2" borderId="20" xfId="2" applyFont="1" applyFill="1" applyBorder="1" applyAlignment="1">
      <alignment horizontal="center" vertical="center"/>
    </xf>
    <xf numFmtId="164" fontId="6" fillId="2" borderId="20" xfId="2" applyFont="1" applyFill="1" applyBorder="1" applyAlignment="1">
      <alignment horizontal="center" vertical="center"/>
    </xf>
    <xf numFmtId="0" fontId="6" fillId="0" borderId="0" xfId="0" applyFont="1"/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64" fontId="9" fillId="2" borderId="13" xfId="2" applyFont="1" applyFill="1" applyBorder="1" applyAlignment="1">
      <alignment horizontal="center" vertical="center"/>
    </xf>
    <xf numFmtId="164" fontId="9" fillId="2" borderId="14" xfId="2" applyFont="1" applyFill="1" applyBorder="1" applyAlignment="1">
      <alignment horizontal="center" vertical="center"/>
    </xf>
    <xf numFmtId="164" fontId="9" fillId="2" borderId="15" xfId="2" applyFont="1" applyFill="1" applyBorder="1" applyAlignment="1">
      <alignment horizontal="center" vertical="center"/>
    </xf>
    <xf numFmtId="14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"/>
  <sheetViews>
    <sheetView tabSelected="1" zoomScale="85" zoomScaleNormal="85" workbookViewId="0">
      <pane ySplit="5" topLeftCell="A11" activePane="bottomLeft" state="frozen"/>
      <selection pane="bottomLeft" activeCell="B11" sqref="B11"/>
    </sheetView>
  </sheetViews>
  <sheetFormatPr defaultColWidth="9" defaultRowHeight="30" customHeight="1" x14ac:dyDescent="0.3"/>
  <cols>
    <col min="1" max="1" width="9" style="5"/>
    <col min="2" max="2" width="30" style="5" customWidth="1"/>
    <col min="3" max="3" width="13.44140625" style="5" bestFit="1" customWidth="1"/>
    <col min="4" max="4" width="11.5546875" style="5" bestFit="1" customWidth="1"/>
    <col min="5" max="5" width="13.33203125" style="5" bestFit="1" customWidth="1"/>
    <col min="6" max="7" width="13.33203125" style="5" customWidth="1"/>
    <col min="8" max="8" width="14.6640625" style="1" customWidth="1"/>
    <col min="9" max="9" width="12.88671875" style="1" bestFit="1" customWidth="1"/>
    <col min="10" max="10" width="10.6640625" style="5" bestFit="1" customWidth="1"/>
    <col min="11" max="11" width="14.109375" style="5" bestFit="1" customWidth="1"/>
    <col min="12" max="14" width="14.88671875" style="5" customWidth="1"/>
    <col min="15" max="15" width="19.6640625" style="5" bestFit="1" customWidth="1"/>
    <col min="16" max="16" width="101" style="5" bestFit="1" customWidth="1"/>
    <col min="17" max="17" width="19.6640625" style="5" bestFit="1" customWidth="1"/>
    <col min="18" max="16384" width="9" style="5"/>
  </cols>
  <sheetData>
    <row r="1" spans="1:17" ht="30" customHeight="1" x14ac:dyDescent="0.3">
      <c r="A1" s="66" t="s">
        <v>83</v>
      </c>
      <c r="B1" s="19" t="s">
        <v>3</v>
      </c>
      <c r="E1" s="20"/>
      <c r="F1" s="20"/>
      <c r="G1" s="20"/>
    </row>
    <row r="2" spans="1:17" ht="30" customHeight="1" x14ac:dyDescent="0.3">
      <c r="A2" s="66" t="s">
        <v>84</v>
      </c>
      <c r="B2" s="2" t="s">
        <v>79</v>
      </c>
      <c r="C2" s="2"/>
      <c r="D2" s="39"/>
      <c r="G2" s="3"/>
      <c r="I2" s="37" t="s">
        <v>41</v>
      </c>
      <c r="J2" s="4"/>
      <c r="K2" s="4"/>
      <c r="L2" s="4"/>
      <c r="M2" s="4"/>
      <c r="N2" s="4"/>
    </row>
    <row r="3" spans="1:17" ht="30" customHeight="1" x14ac:dyDescent="0.3">
      <c r="A3" s="66" t="s">
        <v>85</v>
      </c>
      <c r="B3" t="s">
        <v>80</v>
      </c>
      <c r="C3" s="2"/>
      <c r="D3" s="39"/>
      <c r="G3" s="3"/>
      <c r="I3" s="37"/>
      <c r="J3" s="4"/>
      <c r="K3" s="4"/>
      <c r="L3" s="4"/>
      <c r="M3" s="4"/>
      <c r="N3" s="4"/>
    </row>
    <row r="4" spans="1:17" ht="30" customHeight="1" thickBot="1" x14ac:dyDescent="0.35">
      <c r="A4" s="66" t="s">
        <v>86</v>
      </c>
      <c r="B4" t="s">
        <v>80</v>
      </c>
      <c r="C4" s="4"/>
      <c r="D4" s="4"/>
      <c r="E4" s="4"/>
      <c r="F4" s="4"/>
      <c r="G4" s="4"/>
      <c r="H4" s="6"/>
      <c r="I4" s="6"/>
      <c r="J4" s="4"/>
      <c r="K4" s="4"/>
      <c r="O4" s="7"/>
      <c r="P4" s="7"/>
      <c r="Q4" s="7"/>
    </row>
    <row r="5" spans="1:17" ht="30" customHeight="1" x14ac:dyDescent="0.3">
      <c r="A5" s="60" t="s">
        <v>66</v>
      </c>
      <c r="B5" s="61" t="s">
        <v>67</v>
      </c>
      <c r="C5" s="62" t="s">
        <v>68</v>
      </c>
      <c r="D5" s="63" t="s">
        <v>69</v>
      </c>
      <c r="E5" s="61" t="s">
        <v>70</v>
      </c>
      <c r="F5" s="61" t="s">
        <v>71</v>
      </c>
      <c r="G5" s="63" t="s">
        <v>72</v>
      </c>
      <c r="H5" s="64" t="s">
        <v>73</v>
      </c>
      <c r="I5" s="65" t="s">
        <v>0</v>
      </c>
      <c r="J5" s="61" t="s">
        <v>74</v>
      </c>
      <c r="K5" s="61" t="s">
        <v>75</v>
      </c>
      <c r="L5" s="27" t="s">
        <v>76</v>
      </c>
      <c r="M5" s="27" t="s">
        <v>22</v>
      </c>
      <c r="N5" s="28" t="s">
        <v>77</v>
      </c>
      <c r="O5" s="61" t="s">
        <v>78</v>
      </c>
      <c r="P5" s="61" t="s">
        <v>1</v>
      </c>
      <c r="Q5" s="30"/>
    </row>
    <row r="6" spans="1:17" ht="30" customHeight="1" x14ac:dyDescent="0.3">
      <c r="A6" s="29"/>
      <c r="B6" s="9"/>
      <c r="C6" s="9"/>
      <c r="D6" s="40"/>
      <c r="E6" s="9"/>
      <c r="F6" s="9"/>
      <c r="G6" s="9"/>
      <c r="H6" s="22">
        <v>0.18</v>
      </c>
      <c r="I6" s="9"/>
      <c r="J6" s="22">
        <v>0.05</v>
      </c>
      <c r="K6" s="22">
        <v>0.1</v>
      </c>
      <c r="L6" s="22">
        <v>0.18</v>
      </c>
      <c r="M6" s="22"/>
      <c r="N6" s="10"/>
      <c r="O6" s="8"/>
      <c r="P6" s="10"/>
      <c r="Q6" s="8"/>
    </row>
    <row r="7" spans="1:17" ht="30" customHeight="1" x14ac:dyDescent="0.3">
      <c r="A7" s="55"/>
      <c r="B7" s="56"/>
      <c r="C7" s="56"/>
      <c r="D7" s="57"/>
      <c r="E7" s="56"/>
      <c r="F7" s="56"/>
      <c r="G7" s="56"/>
      <c r="H7" s="58"/>
      <c r="I7" s="56"/>
      <c r="J7" s="58"/>
      <c r="K7" s="58"/>
      <c r="L7" s="58"/>
      <c r="M7" s="58"/>
      <c r="N7" s="15"/>
      <c r="O7" s="14"/>
      <c r="P7" s="15"/>
      <c r="Q7" s="14"/>
    </row>
    <row r="8" spans="1:17" ht="30" customHeight="1" x14ac:dyDescent="0.3">
      <c r="A8" s="29">
        <v>53073</v>
      </c>
      <c r="B8" s="23" t="s">
        <v>87</v>
      </c>
      <c r="C8" s="24"/>
      <c r="D8" s="25"/>
      <c r="E8" s="9"/>
      <c r="F8" s="9"/>
      <c r="G8" s="9"/>
      <c r="H8" s="9"/>
      <c r="I8" s="9"/>
      <c r="J8" s="9"/>
      <c r="K8" s="9"/>
      <c r="L8" s="9"/>
      <c r="M8" s="9"/>
      <c r="N8" s="10"/>
      <c r="O8" s="8">
        <v>148500</v>
      </c>
      <c r="P8" s="52" t="s">
        <v>45</v>
      </c>
      <c r="Q8" s="8"/>
    </row>
    <row r="9" spans="1:17" ht="30" customHeight="1" x14ac:dyDescent="0.3">
      <c r="A9" s="29">
        <v>53073</v>
      </c>
      <c r="B9" s="23"/>
      <c r="C9" s="24"/>
      <c r="D9" s="25"/>
      <c r="E9" s="9"/>
      <c r="F9" s="9"/>
      <c r="G9" s="9"/>
      <c r="H9" s="9"/>
      <c r="I9" s="9"/>
      <c r="J9" s="9"/>
      <c r="K9" s="9"/>
      <c r="L9" s="9"/>
      <c r="M9" s="9"/>
      <c r="N9" s="10"/>
      <c r="O9" s="8"/>
      <c r="P9" s="52"/>
      <c r="Q9" s="8"/>
    </row>
    <row r="10" spans="1:17" ht="30" customHeight="1" x14ac:dyDescent="0.3">
      <c r="A10" s="55"/>
      <c r="B10" s="56"/>
      <c r="C10" s="56"/>
      <c r="D10" s="57"/>
      <c r="E10" s="56"/>
      <c r="F10" s="56"/>
      <c r="G10" s="56"/>
      <c r="H10" s="58"/>
      <c r="I10" s="56"/>
      <c r="J10" s="58"/>
      <c r="K10" s="58"/>
      <c r="L10" s="58"/>
      <c r="M10" s="58"/>
      <c r="N10" s="15"/>
      <c r="O10" s="14"/>
      <c r="P10" s="15"/>
      <c r="Q10" s="17">
        <f>SUM(N8:N9)-SUM(O8:O9)</f>
        <v>-148500</v>
      </c>
    </row>
    <row r="11" spans="1:17" ht="30" customHeight="1" x14ac:dyDescent="0.3">
      <c r="A11" s="29">
        <v>53074</v>
      </c>
      <c r="B11" s="23" t="s">
        <v>89</v>
      </c>
      <c r="C11" s="24">
        <v>44959</v>
      </c>
      <c r="D11" s="25">
        <v>1</v>
      </c>
      <c r="E11" s="9">
        <v>370000</v>
      </c>
      <c r="F11" s="9">
        <v>41730</v>
      </c>
      <c r="G11" s="9">
        <f>ROUND(E11-F11,0)</f>
        <v>328270</v>
      </c>
      <c r="H11" s="9">
        <f>G11*18%</f>
        <v>59088.6</v>
      </c>
      <c r="I11" s="9">
        <f>G11+H11</f>
        <v>387358.6</v>
      </c>
      <c r="J11" s="9">
        <f>ROUND(G11*$J$6,)</f>
        <v>16414</v>
      </c>
      <c r="K11" s="9">
        <f>ROUND(G11*$K$6,)</f>
        <v>32827</v>
      </c>
      <c r="L11" s="49">
        <f>H11</f>
        <v>59088.6</v>
      </c>
      <c r="M11" s="9"/>
      <c r="N11" s="10">
        <f>ROUND(I11-SUM(J11:L11),0)</f>
        <v>279029</v>
      </c>
      <c r="O11" s="8">
        <v>99000</v>
      </c>
      <c r="P11" s="52" t="s">
        <v>46</v>
      </c>
      <c r="Q11" s="8"/>
    </row>
    <row r="12" spans="1:17" ht="30" customHeight="1" x14ac:dyDescent="0.3">
      <c r="A12" s="29">
        <v>53074</v>
      </c>
      <c r="B12" s="23" t="s">
        <v>6</v>
      </c>
      <c r="C12" s="24"/>
      <c r="D12" s="25">
        <v>1</v>
      </c>
      <c r="E12" s="9">
        <f>L11</f>
        <v>59088.6</v>
      </c>
      <c r="F12" s="9"/>
      <c r="G12" s="9"/>
      <c r="H12" s="9"/>
      <c r="I12" s="9"/>
      <c r="J12" s="9"/>
      <c r="K12" s="9"/>
      <c r="L12" s="9"/>
      <c r="M12" s="9"/>
      <c r="N12" s="50">
        <f>E12</f>
        <v>59088.6</v>
      </c>
      <c r="O12" s="8">
        <v>193160</v>
      </c>
      <c r="P12" s="52" t="s">
        <v>47</v>
      </c>
      <c r="Q12" s="8"/>
    </row>
    <row r="13" spans="1:17" ht="30" customHeight="1" x14ac:dyDescent="0.3">
      <c r="A13" s="29">
        <v>53074</v>
      </c>
      <c r="B13" s="23"/>
      <c r="C13" s="24"/>
      <c r="D13" s="25"/>
      <c r="E13" s="9"/>
      <c r="F13" s="9"/>
      <c r="G13" s="9"/>
      <c r="H13" s="9"/>
      <c r="I13" s="9"/>
      <c r="J13" s="9"/>
      <c r="K13" s="9"/>
      <c r="L13" s="9"/>
      <c r="M13" s="9"/>
      <c r="N13" s="10"/>
      <c r="O13" s="8">
        <v>59088</v>
      </c>
      <c r="P13" s="52" t="s">
        <v>48</v>
      </c>
      <c r="Q13" s="8"/>
    </row>
    <row r="14" spans="1:17" ht="30" customHeight="1" x14ac:dyDescent="0.3">
      <c r="A14" s="55"/>
      <c r="B14" s="56"/>
      <c r="C14" s="56"/>
      <c r="D14" s="57"/>
      <c r="E14" s="56"/>
      <c r="F14" s="56"/>
      <c r="G14" s="56"/>
      <c r="H14" s="58"/>
      <c r="I14" s="56"/>
      <c r="J14" s="58"/>
      <c r="K14" s="58"/>
      <c r="L14" s="58"/>
      <c r="M14" s="58"/>
      <c r="N14" s="15"/>
      <c r="O14" s="14"/>
      <c r="P14" s="15"/>
      <c r="Q14" s="17">
        <f>SUM(N11:N13)-SUM(O11:O13)</f>
        <v>-13130.400000000023</v>
      </c>
    </row>
    <row r="15" spans="1:17" ht="30" customHeight="1" x14ac:dyDescent="0.3">
      <c r="A15" s="29">
        <v>53231</v>
      </c>
      <c r="B15" s="23"/>
      <c r="C15" s="24"/>
      <c r="D15" s="25"/>
      <c r="E15" s="9"/>
      <c r="F15" s="9"/>
      <c r="G15" s="9"/>
      <c r="H15" s="9"/>
      <c r="I15" s="9"/>
      <c r="J15" s="9"/>
      <c r="K15" s="9"/>
      <c r="L15" s="9"/>
      <c r="M15" s="9"/>
      <c r="N15" s="10"/>
      <c r="O15" s="8"/>
      <c r="P15" s="52"/>
      <c r="Q15" s="8"/>
    </row>
    <row r="16" spans="1:17" ht="30" customHeight="1" x14ac:dyDescent="0.3">
      <c r="A16" s="29">
        <v>53231</v>
      </c>
      <c r="B16" s="23"/>
      <c r="C16" s="24"/>
      <c r="D16" s="25"/>
      <c r="E16" s="9"/>
      <c r="F16" s="9"/>
      <c r="G16" s="9"/>
      <c r="H16" s="9"/>
      <c r="I16" s="9"/>
      <c r="J16" s="9"/>
      <c r="K16" s="9"/>
      <c r="L16" s="9"/>
      <c r="M16" s="9"/>
      <c r="N16" s="10"/>
      <c r="O16" s="8"/>
      <c r="P16" s="52"/>
      <c r="Q16" s="8"/>
    </row>
    <row r="17" spans="1:17" ht="30" customHeight="1" x14ac:dyDescent="0.3">
      <c r="A17" s="55"/>
      <c r="B17" s="56"/>
      <c r="C17" s="56"/>
      <c r="D17" s="57"/>
      <c r="E17" s="56"/>
      <c r="F17" s="56"/>
      <c r="G17" s="56"/>
      <c r="H17" s="58"/>
      <c r="I17" s="56"/>
      <c r="J17" s="58"/>
      <c r="K17" s="58"/>
      <c r="L17" s="58"/>
      <c r="M17" s="58"/>
      <c r="N17" s="15"/>
      <c r="O17" s="14"/>
      <c r="P17" s="15"/>
      <c r="Q17" s="17">
        <f>SUM(N15:N16)-SUM(O15:O16)</f>
        <v>0</v>
      </c>
    </row>
    <row r="18" spans="1:17" ht="30" customHeight="1" x14ac:dyDescent="0.3">
      <c r="A18" s="29">
        <v>53232</v>
      </c>
      <c r="B18" s="23" t="s">
        <v>88</v>
      </c>
      <c r="C18" s="24">
        <v>44964</v>
      </c>
      <c r="D18" s="25">
        <v>3</v>
      </c>
      <c r="E18" s="9">
        <f>370000</f>
        <v>370000</v>
      </c>
      <c r="F18" s="9">
        <v>41730</v>
      </c>
      <c r="G18" s="9">
        <f>ROUND(E18-F18,0)</f>
        <v>328270</v>
      </c>
      <c r="H18" s="9">
        <f>ROUND(G18*H6,0)</f>
        <v>59089</v>
      </c>
      <c r="I18" s="9">
        <f>G18+H18</f>
        <v>387359</v>
      </c>
      <c r="J18" s="9">
        <f>ROUND(G18*$J$6,)</f>
        <v>16414</v>
      </c>
      <c r="K18" s="9">
        <f>ROUND(G18*$K$6,)</f>
        <v>32827</v>
      </c>
      <c r="L18" s="49">
        <f>H18</f>
        <v>59089</v>
      </c>
      <c r="M18" s="9"/>
      <c r="N18" s="10">
        <f>ROUND(I18-SUM(J18:L18),0)</f>
        <v>279029</v>
      </c>
      <c r="O18" s="8">
        <v>292160</v>
      </c>
      <c r="P18" s="52" t="s">
        <v>19</v>
      </c>
      <c r="Q18" s="8"/>
    </row>
    <row r="19" spans="1:17" ht="30" customHeight="1" x14ac:dyDescent="0.3">
      <c r="A19" s="29">
        <v>53232</v>
      </c>
      <c r="B19" s="23" t="s">
        <v>6</v>
      </c>
      <c r="C19" s="24"/>
      <c r="D19" s="25">
        <v>3</v>
      </c>
      <c r="E19" s="9">
        <v>59089</v>
      </c>
      <c r="F19" s="9"/>
      <c r="G19" s="9"/>
      <c r="H19" s="9"/>
      <c r="I19" s="9"/>
      <c r="J19" s="9"/>
      <c r="K19" s="9"/>
      <c r="L19" s="9"/>
      <c r="M19" s="9"/>
      <c r="N19" s="50">
        <f>E19</f>
        <v>59089</v>
      </c>
      <c r="O19" s="8">
        <v>59088</v>
      </c>
      <c r="P19" s="52" t="s">
        <v>20</v>
      </c>
      <c r="Q19" s="8"/>
    </row>
    <row r="20" spans="1:17" ht="30" customHeight="1" x14ac:dyDescent="0.3">
      <c r="A20" s="55"/>
      <c r="B20" s="56"/>
      <c r="C20" s="56"/>
      <c r="D20" s="57"/>
      <c r="E20" s="56"/>
      <c r="F20" s="56"/>
      <c r="G20" s="56"/>
      <c r="H20" s="58"/>
      <c r="I20" s="56"/>
      <c r="J20" s="58"/>
      <c r="K20" s="58"/>
      <c r="L20" s="58"/>
      <c r="M20" s="58"/>
      <c r="N20" s="15"/>
      <c r="O20" s="14"/>
      <c r="P20" s="15"/>
      <c r="Q20" s="17">
        <f>SUM(N18:N19)-SUM(O18:O19)</f>
        <v>-13130</v>
      </c>
    </row>
    <row r="21" spans="1:17" ht="30" customHeight="1" x14ac:dyDescent="0.3">
      <c r="A21" s="29">
        <v>55283</v>
      </c>
      <c r="B21" s="23" t="s">
        <v>2</v>
      </c>
      <c r="C21" s="24">
        <v>45001</v>
      </c>
      <c r="D21" s="25">
        <v>4</v>
      </c>
      <c r="E21" s="9">
        <f>(115.5*3500)*60%</f>
        <v>242550</v>
      </c>
      <c r="F21" s="9">
        <v>22800</v>
      </c>
      <c r="G21" s="9">
        <f>ROUND(E21-F21,)</f>
        <v>219750</v>
      </c>
      <c r="H21" s="9">
        <f>ROUND(G21*$H$6,0)</f>
        <v>39555</v>
      </c>
      <c r="I21" s="9">
        <f>G21+H21</f>
        <v>259305</v>
      </c>
      <c r="J21" s="9">
        <f>ROUND(G21*$J$6,)</f>
        <v>10988</v>
      </c>
      <c r="K21" s="9">
        <f>(G21*10%)</f>
        <v>21975</v>
      </c>
      <c r="L21" s="49">
        <f>H21</f>
        <v>39555</v>
      </c>
      <c r="M21" s="9"/>
      <c r="N21" s="10">
        <f>ROUND(I21-SUM(J21:L21),0)</f>
        <v>186787</v>
      </c>
      <c r="O21" s="8">
        <v>195577</v>
      </c>
      <c r="P21" s="52" t="s">
        <v>4</v>
      </c>
      <c r="Q21" s="8"/>
    </row>
    <row r="22" spans="1:17" ht="30" customHeight="1" x14ac:dyDescent="0.3">
      <c r="A22" s="29">
        <v>55283</v>
      </c>
      <c r="B22" s="23" t="s">
        <v>6</v>
      </c>
      <c r="C22" s="24"/>
      <c r="D22" s="25">
        <v>4</v>
      </c>
      <c r="E22" s="9">
        <v>39555</v>
      </c>
      <c r="F22" s="9"/>
      <c r="G22" s="9">
        <v>0</v>
      </c>
      <c r="H22" s="9">
        <f t="shared" ref="H22:H24" si="0">ROUND(G22*$H$6,0)</f>
        <v>0</v>
      </c>
      <c r="I22" s="9">
        <f t="shared" ref="I22:I24" si="1">G22+H22</f>
        <v>0</v>
      </c>
      <c r="J22" s="9">
        <f t="shared" ref="J22:J24" si="2">ROUND(G22*$J$6,)</f>
        <v>0</v>
      </c>
      <c r="K22" s="9">
        <f t="shared" ref="K22:K24" si="3">ROUND(G22*$K$6,)</f>
        <v>0</v>
      </c>
      <c r="L22" s="9">
        <f>H22</f>
        <v>0</v>
      </c>
      <c r="M22" s="9"/>
      <c r="N22" s="50">
        <f>E22</f>
        <v>39555</v>
      </c>
      <c r="O22" s="8">
        <v>39555</v>
      </c>
      <c r="P22" s="52" t="s">
        <v>5</v>
      </c>
      <c r="Q22" s="8"/>
    </row>
    <row r="23" spans="1:17" ht="30" customHeight="1" x14ac:dyDescent="0.3">
      <c r="A23" s="29">
        <v>55283</v>
      </c>
      <c r="B23" s="23" t="s">
        <v>2</v>
      </c>
      <c r="C23" s="24">
        <v>45126</v>
      </c>
      <c r="D23" s="25">
        <v>11</v>
      </c>
      <c r="E23" s="9">
        <v>80850</v>
      </c>
      <c r="F23" s="9">
        <v>0</v>
      </c>
      <c r="G23" s="9">
        <f>ROUND(E23-F23,)</f>
        <v>80850</v>
      </c>
      <c r="H23" s="9">
        <f t="shared" si="0"/>
        <v>14553</v>
      </c>
      <c r="I23" s="9">
        <f t="shared" si="1"/>
        <v>95403</v>
      </c>
      <c r="J23" s="9">
        <f t="shared" si="2"/>
        <v>4043</v>
      </c>
      <c r="K23" s="9">
        <f t="shared" si="3"/>
        <v>8085</v>
      </c>
      <c r="L23" s="49">
        <f t="shared" ref="L23:L24" si="4">ROUND(G23*$L$6,)</f>
        <v>14553</v>
      </c>
      <c r="M23" s="9">
        <v>0</v>
      </c>
      <c r="N23" s="10">
        <f>ROUND(I23-SUM(J23:M23),0)</f>
        <v>68722</v>
      </c>
      <c r="O23" s="8">
        <v>71956</v>
      </c>
      <c r="P23" s="52" t="s">
        <v>23</v>
      </c>
      <c r="Q23" s="8"/>
    </row>
    <row r="24" spans="1:17" ht="30" customHeight="1" x14ac:dyDescent="0.3">
      <c r="A24" s="29">
        <v>55283</v>
      </c>
      <c r="B24" s="23" t="s">
        <v>6</v>
      </c>
      <c r="C24" s="24">
        <v>45166</v>
      </c>
      <c r="D24" s="25">
        <v>11</v>
      </c>
      <c r="E24" s="9">
        <v>14553</v>
      </c>
      <c r="F24" s="9">
        <v>0</v>
      </c>
      <c r="G24" s="9">
        <v>0</v>
      </c>
      <c r="H24" s="9">
        <f t="shared" si="0"/>
        <v>0</v>
      </c>
      <c r="I24" s="9">
        <f t="shared" si="1"/>
        <v>0</v>
      </c>
      <c r="J24" s="9">
        <f t="shared" si="2"/>
        <v>0</v>
      </c>
      <c r="K24" s="9">
        <f t="shared" si="3"/>
        <v>0</v>
      </c>
      <c r="L24" s="9">
        <f t="shared" si="4"/>
        <v>0</v>
      </c>
      <c r="M24" s="9">
        <f t="shared" ref="M24" si="5">ROUND(G24*$M$6,)</f>
        <v>0</v>
      </c>
      <c r="N24" s="50">
        <f>E24</f>
        <v>14553</v>
      </c>
      <c r="O24" s="8">
        <v>14553</v>
      </c>
      <c r="P24" s="52" t="s">
        <v>29</v>
      </c>
      <c r="Q24" s="8"/>
    </row>
    <row r="25" spans="1:17" ht="30" customHeight="1" x14ac:dyDescent="0.3">
      <c r="A25" s="29">
        <v>55283</v>
      </c>
      <c r="B25" s="23" t="s">
        <v>2</v>
      </c>
      <c r="C25" s="24">
        <v>45721</v>
      </c>
      <c r="D25" s="25">
        <v>23</v>
      </c>
      <c r="E25" s="9">
        <v>80850</v>
      </c>
      <c r="F25" s="9">
        <v>0</v>
      </c>
      <c r="G25" s="9">
        <f>ROUND(E25-F25,)</f>
        <v>80850</v>
      </c>
      <c r="H25" s="9">
        <f t="shared" ref="H25:H26" si="6">ROUND(G25*$H$6,0)</f>
        <v>14553</v>
      </c>
      <c r="I25" s="9">
        <f t="shared" ref="I25:I26" si="7">G25+H25</f>
        <v>95403</v>
      </c>
      <c r="J25" s="9">
        <f>ROUND(G25*$J$6,)</f>
        <v>4043</v>
      </c>
      <c r="K25" s="9">
        <f>ROUND(G25*$K$6,)</f>
        <v>8085</v>
      </c>
      <c r="L25" s="49">
        <f t="shared" ref="L25:L26" si="8">ROUND(G25*$L$6,)</f>
        <v>14553</v>
      </c>
      <c r="M25" s="9">
        <v>0</v>
      </c>
      <c r="N25" s="10">
        <f>ROUND(I25-SUM(J25:M25),0)</f>
        <v>68722</v>
      </c>
      <c r="O25" s="8">
        <v>56595</v>
      </c>
      <c r="P25" s="52" t="s">
        <v>63</v>
      </c>
      <c r="Q25" s="8"/>
    </row>
    <row r="26" spans="1:17" ht="30" customHeight="1" x14ac:dyDescent="0.2">
      <c r="A26" s="29">
        <v>55283</v>
      </c>
      <c r="B26" s="23" t="s">
        <v>6</v>
      </c>
      <c r="C26" s="24"/>
      <c r="D26" s="25">
        <v>23</v>
      </c>
      <c r="E26" s="9">
        <v>14553</v>
      </c>
      <c r="F26" s="9">
        <v>0</v>
      </c>
      <c r="G26" s="9">
        <v>0</v>
      </c>
      <c r="H26" s="9">
        <f t="shared" si="6"/>
        <v>0</v>
      </c>
      <c r="I26" s="9">
        <f t="shared" si="7"/>
        <v>0</v>
      </c>
      <c r="J26" s="9">
        <f t="shared" ref="J26" si="9">ROUND(G26*$J$6,)</f>
        <v>0</v>
      </c>
      <c r="K26" s="9">
        <f t="shared" ref="K26" si="10">ROUND(G26*$K$6,)</f>
        <v>0</v>
      </c>
      <c r="L26" s="9">
        <f t="shared" si="8"/>
        <v>0</v>
      </c>
      <c r="M26" s="9">
        <f t="shared" ref="M26" si="11">ROUND(G26*$M$6,)</f>
        <v>0</v>
      </c>
      <c r="N26" s="50">
        <f>E26</f>
        <v>14553</v>
      </c>
      <c r="O26" s="8"/>
      <c r="P26" s="53"/>
      <c r="Q26" s="8"/>
    </row>
    <row r="27" spans="1:17" ht="30" customHeight="1" x14ac:dyDescent="0.3">
      <c r="A27" s="55"/>
      <c r="B27" s="56"/>
      <c r="C27" s="56"/>
      <c r="D27" s="57"/>
      <c r="E27" s="56"/>
      <c r="F27" s="56"/>
      <c r="G27" s="56"/>
      <c r="H27" s="58"/>
      <c r="I27" s="56"/>
      <c r="J27" s="58"/>
      <c r="K27" s="58"/>
      <c r="L27" s="58"/>
      <c r="M27" s="58"/>
      <c r="N27" s="15"/>
      <c r="O27" s="14"/>
      <c r="P27" s="15"/>
      <c r="Q27" s="17">
        <f>SUM(N21:N26)-SUM(O21:O26)</f>
        <v>14656</v>
      </c>
    </row>
    <row r="28" spans="1:17" ht="30" customHeight="1" x14ac:dyDescent="0.3">
      <c r="A28" s="29">
        <v>56469</v>
      </c>
      <c r="B28" s="23" t="s">
        <v>7</v>
      </c>
      <c r="C28" s="24">
        <v>45027</v>
      </c>
      <c r="D28" s="25">
        <v>5</v>
      </c>
      <c r="E28" s="9">
        <f>(370000)*60%</f>
        <v>222000</v>
      </c>
      <c r="F28" s="9">
        <v>35165</v>
      </c>
      <c r="G28" s="9">
        <f>E28-F28</f>
        <v>186835</v>
      </c>
      <c r="H28" s="9">
        <f>ROUND(G28*18%,0)</f>
        <v>33630</v>
      </c>
      <c r="I28" s="9">
        <f>G28+H28</f>
        <v>220465</v>
      </c>
      <c r="J28" s="9">
        <f>ROUND(G28*$J$6,0)</f>
        <v>9342</v>
      </c>
      <c r="K28" s="9">
        <f>ROUND(G28*$K$6,0)</f>
        <v>18684</v>
      </c>
      <c r="L28" s="49">
        <f>H28</f>
        <v>33630</v>
      </c>
      <c r="M28" s="9"/>
      <c r="N28" s="10">
        <f>ROUND(I28-SUM(J28:L28),)</f>
        <v>158809</v>
      </c>
      <c r="O28" s="8">
        <v>166283</v>
      </c>
      <c r="P28" s="52" t="s">
        <v>8</v>
      </c>
      <c r="Q28" s="8"/>
    </row>
    <row r="29" spans="1:17" ht="30" customHeight="1" x14ac:dyDescent="0.3">
      <c r="A29" s="29">
        <v>56469</v>
      </c>
      <c r="B29" s="23" t="s">
        <v>7</v>
      </c>
      <c r="C29" s="24">
        <v>45066</v>
      </c>
      <c r="D29" s="25">
        <v>7</v>
      </c>
      <c r="E29" s="9">
        <f>(370000)*40%+11000</f>
        <v>159000</v>
      </c>
      <c r="F29" s="9">
        <v>0</v>
      </c>
      <c r="G29" s="9">
        <f>E29-F29</f>
        <v>159000</v>
      </c>
      <c r="H29" s="9">
        <f>ROUND(G29*18%,0)</f>
        <v>28620</v>
      </c>
      <c r="I29" s="9">
        <f>G29+H29</f>
        <v>187620</v>
      </c>
      <c r="J29" s="9">
        <f>ROUND(G29*$J$6,0)</f>
        <v>7950</v>
      </c>
      <c r="K29" s="9">
        <f>ROUND(G29*$K$6,0)</f>
        <v>15900</v>
      </c>
      <c r="L29" s="49">
        <f>H29</f>
        <v>28620</v>
      </c>
      <c r="M29" s="9"/>
      <c r="N29" s="10">
        <f>ROUND(I29-SUM(J29:L29),)</f>
        <v>135150</v>
      </c>
      <c r="O29" s="8">
        <v>141510</v>
      </c>
      <c r="P29" s="52" t="s">
        <v>9</v>
      </c>
      <c r="Q29" s="8"/>
    </row>
    <row r="30" spans="1:17" ht="30" customHeight="1" x14ac:dyDescent="0.3">
      <c r="A30" s="29">
        <v>56469</v>
      </c>
      <c r="B30" s="23" t="s">
        <v>6</v>
      </c>
      <c r="C30" s="24"/>
      <c r="D30" s="25">
        <v>5</v>
      </c>
      <c r="E30" s="9">
        <v>33630</v>
      </c>
      <c r="F30" s="9">
        <v>0</v>
      </c>
      <c r="G30" s="9"/>
      <c r="H30" s="9"/>
      <c r="I30" s="9"/>
      <c r="J30" s="9"/>
      <c r="K30" s="9"/>
      <c r="L30" s="9"/>
      <c r="M30" s="9"/>
      <c r="N30" s="50">
        <f>E30</f>
        <v>33630</v>
      </c>
      <c r="O30" s="8">
        <v>33630</v>
      </c>
      <c r="P30" s="52" t="s">
        <v>10</v>
      </c>
      <c r="Q30" s="8"/>
    </row>
    <row r="31" spans="1:17" ht="30" customHeight="1" x14ac:dyDescent="0.3">
      <c r="A31" s="29">
        <v>56469</v>
      </c>
      <c r="B31" s="23" t="s">
        <v>6</v>
      </c>
      <c r="C31" s="24"/>
      <c r="D31" s="25">
        <v>7</v>
      </c>
      <c r="E31" s="9">
        <v>28620</v>
      </c>
      <c r="F31" s="9">
        <v>0</v>
      </c>
      <c r="G31" s="9"/>
      <c r="H31" s="9"/>
      <c r="I31" s="9"/>
      <c r="J31" s="9"/>
      <c r="K31" s="9"/>
      <c r="L31" s="9">
        <v>0</v>
      </c>
      <c r="M31" s="9"/>
      <c r="N31" s="50">
        <f>E31</f>
        <v>28620</v>
      </c>
      <c r="O31" s="8">
        <v>28620</v>
      </c>
      <c r="P31" s="52" t="s">
        <v>11</v>
      </c>
      <c r="Q31" s="8"/>
    </row>
    <row r="32" spans="1:17" ht="30" customHeight="1" x14ac:dyDescent="0.3">
      <c r="A32" s="55"/>
      <c r="B32" s="56"/>
      <c r="C32" s="56"/>
      <c r="D32" s="57"/>
      <c r="E32" s="56"/>
      <c r="F32" s="56"/>
      <c r="G32" s="56"/>
      <c r="H32" s="58"/>
      <c r="I32" s="56"/>
      <c r="J32" s="58"/>
      <c r="K32" s="58"/>
      <c r="L32" s="58"/>
      <c r="M32" s="58"/>
      <c r="N32" s="15"/>
      <c r="O32" s="14"/>
      <c r="P32" s="15"/>
      <c r="Q32" s="17">
        <f>SUM(N28:N31)-SUM(O28:O31)</f>
        <v>-13834</v>
      </c>
    </row>
    <row r="33" spans="1:17" ht="30" customHeight="1" x14ac:dyDescent="0.3">
      <c r="A33" s="29">
        <v>56470</v>
      </c>
      <c r="B33" s="23" t="s">
        <v>12</v>
      </c>
      <c r="C33" s="24">
        <v>45027</v>
      </c>
      <c r="D33" s="25">
        <v>6</v>
      </c>
      <c r="E33" s="9">
        <f>(370000)*60%</f>
        <v>222000</v>
      </c>
      <c r="F33" s="9">
        <v>35165</v>
      </c>
      <c r="G33" s="9">
        <f>E33-F33</f>
        <v>186835</v>
      </c>
      <c r="H33" s="9">
        <f>ROUND(G33*18%,0)</f>
        <v>33630</v>
      </c>
      <c r="I33" s="9">
        <f>G33+H33</f>
        <v>220465</v>
      </c>
      <c r="J33" s="9">
        <f>ROUND(G33*$J$6,0)</f>
        <v>9342</v>
      </c>
      <c r="K33" s="9">
        <f>ROUND(G33*$K$6,0)</f>
        <v>18684</v>
      </c>
      <c r="L33" s="49">
        <f>H33</f>
        <v>33630</v>
      </c>
      <c r="M33" s="9"/>
      <c r="N33" s="10">
        <f>ROUND(I33-SUM(J33:L33),)</f>
        <v>158809</v>
      </c>
      <c r="O33" s="8">
        <v>166283</v>
      </c>
      <c r="P33" s="52" t="s">
        <v>13</v>
      </c>
      <c r="Q33" s="8"/>
    </row>
    <row r="34" spans="1:17" ht="30" customHeight="1" x14ac:dyDescent="0.3">
      <c r="A34" s="29">
        <v>56470</v>
      </c>
      <c r="B34" s="23" t="s">
        <v>6</v>
      </c>
      <c r="C34" s="24"/>
      <c r="D34" s="25">
        <v>6</v>
      </c>
      <c r="E34" s="9">
        <v>33630</v>
      </c>
      <c r="F34" s="9"/>
      <c r="G34" s="9"/>
      <c r="H34" s="9"/>
      <c r="I34" s="9"/>
      <c r="J34" s="9"/>
      <c r="K34" s="9"/>
      <c r="L34" s="9"/>
      <c r="M34" s="9"/>
      <c r="N34" s="50">
        <f>E34</f>
        <v>33630</v>
      </c>
      <c r="O34" s="8">
        <v>33630</v>
      </c>
      <c r="P34" s="52" t="s">
        <v>14</v>
      </c>
      <c r="Q34" s="8"/>
    </row>
    <row r="35" spans="1:17" ht="30" customHeight="1" x14ac:dyDescent="0.3">
      <c r="A35" s="29">
        <v>56470</v>
      </c>
      <c r="B35" s="23" t="s">
        <v>12</v>
      </c>
      <c r="C35" s="24">
        <v>45085</v>
      </c>
      <c r="D35" s="25">
        <v>9</v>
      </c>
      <c r="E35" s="9">
        <f>(370000)*40%+11000</f>
        <v>159000</v>
      </c>
      <c r="F35" s="9">
        <v>0</v>
      </c>
      <c r="G35" s="9">
        <f>E35-F35</f>
        <v>159000</v>
      </c>
      <c r="H35" s="9">
        <f>ROUND(G35*18%,0)</f>
        <v>28620</v>
      </c>
      <c r="I35" s="9">
        <f>G35+H35</f>
        <v>187620</v>
      </c>
      <c r="J35" s="9">
        <f>ROUND(G35*$J$6,0)</f>
        <v>7950</v>
      </c>
      <c r="K35" s="9">
        <f>ROUND(G35*$K$6,0)</f>
        <v>15900</v>
      </c>
      <c r="L35" s="49">
        <f>H35</f>
        <v>28620</v>
      </c>
      <c r="M35" s="9"/>
      <c r="N35" s="10">
        <f>ROUND(I35-SUM(J35:L35),)</f>
        <v>135150</v>
      </c>
      <c r="O35" s="8">
        <v>141510</v>
      </c>
      <c r="P35" s="52" t="s">
        <v>15</v>
      </c>
      <c r="Q35" s="8"/>
    </row>
    <row r="36" spans="1:17" ht="30" customHeight="1" x14ac:dyDescent="0.3">
      <c r="A36" s="29">
        <v>56470</v>
      </c>
      <c r="B36" s="23" t="s">
        <v>6</v>
      </c>
      <c r="C36" s="24">
        <v>45125</v>
      </c>
      <c r="D36" s="25">
        <v>9</v>
      </c>
      <c r="E36" s="9">
        <v>28620</v>
      </c>
      <c r="F36" s="9"/>
      <c r="G36" s="9"/>
      <c r="H36" s="9"/>
      <c r="I36" s="9"/>
      <c r="J36" s="9"/>
      <c r="K36" s="9"/>
      <c r="L36" s="9"/>
      <c r="M36" s="9"/>
      <c r="N36" s="50">
        <f>E36</f>
        <v>28620</v>
      </c>
      <c r="O36" s="8">
        <v>28620</v>
      </c>
      <c r="P36" s="52" t="s">
        <v>35</v>
      </c>
      <c r="Q36" s="8"/>
    </row>
    <row r="37" spans="1:17" ht="30" customHeight="1" x14ac:dyDescent="0.3">
      <c r="A37" s="55"/>
      <c r="B37" s="56"/>
      <c r="C37" s="56"/>
      <c r="D37" s="57"/>
      <c r="E37" s="56"/>
      <c r="F37" s="56"/>
      <c r="G37" s="56"/>
      <c r="H37" s="58"/>
      <c r="I37" s="56"/>
      <c r="J37" s="58"/>
      <c r="K37" s="58"/>
      <c r="L37" s="58"/>
      <c r="M37" s="58"/>
      <c r="N37" s="15"/>
      <c r="O37" s="14"/>
      <c r="P37" s="15"/>
      <c r="Q37" s="17">
        <f>SUM(N33:N36)-SUM(O33:O36)</f>
        <v>-13834</v>
      </c>
    </row>
    <row r="38" spans="1:17" ht="30" customHeight="1" x14ac:dyDescent="0.3">
      <c r="A38" s="29">
        <v>57523</v>
      </c>
      <c r="B38" s="23" t="s">
        <v>16</v>
      </c>
      <c r="C38" s="24">
        <v>45066</v>
      </c>
      <c r="D38" s="41">
        <v>8</v>
      </c>
      <c r="E38" s="9">
        <f>350000*60%</f>
        <v>210000</v>
      </c>
      <c r="F38" s="9">
        <v>38125</v>
      </c>
      <c r="G38" s="9">
        <f>ROUND(E38-F38,0)</f>
        <v>171875</v>
      </c>
      <c r="H38" s="9">
        <f>G38*18%</f>
        <v>30937.5</v>
      </c>
      <c r="I38" s="9">
        <f>G38+H38</f>
        <v>202812.5</v>
      </c>
      <c r="J38" s="9">
        <f>G38*$J$6</f>
        <v>8593.75</v>
      </c>
      <c r="K38" s="9">
        <f>G38*$K$6</f>
        <v>17187.5</v>
      </c>
      <c r="L38" s="49">
        <f>H38</f>
        <v>30937.5</v>
      </c>
      <c r="M38" s="21"/>
      <c r="N38" s="10">
        <f>ROUND(I38-SUM(J38:L38),0)</f>
        <v>146094</v>
      </c>
      <c r="O38" s="8">
        <v>152968</v>
      </c>
      <c r="P38" s="52" t="s">
        <v>17</v>
      </c>
      <c r="Q38" s="8"/>
    </row>
    <row r="39" spans="1:17" ht="30" customHeight="1" x14ac:dyDescent="0.3">
      <c r="A39" s="29">
        <v>57523</v>
      </c>
      <c r="B39" s="23" t="s">
        <v>6</v>
      </c>
      <c r="C39" s="24"/>
      <c r="D39" s="41">
        <v>8</v>
      </c>
      <c r="E39" s="9">
        <v>30938</v>
      </c>
      <c r="F39" s="9"/>
      <c r="G39" s="9"/>
      <c r="H39" s="9"/>
      <c r="I39" s="9"/>
      <c r="J39" s="9"/>
      <c r="K39" s="9"/>
      <c r="L39" s="9"/>
      <c r="M39" s="21"/>
      <c r="N39" s="50">
        <f>E39</f>
        <v>30938</v>
      </c>
      <c r="O39" s="8">
        <v>30937</v>
      </c>
      <c r="P39" s="52" t="s">
        <v>18</v>
      </c>
      <c r="Q39" s="8"/>
    </row>
    <row r="40" spans="1:17" ht="30" customHeight="1" x14ac:dyDescent="0.3">
      <c r="A40" s="29">
        <v>57523</v>
      </c>
      <c r="B40" s="23" t="s">
        <v>16</v>
      </c>
      <c r="C40" s="24">
        <v>45126</v>
      </c>
      <c r="D40" s="25">
        <v>10</v>
      </c>
      <c r="E40" s="9">
        <v>151000</v>
      </c>
      <c r="F40" s="9"/>
      <c r="G40" s="9">
        <f>E40-F40</f>
        <v>151000</v>
      </c>
      <c r="H40" s="9">
        <f>G40*18%</f>
        <v>27180</v>
      </c>
      <c r="I40" s="9">
        <f>G40+H40</f>
        <v>178180</v>
      </c>
      <c r="J40" s="9">
        <f>G40*$J$6</f>
        <v>7550</v>
      </c>
      <c r="K40" s="9">
        <f>G40*$K$6</f>
        <v>15100</v>
      </c>
      <c r="L40" s="49">
        <f>H40</f>
        <v>27180</v>
      </c>
      <c r="M40" s="21"/>
      <c r="N40" s="10">
        <f>I40-SUM(J40:L40)</f>
        <v>128350</v>
      </c>
      <c r="O40" s="8">
        <v>134390</v>
      </c>
      <c r="P40" s="52" t="s">
        <v>24</v>
      </c>
      <c r="Q40" s="8"/>
    </row>
    <row r="41" spans="1:17" ht="30" customHeight="1" x14ac:dyDescent="0.3">
      <c r="A41" s="29">
        <v>57523</v>
      </c>
      <c r="B41" s="23" t="s">
        <v>6</v>
      </c>
      <c r="C41" s="24">
        <v>45166</v>
      </c>
      <c r="D41" s="41">
        <v>10</v>
      </c>
      <c r="E41" s="9">
        <v>27180</v>
      </c>
      <c r="F41" s="9"/>
      <c r="G41" s="9"/>
      <c r="H41" s="9"/>
      <c r="I41" s="9"/>
      <c r="J41" s="9"/>
      <c r="K41" s="9"/>
      <c r="L41" s="9"/>
      <c r="M41" s="21"/>
      <c r="N41" s="50">
        <f>E41</f>
        <v>27180</v>
      </c>
      <c r="O41" s="8">
        <v>27180</v>
      </c>
      <c r="P41" s="52" t="s">
        <v>30</v>
      </c>
      <c r="Q41" s="8"/>
    </row>
    <row r="42" spans="1:17" ht="30" customHeight="1" x14ac:dyDescent="0.3">
      <c r="A42" s="55"/>
      <c r="B42" s="56"/>
      <c r="C42" s="56"/>
      <c r="D42" s="57"/>
      <c r="E42" s="56"/>
      <c r="F42" s="56"/>
      <c r="G42" s="56"/>
      <c r="H42" s="58"/>
      <c r="I42" s="56"/>
      <c r="J42" s="58"/>
      <c r="K42" s="58"/>
      <c r="L42" s="58"/>
      <c r="M42" s="58"/>
      <c r="N42" s="15"/>
      <c r="O42" s="14"/>
      <c r="P42" s="15"/>
      <c r="Q42" s="17">
        <f>SUM(N38:N41)-SUM(O38:O41)</f>
        <v>-12913</v>
      </c>
    </row>
    <row r="43" spans="1:17" ht="30" customHeight="1" x14ac:dyDescent="0.3">
      <c r="A43" s="29">
        <v>58635</v>
      </c>
      <c r="B43" s="23" t="s">
        <v>21</v>
      </c>
      <c r="C43" s="24">
        <v>45134</v>
      </c>
      <c r="D43" s="41">
        <v>12</v>
      </c>
      <c r="E43" s="9">
        <v>253680</v>
      </c>
      <c r="F43" s="9">
        <v>0</v>
      </c>
      <c r="G43" s="9">
        <f>ROUND(E43-F43,0)</f>
        <v>253680</v>
      </c>
      <c r="H43" s="9">
        <f>ROUND(G43*18%,0)</f>
        <v>45662</v>
      </c>
      <c r="I43" s="9">
        <f>G43+H43</f>
        <v>299342</v>
      </c>
      <c r="J43" s="9">
        <f>G43*5%</f>
        <v>12684</v>
      </c>
      <c r="K43" s="9">
        <f>G43*$K$6</f>
        <v>25368</v>
      </c>
      <c r="L43" s="49">
        <f>H43</f>
        <v>45662</v>
      </c>
      <c r="M43" s="9">
        <v>2800</v>
      </c>
      <c r="N43" s="10">
        <f>ROUND(I43-SUM(J43:M43),0)</f>
        <v>212828</v>
      </c>
      <c r="O43" s="8">
        <v>222975</v>
      </c>
      <c r="P43" s="52" t="s">
        <v>25</v>
      </c>
      <c r="Q43" s="8"/>
    </row>
    <row r="44" spans="1:17" ht="30" customHeight="1" x14ac:dyDescent="0.3">
      <c r="A44" s="29">
        <v>58635</v>
      </c>
      <c r="B44" s="23" t="s">
        <v>26</v>
      </c>
      <c r="C44" s="24">
        <v>45166</v>
      </c>
      <c r="D44" s="25">
        <v>12</v>
      </c>
      <c r="E44" s="9">
        <v>45662</v>
      </c>
      <c r="F44" s="9"/>
      <c r="G44" s="9"/>
      <c r="H44" s="9"/>
      <c r="I44" s="9"/>
      <c r="J44" s="9"/>
      <c r="K44" s="9"/>
      <c r="L44" s="9"/>
      <c r="M44" s="9"/>
      <c r="N44" s="50">
        <f>E44</f>
        <v>45662</v>
      </c>
      <c r="O44" s="8">
        <v>45662</v>
      </c>
      <c r="P44" s="52" t="s">
        <v>31</v>
      </c>
      <c r="Q44" s="8"/>
    </row>
    <row r="45" spans="1:17" ht="30" customHeight="1" x14ac:dyDescent="0.3">
      <c r="A45" s="55"/>
      <c r="B45" s="56"/>
      <c r="C45" s="56"/>
      <c r="D45" s="57"/>
      <c r="E45" s="56"/>
      <c r="F45" s="56"/>
      <c r="G45" s="56"/>
      <c r="H45" s="58"/>
      <c r="I45" s="56"/>
      <c r="J45" s="58"/>
      <c r="K45" s="58"/>
      <c r="L45" s="58"/>
      <c r="M45" s="58"/>
      <c r="N45" s="15"/>
      <c r="O45" s="14"/>
      <c r="P45" s="15"/>
      <c r="Q45" s="17">
        <f>SUM(N42:N44)-SUM(O43:O44)</f>
        <v>-10147</v>
      </c>
    </row>
    <row r="46" spans="1:17" ht="30" customHeight="1" x14ac:dyDescent="0.3">
      <c r="A46" s="29">
        <v>59134</v>
      </c>
      <c r="B46" s="23" t="s">
        <v>27</v>
      </c>
      <c r="C46" s="24">
        <v>45171</v>
      </c>
      <c r="D46" s="41">
        <v>13</v>
      </c>
      <c r="E46" s="9">
        <v>222000</v>
      </c>
      <c r="F46" s="9">
        <v>0</v>
      </c>
      <c r="G46" s="9">
        <f>ROUND(E46-F46,0)</f>
        <v>222000</v>
      </c>
      <c r="H46" s="9">
        <f>ROUND(G46*18%,0)</f>
        <v>39960</v>
      </c>
      <c r="I46" s="9">
        <f>G46+H46</f>
        <v>261960</v>
      </c>
      <c r="J46" s="9">
        <f>G46*5%</f>
        <v>11100</v>
      </c>
      <c r="K46" s="9">
        <f>G46*$K$6</f>
        <v>22200</v>
      </c>
      <c r="L46" s="49">
        <f>H46</f>
        <v>39960</v>
      </c>
      <c r="M46" s="9">
        <v>0</v>
      </c>
      <c r="N46" s="10">
        <f>ROUND(I46-SUM(J46:M46),0)</f>
        <v>188700</v>
      </c>
      <c r="O46" s="8">
        <v>197580</v>
      </c>
      <c r="P46" s="52" t="s">
        <v>33</v>
      </c>
      <c r="Q46" s="8"/>
    </row>
    <row r="47" spans="1:17" ht="30" customHeight="1" x14ac:dyDescent="0.3">
      <c r="A47" s="29">
        <v>59134</v>
      </c>
      <c r="B47" s="23" t="s">
        <v>32</v>
      </c>
      <c r="C47" s="24">
        <v>45219</v>
      </c>
      <c r="D47" s="25">
        <v>13</v>
      </c>
      <c r="E47" s="9">
        <v>39960</v>
      </c>
      <c r="F47" s="9"/>
      <c r="G47" s="9"/>
      <c r="H47" s="9"/>
      <c r="I47" s="9"/>
      <c r="J47" s="9"/>
      <c r="K47" s="9"/>
      <c r="L47" s="9"/>
      <c r="M47" s="9"/>
      <c r="N47" s="50">
        <f>E47</f>
        <v>39960</v>
      </c>
      <c r="O47" s="8">
        <v>39960</v>
      </c>
      <c r="P47" s="52" t="s">
        <v>38</v>
      </c>
      <c r="Q47" s="8"/>
    </row>
    <row r="48" spans="1:17" ht="30" customHeight="1" x14ac:dyDescent="0.3">
      <c r="A48" s="29">
        <v>59134</v>
      </c>
      <c r="B48" s="23"/>
      <c r="C48" s="24">
        <v>45315</v>
      </c>
      <c r="D48" s="25">
        <v>20</v>
      </c>
      <c r="E48" s="9">
        <v>120900</v>
      </c>
      <c r="F48" s="9"/>
      <c r="G48" s="9">
        <f>ROUND(E48-F48,0)</f>
        <v>120900</v>
      </c>
      <c r="H48" s="9">
        <f>ROUND(G48*18%,0)</f>
        <v>21762</v>
      </c>
      <c r="I48" s="9">
        <f>G48+H48</f>
        <v>142662</v>
      </c>
      <c r="J48" s="9">
        <f>G48*5%</f>
        <v>6045</v>
      </c>
      <c r="K48" s="9">
        <f>G48*$K$6</f>
        <v>12090</v>
      </c>
      <c r="L48" s="49">
        <f>H48</f>
        <v>21762</v>
      </c>
      <c r="M48" s="9">
        <v>0</v>
      </c>
      <c r="N48" s="10">
        <f>ROUND(I48-SUM(J48:M48),0)</f>
        <v>102765</v>
      </c>
      <c r="O48" s="8">
        <v>60585</v>
      </c>
      <c r="P48" s="52" t="s">
        <v>52</v>
      </c>
      <c r="Q48" s="8"/>
    </row>
    <row r="49" spans="1:17" ht="30" customHeight="1" x14ac:dyDescent="0.3">
      <c r="A49" s="29">
        <v>59134</v>
      </c>
      <c r="B49" s="23" t="s">
        <v>6</v>
      </c>
      <c r="C49" s="24"/>
      <c r="D49" s="25">
        <v>20</v>
      </c>
      <c r="E49" s="9">
        <f>L48</f>
        <v>21762</v>
      </c>
      <c r="F49" s="9"/>
      <c r="G49" s="9"/>
      <c r="H49" s="9"/>
      <c r="I49" s="9"/>
      <c r="J49" s="9"/>
      <c r="K49" s="9"/>
      <c r="L49" s="9"/>
      <c r="M49" s="9"/>
      <c r="N49" s="51">
        <f>E49</f>
        <v>21762</v>
      </c>
      <c r="O49" s="8">
        <v>21762</v>
      </c>
      <c r="P49" s="52" t="s">
        <v>51</v>
      </c>
      <c r="Q49" s="8"/>
    </row>
    <row r="50" spans="1:17" ht="30" customHeight="1" x14ac:dyDescent="0.3">
      <c r="A50" s="29">
        <v>59134</v>
      </c>
      <c r="B50" s="23"/>
      <c r="C50" s="24"/>
      <c r="D50" s="25"/>
      <c r="E50" s="9"/>
      <c r="F50" s="9"/>
      <c r="G50" s="9"/>
      <c r="H50" s="9"/>
      <c r="I50" s="9"/>
      <c r="J50" s="9"/>
      <c r="K50" s="9"/>
      <c r="L50" s="9"/>
      <c r="M50" s="9"/>
      <c r="N50" s="18"/>
      <c r="O50" s="8"/>
      <c r="P50" s="52"/>
      <c r="Q50" s="48" t="s">
        <v>59</v>
      </c>
    </row>
    <row r="51" spans="1:17" ht="30" customHeight="1" x14ac:dyDescent="0.3">
      <c r="A51" s="55"/>
      <c r="B51" s="56"/>
      <c r="C51" s="56"/>
      <c r="D51" s="57"/>
      <c r="E51" s="56"/>
      <c r="F51" s="56"/>
      <c r="G51" s="56"/>
      <c r="H51" s="58"/>
      <c r="I51" s="56"/>
      <c r="J51" s="58"/>
      <c r="K51" s="58"/>
      <c r="L51" s="58"/>
      <c r="M51" s="58"/>
      <c r="N51" s="15"/>
      <c r="O51" s="14"/>
      <c r="P51" s="15"/>
      <c r="Q51" s="17">
        <f>SUM(N46:N50)-SUM(O46:O50)</f>
        <v>33300</v>
      </c>
    </row>
    <row r="52" spans="1:17" ht="30" customHeight="1" x14ac:dyDescent="0.3">
      <c r="A52" s="29">
        <v>59403</v>
      </c>
      <c r="B52" s="23" t="s">
        <v>81</v>
      </c>
      <c r="C52" s="24">
        <v>45191</v>
      </c>
      <c r="D52" s="41">
        <v>14</v>
      </c>
      <c r="E52" s="9">
        <f>3500*120.8*60%</f>
        <v>253680</v>
      </c>
      <c r="F52" s="9">
        <v>15200</v>
      </c>
      <c r="G52" s="9">
        <f>ROUND(E52-F52,0)</f>
        <v>238480</v>
      </c>
      <c r="H52" s="9">
        <f>ROUND(G52*18%,0)</f>
        <v>42926</v>
      </c>
      <c r="I52" s="9">
        <f>G52+H52</f>
        <v>281406</v>
      </c>
      <c r="J52" s="9">
        <f>G52*5%</f>
        <v>11924</v>
      </c>
      <c r="K52" s="9">
        <f>G52*$K$6</f>
        <v>23848</v>
      </c>
      <c r="L52" s="49">
        <f>H52</f>
        <v>42926</v>
      </c>
      <c r="M52" s="9">
        <v>2800</v>
      </c>
      <c r="N52" s="10">
        <f>ROUND(I52-SUM(J52:M52),0)</f>
        <v>199908</v>
      </c>
      <c r="O52" s="8">
        <v>199908</v>
      </c>
      <c r="P52" s="52" t="s">
        <v>34</v>
      </c>
      <c r="Q52" s="8"/>
    </row>
    <row r="53" spans="1:17" ht="30" customHeight="1" x14ac:dyDescent="0.3">
      <c r="A53" s="29">
        <v>59403</v>
      </c>
      <c r="B53" s="23" t="s">
        <v>26</v>
      </c>
      <c r="C53" s="24">
        <v>45219</v>
      </c>
      <c r="D53" s="25">
        <v>14</v>
      </c>
      <c r="E53" s="9">
        <v>42926</v>
      </c>
      <c r="F53" s="9"/>
      <c r="G53" s="9"/>
      <c r="H53" s="9"/>
      <c r="I53" s="9"/>
      <c r="J53" s="9"/>
      <c r="K53" s="9"/>
      <c r="L53" s="9"/>
      <c r="M53" s="9"/>
      <c r="N53" s="50">
        <f>E53</f>
        <v>42926</v>
      </c>
      <c r="O53" s="8">
        <v>42926</v>
      </c>
      <c r="P53" s="52" t="s">
        <v>39</v>
      </c>
      <c r="Q53" s="8"/>
    </row>
    <row r="54" spans="1:17" ht="30" customHeight="1" x14ac:dyDescent="0.2">
      <c r="A54" s="29">
        <v>59403</v>
      </c>
      <c r="B54" s="23" t="s">
        <v>81</v>
      </c>
      <c r="C54" s="24">
        <v>45724</v>
      </c>
      <c r="D54" s="41">
        <v>24</v>
      </c>
      <c r="E54" s="9">
        <v>135012.5</v>
      </c>
      <c r="F54" s="9">
        <v>34500</v>
      </c>
      <c r="G54" s="9">
        <f>ROUND(E54-F54,0)</f>
        <v>100513</v>
      </c>
      <c r="H54" s="9">
        <f>ROUND(G54*18%,0)</f>
        <v>18092</v>
      </c>
      <c r="I54" s="9">
        <f>G54+H54</f>
        <v>118605</v>
      </c>
      <c r="J54" s="9">
        <f>G54*5%</f>
        <v>5025.6500000000005</v>
      </c>
      <c r="K54" s="9">
        <f>G54*5%</f>
        <v>5025.6500000000005</v>
      </c>
      <c r="L54" s="49">
        <f>H54</f>
        <v>18092</v>
      </c>
      <c r="M54" s="9"/>
      <c r="N54" s="10">
        <f>ROUND(I54-SUM(J54:M54),0)</f>
        <v>90462</v>
      </c>
      <c r="O54" s="8">
        <v>30000</v>
      </c>
      <c r="P54" s="59" t="s">
        <v>65</v>
      </c>
      <c r="Q54" s="8"/>
    </row>
    <row r="55" spans="1:17" ht="30" customHeight="1" x14ac:dyDescent="0.3">
      <c r="A55" s="29">
        <v>59403</v>
      </c>
      <c r="B55" s="23" t="s">
        <v>26</v>
      </c>
      <c r="C55" s="24"/>
      <c r="D55" s="25">
        <v>24</v>
      </c>
      <c r="E55" s="9">
        <f>L54</f>
        <v>18092</v>
      </c>
      <c r="F55" s="9"/>
      <c r="G55" s="9"/>
      <c r="H55" s="9"/>
      <c r="I55" s="9"/>
      <c r="J55" s="9"/>
      <c r="K55" s="9"/>
      <c r="L55" s="9"/>
      <c r="M55" s="9"/>
      <c r="N55" s="50">
        <f>E55</f>
        <v>18092</v>
      </c>
      <c r="O55" s="8"/>
      <c r="P55" s="52"/>
      <c r="Q55" s="8"/>
    </row>
    <row r="56" spans="1:17" ht="30" customHeight="1" x14ac:dyDescent="0.3">
      <c r="A56" s="29">
        <v>59403</v>
      </c>
      <c r="B56" s="23"/>
      <c r="C56" s="24"/>
      <c r="D56" s="41"/>
      <c r="E56" s="9"/>
      <c r="F56" s="9"/>
      <c r="G56" s="9"/>
      <c r="H56" s="9"/>
      <c r="I56" s="9"/>
      <c r="J56" s="9"/>
      <c r="K56" s="9"/>
      <c r="L56" s="9"/>
      <c r="M56" s="9"/>
      <c r="N56" s="10"/>
      <c r="O56" s="8"/>
      <c r="P56" s="52"/>
      <c r="Q56" s="48" t="s">
        <v>59</v>
      </c>
    </row>
    <row r="57" spans="1:17" ht="30" customHeight="1" x14ac:dyDescent="0.3">
      <c r="A57" s="55"/>
      <c r="B57" s="56"/>
      <c r="C57" s="56"/>
      <c r="D57" s="57"/>
      <c r="E57" s="56"/>
      <c r="F57" s="56"/>
      <c r="G57" s="56"/>
      <c r="H57" s="58"/>
      <c r="I57" s="56"/>
      <c r="J57" s="58"/>
      <c r="K57" s="58"/>
      <c r="L57" s="58"/>
      <c r="M57" s="58"/>
      <c r="N57" s="15"/>
      <c r="O57" s="14"/>
      <c r="P57" s="15"/>
      <c r="Q57" s="17">
        <f>SUM(N52:N56)-SUM(O52:O56)</f>
        <v>78554</v>
      </c>
    </row>
    <row r="58" spans="1:17" ht="30" customHeight="1" x14ac:dyDescent="0.3">
      <c r="A58" s="29">
        <v>59741</v>
      </c>
      <c r="B58" s="23" t="s">
        <v>28</v>
      </c>
      <c r="C58" s="24">
        <v>45211</v>
      </c>
      <c r="D58" s="41">
        <v>15</v>
      </c>
      <c r="E58" s="9">
        <f>350000*60%</f>
        <v>210000</v>
      </c>
      <c r="F58" s="9">
        <v>0</v>
      </c>
      <c r="G58" s="9">
        <f>ROUND(E58-F58,0)</f>
        <v>210000</v>
      </c>
      <c r="H58" s="9">
        <f>ROUND(G58*18%,0)</f>
        <v>37800</v>
      </c>
      <c r="I58" s="9">
        <f>G58+H58</f>
        <v>247800</v>
      </c>
      <c r="J58" s="9">
        <f>G58*5%</f>
        <v>10500</v>
      </c>
      <c r="K58" s="9">
        <f>G58*5%</f>
        <v>10500</v>
      </c>
      <c r="L58" s="49">
        <f>H58</f>
        <v>37800</v>
      </c>
      <c r="M58" s="9">
        <v>0</v>
      </c>
      <c r="N58" s="10">
        <f>ROUND(I58-SUM(J58:M58),0)</f>
        <v>189000</v>
      </c>
      <c r="O58" s="8">
        <v>189000</v>
      </c>
      <c r="P58" s="52" t="s">
        <v>36</v>
      </c>
      <c r="Q58" s="8"/>
    </row>
    <row r="59" spans="1:17" ht="30" customHeight="1" x14ac:dyDescent="0.3">
      <c r="A59" s="29">
        <v>59741</v>
      </c>
      <c r="B59" s="23" t="s">
        <v>28</v>
      </c>
      <c r="C59" s="24">
        <v>45267</v>
      </c>
      <c r="D59" s="41">
        <v>18</v>
      </c>
      <c r="E59" s="9">
        <v>114900</v>
      </c>
      <c r="F59" s="9">
        <v>0</v>
      </c>
      <c r="G59" s="9">
        <f>ROUND(E59-F59,0)</f>
        <v>114900</v>
      </c>
      <c r="H59" s="9">
        <f>ROUND(G59*18%,0)</f>
        <v>20682</v>
      </c>
      <c r="I59" s="9">
        <f>G59+H59</f>
        <v>135582</v>
      </c>
      <c r="J59" s="9">
        <f>G59*5%</f>
        <v>5745</v>
      </c>
      <c r="K59" s="9">
        <f>G59*5%</f>
        <v>5745</v>
      </c>
      <c r="L59" s="49">
        <f>H59</f>
        <v>20682</v>
      </c>
      <c r="M59" s="9">
        <v>0</v>
      </c>
      <c r="N59" s="10">
        <f>ROUND(I59-SUM(J59:M59),0)</f>
        <v>103410</v>
      </c>
      <c r="O59" s="8">
        <v>37800</v>
      </c>
      <c r="P59" s="52" t="s">
        <v>43</v>
      </c>
      <c r="Q59" s="8"/>
    </row>
    <row r="60" spans="1:17" ht="30" customHeight="1" x14ac:dyDescent="0.3">
      <c r="A60" s="29">
        <v>59741</v>
      </c>
      <c r="B60" s="23" t="s">
        <v>26</v>
      </c>
      <c r="C60" s="24">
        <v>45219</v>
      </c>
      <c r="D60" s="25">
        <v>15</v>
      </c>
      <c r="E60" s="9">
        <f>H58</f>
        <v>37800</v>
      </c>
      <c r="F60" s="9"/>
      <c r="G60" s="9"/>
      <c r="H60" s="9"/>
      <c r="I60" s="9"/>
      <c r="J60" s="9"/>
      <c r="K60" s="9"/>
      <c r="L60" s="9"/>
      <c r="M60" s="9"/>
      <c r="N60" s="50">
        <f>E60</f>
        <v>37800</v>
      </c>
      <c r="O60" s="8">
        <v>103410</v>
      </c>
      <c r="P60" s="52" t="s">
        <v>42</v>
      </c>
      <c r="Q60" s="8"/>
    </row>
    <row r="61" spans="1:17" ht="30" customHeight="1" x14ac:dyDescent="0.3">
      <c r="A61" s="29">
        <v>59741</v>
      </c>
      <c r="B61" s="23"/>
      <c r="C61" s="24"/>
      <c r="D61" s="25">
        <v>18</v>
      </c>
      <c r="E61" s="9">
        <f>L59</f>
        <v>20682</v>
      </c>
      <c r="F61" s="9"/>
      <c r="G61" s="9"/>
      <c r="H61" s="9"/>
      <c r="I61" s="9"/>
      <c r="J61" s="9"/>
      <c r="K61" s="9"/>
      <c r="L61" s="9"/>
      <c r="M61" s="9"/>
      <c r="N61" s="50">
        <f>E61</f>
        <v>20682</v>
      </c>
      <c r="O61" s="8">
        <v>20682</v>
      </c>
      <c r="P61" s="52" t="s">
        <v>42</v>
      </c>
      <c r="Q61" s="8"/>
    </row>
    <row r="62" spans="1:17" ht="30" customHeight="1" x14ac:dyDescent="0.3">
      <c r="A62" s="29">
        <v>59741</v>
      </c>
      <c r="B62" s="23"/>
      <c r="C62" s="24"/>
      <c r="D62" s="25"/>
      <c r="E62" s="9"/>
      <c r="F62" s="9"/>
      <c r="G62" s="9"/>
      <c r="H62" s="9"/>
      <c r="I62" s="9"/>
      <c r="J62" s="9"/>
      <c r="K62" s="9"/>
      <c r="L62" s="9"/>
      <c r="M62" s="9"/>
      <c r="N62" s="10"/>
      <c r="O62" s="8"/>
      <c r="P62" s="52"/>
      <c r="Q62" s="8"/>
    </row>
    <row r="63" spans="1:17" ht="30" customHeight="1" x14ac:dyDescent="0.3">
      <c r="A63" s="29">
        <v>59741</v>
      </c>
      <c r="B63" s="23"/>
      <c r="C63" s="24"/>
      <c r="D63" s="25"/>
      <c r="E63" s="9"/>
      <c r="F63" s="9"/>
      <c r="G63" s="9"/>
      <c r="H63" s="9"/>
      <c r="I63" s="9"/>
      <c r="J63" s="9"/>
      <c r="K63" s="9"/>
      <c r="L63" s="9"/>
      <c r="M63" s="9"/>
      <c r="N63" s="10"/>
      <c r="O63" s="8"/>
      <c r="P63" s="52"/>
      <c r="Q63" s="48" t="s">
        <v>59</v>
      </c>
    </row>
    <row r="64" spans="1:17" ht="30" customHeight="1" x14ac:dyDescent="0.3">
      <c r="A64" s="55"/>
      <c r="B64" s="56"/>
      <c r="C64" s="56"/>
      <c r="D64" s="57"/>
      <c r="E64" s="56"/>
      <c r="F64" s="56"/>
      <c r="G64" s="56"/>
      <c r="H64" s="58"/>
      <c r="I64" s="56"/>
      <c r="J64" s="58"/>
      <c r="K64" s="58"/>
      <c r="L64" s="58"/>
      <c r="M64" s="58"/>
      <c r="N64" s="15"/>
      <c r="O64" s="14"/>
      <c r="P64" s="15"/>
      <c r="Q64" s="17">
        <f>SUM(N58:N63)-SUM(O58:O63)</f>
        <v>0</v>
      </c>
    </row>
    <row r="65" spans="1:17" ht="30" customHeight="1" x14ac:dyDescent="0.3">
      <c r="A65" s="29">
        <v>59963</v>
      </c>
      <c r="B65" s="23" t="s">
        <v>37</v>
      </c>
      <c r="C65" s="24">
        <v>45226</v>
      </c>
      <c r="D65" s="41">
        <v>16</v>
      </c>
      <c r="E65" s="9">
        <f>370000*60%</f>
        <v>222000</v>
      </c>
      <c r="F65" s="9">
        <v>0</v>
      </c>
      <c r="G65" s="9">
        <f>ROUND(E65-F65,0)</f>
        <v>222000</v>
      </c>
      <c r="H65" s="9">
        <f>ROUND(G65*18%,0)</f>
        <v>39960</v>
      </c>
      <c r="I65" s="9">
        <f>G65+H65</f>
        <v>261960</v>
      </c>
      <c r="J65" s="9">
        <f>G65*5%</f>
        <v>11100</v>
      </c>
      <c r="K65" s="9">
        <f>G65*5%</f>
        <v>11100</v>
      </c>
      <c r="L65" s="49">
        <f>H65</f>
        <v>39960</v>
      </c>
      <c r="M65" s="9">
        <v>0</v>
      </c>
      <c r="N65" s="10">
        <f>ROUND(I65-SUM(J65:M65),0)</f>
        <v>199800</v>
      </c>
      <c r="O65" s="8">
        <v>199800</v>
      </c>
      <c r="P65" s="52" t="s">
        <v>40</v>
      </c>
      <c r="Q65" s="8"/>
    </row>
    <row r="66" spans="1:17" ht="30" customHeight="1" x14ac:dyDescent="0.3">
      <c r="A66" s="29">
        <v>59963</v>
      </c>
      <c r="B66" s="23" t="s">
        <v>26</v>
      </c>
      <c r="C66" s="24">
        <v>45219</v>
      </c>
      <c r="D66" s="25">
        <v>14</v>
      </c>
      <c r="E66" s="9">
        <f>H65</f>
        <v>39960</v>
      </c>
      <c r="F66" s="9"/>
      <c r="G66" s="9"/>
      <c r="H66" s="9"/>
      <c r="I66" s="9"/>
      <c r="J66" s="9"/>
      <c r="K66" s="9"/>
      <c r="L66" s="9"/>
      <c r="M66" s="9"/>
      <c r="N66" s="50">
        <f>E66</f>
        <v>39960</v>
      </c>
      <c r="O66" s="8">
        <v>39960</v>
      </c>
      <c r="P66" s="52" t="s">
        <v>44</v>
      </c>
      <c r="Q66" s="8"/>
    </row>
    <row r="67" spans="1:17" ht="30" customHeight="1" x14ac:dyDescent="0.3">
      <c r="A67" s="29">
        <v>59963</v>
      </c>
      <c r="B67" s="23" t="s">
        <v>37</v>
      </c>
      <c r="C67" s="24">
        <v>45708</v>
      </c>
      <c r="D67" s="41">
        <v>22</v>
      </c>
      <c r="E67" s="9">
        <v>139950</v>
      </c>
      <c r="F67" s="9">
        <v>0</v>
      </c>
      <c r="G67" s="9">
        <f>ROUND(E67-F67,0)</f>
        <v>139950</v>
      </c>
      <c r="H67" s="9">
        <f>ROUND(G67*18%,0)</f>
        <v>25191</v>
      </c>
      <c r="I67" s="9">
        <f>G67+H67</f>
        <v>165141</v>
      </c>
      <c r="J67" s="9">
        <f>G67*5%</f>
        <v>6997.5</v>
      </c>
      <c r="K67" s="9">
        <f>G67*5%</f>
        <v>6997.5</v>
      </c>
      <c r="L67" s="49">
        <f>H67</f>
        <v>25191</v>
      </c>
      <c r="M67" s="9">
        <v>0</v>
      </c>
      <c r="N67" s="10">
        <f>ROUND(I67-SUM(J67:M67),0)</f>
        <v>125955</v>
      </c>
      <c r="O67" s="8">
        <v>50000</v>
      </c>
      <c r="P67" s="52" t="s">
        <v>62</v>
      </c>
      <c r="Q67" s="8"/>
    </row>
    <row r="68" spans="1:17" ht="30" customHeight="1" x14ac:dyDescent="0.2">
      <c r="A68" s="29">
        <v>59963</v>
      </c>
      <c r="B68" s="23" t="s">
        <v>26</v>
      </c>
      <c r="C68" s="24"/>
      <c r="D68" s="25">
        <v>14</v>
      </c>
      <c r="E68" s="9">
        <f>H67</f>
        <v>25191</v>
      </c>
      <c r="F68" s="9"/>
      <c r="G68" s="9"/>
      <c r="H68" s="9"/>
      <c r="I68" s="9"/>
      <c r="J68" s="9"/>
      <c r="K68" s="9"/>
      <c r="L68" s="9"/>
      <c r="M68" s="9"/>
      <c r="N68" s="50">
        <f>E68</f>
        <v>25191</v>
      </c>
      <c r="O68" s="8">
        <v>30000</v>
      </c>
      <c r="P68" s="59" t="s">
        <v>64</v>
      </c>
      <c r="Q68" s="8"/>
    </row>
    <row r="69" spans="1:17" ht="30" customHeight="1" x14ac:dyDescent="0.3">
      <c r="A69" s="55"/>
      <c r="B69" s="56"/>
      <c r="C69" s="56"/>
      <c r="D69" s="57"/>
      <c r="E69" s="56"/>
      <c r="F69" s="56"/>
      <c r="G69" s="56"/>
      <c r="H69" s="58"/>
      <c r="I69" s="56"/>
      <c r="J69" s="58"/>
      <c r="K69" s="58"/>
      <c r="L69" s="58"/>
      <c r="M69" s="58"/>
      <c r="N69" s="15"/>
      <c r="O69" s="14"/>
      <c r="P69" s="15"/>
      <c r="Q69" s="17">
        <f>SUM(N65:N68)-SUM(O65:O68)</f>
        <v>71146</v>
      </c>
    </row>
    <row r="70" spans="1:17" ht="30" customHeight="1" x14ac:dyDescent="0.3">
      <c r="A70" s="29">
        <v>61822</v>
      </c>
      <c r="B70" s="25" t="s">
        <v>82</v>
      </c>
      <c r="C70" s="38">
        <v>45308</v>
      </c>
      <c r="D70" s="25">
        <v>19</v>
      </c>
      <c r="E70" s="26">
        <v>111000</v>
      </c>
      <c r="F70" s="26"/>
      <c r="G70" s="9">
        <f>ROUND(E70-F70,0)</f>
        <v>111000</v>
      </c>
      <c r="H70" s="9">
        <f>ROUND(G70*18%,0)</f>
        <v>19980</v>
      </c>
      <c r="I70" s="9">
        <f>G70+H70</f>
        <v>130980</v>
      </c>
      <c r="J70" s="9">
        <f>G70*5%</f>
        <v>5550</v>
      </c>
      <c r="K70" s="9">
        <f>G70*5%</f>
        <v>5550</v>
      </c>
      <c r="L70" s="49">
        <f>H70</f>
        <v>19980</v>
      </c>
      <c r="M70" s="9">
        <v>0</v>
      </c>
      <c r="N70" s="10">
        <f>ROUND(I70-SUM(J70:M70),0)</f>
        <v>99900</v>
      </c>
      <c r="O70" s="8">
        <v>99900</v>
      </c>
      <c r="P70" s="10" t="s">
        <v>50</v>
      </c>
      <c r="Q70" s="54" t="s">
        <v>59</v>
      </c>
    </row>
    <row r="71" spans="1:17" ht="30" customHeight="1" x14ac:dyDescent="0.3">
      <c r="A71" s="29">
        <v>61822</v>
      </c>
      <c r="B71" s="9" t="s">
        <v>49</v>
      </c>
      <c r="C71" s="9"/>
      <c r="D71" s="25">
        <v>19</v>
      </c>
      <c r="E71" s="9">
        <f>L70</f>
        <v>19980</v>
      </c>
      <c r="F71" s="9"/>
      <c r="G71" s="9"/>
      <c r="H71" s="9"/>
      <c r="I71" s="9"/>
      <c r="J71" s="9"/>
      <c r="K71" s="9"/>
      <c r="L71" s="9"/>
      <c r="M71" s="9"/>
      <c r="N71" s="50">
        <f>E71</f>
        <v>19980</v>
      </c>
      <c r="O71" s="8">
        <v>19980</v>
      </c>
      <c r="P71" s="10" t="s">
        <v>60</v>
      </c>
      <c r="Q71" s="8"/>
    </row>
    <row r="72" spans="1:17" ht="30" customHeight="1" x14ac:dyDescent="0.3">
      <c r="A72" s="55"/>
      <c r="B72" s="56"/>
      <c r="C72" s="56"/>
      <c r="D72" s="57"/>
      <c r="E72" s="56"/>
      <c r="F72" s="56"/>
      <c r="G72" s="56"/>
      <c r="H72" s="58"/>
      <c r="I72" s="56"/>
      <c r="J72" s="58"/>
      <c r="K72" s="58"/>
      <c r="L72" s="58"/>
      <c r="M72" s="58"/>
      <c r="N72" s="15"/>
      <c r="O72" s="14"/>
      <c r="P72" s="15"/>
      <c r="Q72" s="17">
        <f>SUM(N70:N72)-SUM(O70:O72)</f>
        <v>0</v>
      </c>
    </row>
    <row r="73" spans="1:17" ht="30" customHeight="1" x14ac:dyDescent="0.3">
      <c r="A73" s="29">
        <v>66787</v>
      </c>
      <c r="B73" s="23" t="s">
        <v>61</v>
      </c>
      <c r="C73" s="24">
        <v>45617</v>
      </c>
      <c r="D73" s="41">
        <v>21</v>
      </c>
      <c r="E73" s="9">
        <v>404600</v>
      </c>
      <c r="F73" s="9">
        <v>0</v>
      </c>
      <c r="G73" s="9">
        <f>ROUND(E73-F73,0)</f>
        <v>404600</v>
      </c>
      <c r="H73" s="9">
        <f>ROUND(G73*18%,0)</f>
        <v>72828</v>
      </c>
      <c r="I73" s="9">
        <f>G73+H73</f>
        <v>477428</v>
      </c>
      <c r="J73" s="9">
        <f>G73*5%</f>
        <v>20230</v>
      </c>
      <c r="K73" s="9">
        <f>G73*5%</f>
        <v>20230</v>
      </c>
      <c r="L73" s="49">
        <f>H73</f>
        <v>72828</v>
      </c>
      <c r="M73" s="9">
        <v>0</v>
      </c>
      <c r="N73" s="10">
        <f>ROUND(I73-SUM(J73:M73),0)</f>
        <v>364140</v>
      </c>
      <c r="O73" s="8"/>
      <c r="P73" s="52"/>
      <c r="Q73" s="8"/>
    </row>
    <row r="74" spans="1:17" ht="30" customHeight="1" x14ac:dyDescent="0.3">
      <c r="A74" s="29">
        <v>66787</v>
      </c>
      <c r="B74" s="23" t="s">
        <v>26</v>
      </c>
      <c r="C74" s="24"/>
      <c r="D74" s="25"/>
      <c r="E74" s="9">
        <f>L73</f>
        <v>72828</v>
      </c>
      <c r="F74" s="9"/>
      <c r="G74" s="9"/>
      <c r="H74" s="9"/>
      <c r="I74" s="9"/>
      <c r="J74" s="9"/>
      <c r="K74" s="9"/>
      <c r="L74" s="9"/>
      <c r="M74" s="9"/>
      <c r="N74" s="50">
        <f>E74</f>
        <v>72828</v>
      </c>
      <c r="O74" s="8"/>
      <c r="P74" s="52"/>
      <c r="Q74" s="8"/>
    </row>
    <row r="75" spans="1:17" ht="30" customHeight="1" thickBot="1" x14ac:dyDescent="0.35">
      <c r="A75" s="29">
        <v>66787</v>
      </c>
      <c r="B75" s="16"/>
      <c r="C75" s="16"/>
      <c r="D75" s="42"/>
      <c r="E75" s="16"/>
      <c r="F75" s="16"/>
      <c r="G75" s="16"/>
      <c r="H75" s="16"/>
      <c r="I75" s="16"/>
      <c r="J75" s="16"/>
      <c r="K75" s="16"/>
      <c r="L75" s="16"/>
      <c r="M75" s="16"/>
      <c r="N75" s="18"/>
      <c r="O75" s="17"/>
      <c r="P75" s="18"/>
      <c r="Q75" s="17">
        <f>SUM(N73:N75)-SUM(O73:O75)</f>
        <v>436968</v>
      </c>
    </row>
    <row r="76" spans="1:17" ht="30" customHeight="1" x14ac:dyDescent="0.3">
      <c r="A76" s="32"/>
      <c r="B76" s="33"/>
      <c r="C76" s="33"/>
      <c r="D76" s="43"/>
      <c r="E76" s="33"/>
      <c r="F76" s="33"/>
      <c r="G76" s="33"/>
      <c r="H76" s="33"/>
      <c r="I76" s="33"/>
      <c r="J76" s="33"/>
      <c r="K76" s="36">
        <f t="shared" ref="K76:M76" si="12">SUM(K7:K75)</f>
        <v>353908.65</v>
      </c>
      <c r="L76" s="36">
        <f t="shared" si="12"/>
        <v>754299.1</v>
      </c>
      <c r="M76" s="36">
        <f t="shared" si="12"/>
        <v>5600</v>
      </c>
      <c r="N76" s="36">
        <f>SUM(N7:N75)</f>
        <v>4375818.5999999996</v>
      </c>
      <c r="O76" s="34">
        <f>SUM(O7:O75)</f>
        <v>3966683</v>
      </c>
      <c r="P76" s="35"/>
      <c r="Q76" s="34">
        <f>SUM(Q7:Q75)</f>
        <v>409135.6</v>
      </c>
    </row>
    <row r="77" spans="1:17" ht="30" customHeight="1" x14ac:dyDescent="0.3">
      <c r="A77" s="8"/>
      <c r="B77" s="9"/>
      <c r="C77" s="9"/>
      <c r="D77" s="40"/>
      <c r="E77" s="9"/>
      <c r="F77" s="9"/>
      <c r="G77" s="9"/>
      <c r="H77" s="9"/>
      <c r="I77" s="9"/>
      <c r="J77" s="9"/>
      <c r="K77" s="9"/>
      <c r="L77" s="9"/>
      <c r="M77" s="9"/>
      <c r="N77" s="10"/>
      <c r="O77" s="8"/>
      <c r="P77" s="10"/>
      <c r="Q77" s="8"/>
    </row>
    <row r="78" spans="1:17" ht="30" customHeight="1" thickBot="1" x14ac:dyDescent="0.35">
      <c r="A78" s="12"/>
      <c r="B78" s="11"/>
      <c r="C78" s="11"/>
      <c r="D78" s="44"/>
      <c r="E78" s="11"/>
      <c r="F78" s="11"/>
      <c r="G78" s="11"/>
      <c r="H78" s="11"/>
      <c r="I78" s="11"/>
      <c r="J78" s="11"/>
      <c r="K78" s="11"/>
      <c r="L78" s="11"/>
      <c r="M78" s="11"/>
      <c r="N78" s="13"/>
      <c r="O78" s="31">
        <f>N76-O76</f>
        <v>409135.59999999963</v>
      </c>
      <c r="P78" s="13"/>
      <c r="Q78" s="31"/>
    </row>
    <row r="79" spans="1:17" ht="30" customHeight="1" x14ac:dyDescent="0.3">
      <c r="A79" s="6"/>
      <c r="B79" s="6"/>
      <c r="C79" s="6"/>
      <c r="D79" s="4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ht="30" customHeight="1" thickBot="1" x14ac:dyDescent="0.35"/>
    <row r="81" spans="10:12" ht="24.75" customHeight="1" thickBot="1" x14ac:dyDescent="0.35">
      <c r="J81" s="69" t="s">
        <v>58</v>
      </c>
      <c r="K81" s="70"/>
      <c r="L81" s="71"/>
    </row>
    <row r="82" spans="10:12" ht="24.75" customHeight="1" thickBot="1" x14ac:dyDescent="0.35">
      <c r="J82" s="72">
        <v>45754</v>
      </c>
      <c r="K82" s="73"/>
      <c r="L82" s="74"/>
    </row>
    <row r="83" spans="10:12" ht="24.75" customHeight="1" thickBot="1" x14ac:dyDescent="0.35">
      <c r="J83" s="75" t="s">
        <v>53</v>
      </c>
      <c r="K83" s="76"/>
      <c r="L83" s="46">
        <f>K76</f>
        <v>353908.65</v>
      </c>
    </row>
    <row r="84" spans="10:12" ht="24.75" customHeight="1" thickBot="1" x14ac:dyDescent="0.35">
      <c r="J84" s="75" t="s">
        <v>54</v>
      </c>
      <c r="K84" s="76"/>
      <c r="L84" s="46">
        <f>G77</f>
        <v>0</v>
      </c>
    </row>
    <row r="85" spans="10:12" ht="24.75" customHeight="1" thickBot="1" x14ac:dyDescent="0.35">
      <c r="J85" s="67" t="s">
        <v>55</v>
      </c>
      <c r="K85" s="68"/>
      <c r="L85" s="47">
        <f>O78</f>
        <v>409135.59999999963</v>
      </c>
    </row>
    <row r="86" spans="10:12" ht="24.75" customHeight="1" thickBot="1" x14ac:dyDescent="0.35">
      <c r="J86" s="67" t="s">
        <v>56</v>
      </c>
      <c r="K86" s="68"/>
      <c r="L86" s="47">
        <f>L76-N74-N71-N66-N61-N60-N53-N49-N47-N44-N41-N39-N36-N34-N31-N30-N24-N22-N19-N12-N68-N55-N26</f>
        <v>-0.50000000002182787</v>
      </c>
    </row>
    <row r="87" spans="10:12" ht="24.75" customHeight="1" thickBot="1" x14ac:dyDescent="0.35">
      <c r="J87" s="67" t="s">
        <v>57</v>
      </c>
      <c r="K87" s="68"/>
      <c r="L87" s="47">
        <f>M76</f>
        <v>5600</v>
      </c>
    </row>
  </sheetData>
  <mergeCells count="7">
    <mergeCell ref="J87:K87"/>
    <mergeCell ref="J81:L81"/>
    <mergeCell ref="J82:L82"/>
    <mergeCell ref="J83:K83"/>
    <mergeCell ref="J84:K84"/>
    <mergeCell ref="J85:K85"/>
    <mergeCell ref="J86:K8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2025-06-03T06:55:08Z</dcterms:modified>
</cp:coreProperties>
</file>