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Updated Data\Updated Data\"/>
    </mc:Choice>
  </mc:AlternateContent>
  <xr:revisionPtr revIDLastSave="0" documentId="13_ncr:1_{BDB33E01-F200-4B66-9743-ABA90EADDE09}" xr6:coauthVersionLast="36" xr6:coauthVersionMax="36" xr10:uidLastSave="{00000000-0000-0000-0000-000000000000}"/>
  <bookViews>
    <workbookView xWindow="0" yWindow="0" windowWidth="17256" windowHeight="5556" xr2:uid="{00000000-000D-0000-FFFF-FFFF00000000}"/>
  </bookViews>
  <sheets>
    <sheet name="Civil" sheetId="1" r:id="rId1"/>
    <sheet name="Sheet2" sheetId="2" r:id="rId2"/>
    <sheet name="EMI" sheetId="3" r:id="rId3"/>
  </sheets>
  <definedNames>
    <definedName name="_xlnm.Print_Area" localSheetId="0">Civil!$A$1:$U$46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6" i="3" l="1"/>
  <c r="V26" i="3"/>
  <c r="G25" i="3"/>
  <c r="J25" i="3" s="1"/>
  <c r="G24" i="3"/>
  <c r="H24" i="3" s="1"/>
  <c r="O23" i="3"/>
  <c r="V22" i="3"/>
  <c r="P22" i="3"/>
  <c r="G40" i="1"/>
  <c r="H40" i="1" s="1"/>
  <c r="G39" i="1"/>
  <c r="H39" i="1" s="1"/>
  <c r="G38" i="1"/>
  <c r="H38" i="1" s="1"/>
  <c r="K25" i="3" l="1"/>
  <c r="M24" i="3"/>
  <c r="J24" i="3"/>
  <c r="L25" i="3"/>
  <c r="I40" i="1"/>
  <c r="O40" i="1" s="1"/>
  <c r="K24" i="3"/>
  <c r="H25" i="3"/>
  <c r="N25" i="3" s="1"/>
  <c r="M25" i="3"/>
  <c r="L24" i="3"/>
  <c r="N24" i="3"/>
  <c r="I24" i="3"/>
  <c r="I39" i="1"/>
  <c r="O39" i="1" s="1"/>
  <c r="I38" i="1"/>
  <c r="O38" i="1" s="1"/>
  <c r="I25" i="3" l="1"/>
  <c r="O25" i="3" s="1"/>
  <c r="O24" i="3"/>
  <c r="O26" i="3" s="1"/>
  <c r="T28" i="3" s="1"/>
  <c r="P30" i="1"/>
  <c r="V4" i="3"/>
  <c r="P4" i="3"/>
  <c r="V22" i="1" l="1"/>
  <c r="V26" i="1"/>
  <c r="P26" i="1"/>
  <c r="P22" i="1"/>
  <c r="P17" i="1"/>
  <c r="P11" i="1"/>
  <c r="P7" i="1"/>
  <c r="G37" i="1" l="1"/>
  <c r="H37" i="1" l="1"/>
  <c r="I37" i="1" s="1"/>
  <c r="O37" i="1" s="1"/>
  <c r="G7" i="2" l="1"/>
  <c r="G36" i="1" l="1"/>
  <c r="H36" i="1" s="1"/>
  <c r="G35" i="1"/>
  <c r="H35" i="1" s="1"/>
  <c r="G34" i="1"/>
  <c r="H34" i="1" s="1"/>
  <c r="G33" i="1"/>
  <c r="I35" i="1" l="1"/>
  <c r="O35" i="1" s="1"/>
  <c r="I36" i="1"/>
  <c r="O36" i="1" s="1"/>
  <c r="I34" i="1"/>
  <c r="O34" i="1" s="1"/>
  <c r="H33" i="1"/>
  <c r="I33" i="1" s="1"/>
  <c r="O33" i="1" s="1"/>
  <c r="G32" i="1"/>
  <c r="H32" i="1" s="1"/>
  <c r="I32" i="1" s="1"/>
  <c r="O32" i="1" s="1"/>
  <c r="H31" i="1"/>
  <c r="I31" i="1" s="1"/>
  <c r="O31" i="1" s="1"/>
  <c r="V38" i="1" l="1"/>
  <c r="O27" i="1"/>
  <c r="G8" i="1"/>
  <c r="S12" i="1" l="1"/>
  <c r="S11" i="1" l="1"/>
  <c r="S9" i="1"/>
  <c r="S8" i="1"/>
  <c r="G11" i="1"/>
  <c r="H11" i="1" s="1"/>
  <c r="G29" i="1"/>
  <c r="H29" i="1" s="1"/>
  <c r="G28" i="1"/>
  <c r="M28" i="1" s="1"/>
  <c r="G12" i="1"/>
  <c r="H12" i="1" s="1"/>
  <c r="L8" i="1"/>
  <c r="H8" i="1" l="1"/>
  <c r="T11" i="1"/>
  <c r="T44" i="1" s="1"/>
  <c r="H28" i="1"/>
  <c r="L29" i="1"/>
  <c r="K29" i="1"/>
  <c r="M29" i="1"/>
  <c r="J29" i="1"/>
  <c r="J11" i="1"/>
  <c r="L11" i="1"/>
  <c r="K11" i="1"/>
  <c r="M11" i="1"/>
  <c r="K12" i="1"/>
  <c r="J12" i="1"/>
  <c r="M12" i="1"/>
  <c r="L12" i="1"/>
  <c r="J28" i="1"/>
  <c r="K28" i="1"/>
  <c r="L28" i="1"/>
  <c r="N11" i="1" l="1"/>
  <c r="I11" i="1"/>
  <c r="O11" i="1" l="1"/>
  <c r="N12" i="1"/>
  <c r="I12" i="1"/>
  <c r="O12" i="1" l="1"/>
  <c r="V17" i="1" s="1"/>
  <c r="N28" i="1"/>
  <c r="I28" i="1"/>
  <c r="O28" i="1" l="1"/>
  <c r="N29" i="1"/>
  <c r="I29" i="1"/>
  <c r="O29" i="1" l="1"/>
  <c r="V30" i="1" s="1"/>
  <c r="N8" i="1"/>
  <c r="I8" i="1"/>
  <c r="O8" i="1" s="1"/>
  <c r="V11" i="1" s="1"/>
  <c r="F6" i="2"/>
  <c r="V44" i="1" l="1"/>
  <c r="O44" i="1"/>
  <c r="T46" i="1" l="1"/>
  <c r="E6" i="2"/>
  <c r="G6" i="2" l="1"/>
  <c r="T49" i="1"/>
</calcChain>
</file>

<file path=xl/sharedStrings.xml><?xml version="1.0" encoding="utf-8"?>
<sst xmlns="http://schemas.openxmlformats.org/spreadsheetml/2006/main" count="92" uniqueCount="82">
  <si>
    <t>Invoice Details</t>
  </si>
  <si>
    <t>Invoice Date</t>
  </si>
  <si>
    <t>Invoice No</t>
  </si>
  <si>
    <t>Basic Amt</t>
  </si>
  <si>
    <t>18% GST</t>
  </si>
  <si>
    <t>Amount</t>
  </si>
  <si>
    <t>GST SD (18%)</t>
  </si>
  <si>
    <t>Final Amount</t>
  </si>
  <si>
    <t>PAYMENT NOTE No.</t>
  </si>
  <si>
    <t>Total Amount Paid</t>
  </si>
  <si>
    <t>UTR</t>
  </si>
  <si>
    <t>SD (5%)</t>
  </si>
  <si>
    <t>TDS (1%)</t>
  </si>
  <si>
    <t>TDS Amount @ 1% on BASIC AMOUNT</t>
  </si>
  <si>
    <t xml:space="preserve">Debit </t>
  </si>
  <si>
    <t>After Debit Amt</t>
  </si>
  <si>
    <t>On Commissioning</t>
  </si>
  <si>
    <t>Total Payable Amount Rs. -</t>
  </si>
  <si>
    <t>OHT Construction work</t>
  </si>
  <si>
    <t>Testing Deposit</t>
  </si>
  <si>
    <t>Skyline Airconditioning Engineers PVT LTD</t>
  </si>
  <si>
    <t>08-05-2023 NEFT/AXISP00388438500/RIUP23/137/SKYLINE AIR COND 4,90,000.00</t>
  </si>
  <si>
    <t>03-06-2023 NEFT/AXISP00395454056/RIUP23/500/SKYLINE AIR COND ₹ 4,90,000.00</t>
  </si>
  <si>
    <t>08-05-2023 NEFT/AXISP00388438501/RIUP23/136/SKYLINE AIR COND ₹ 4,90,000.00</t>
  </si>
  <si>
    <t>03-06-2023 NEFT/AXISP00395454055/RIUP23/499/SKYLINE AIR COND ₹ 4,90,000.00</t>
  </si>
  <si>
    <t>08-05-2023 NEFT/AXISP00388438502/RIUP23/135/SKYLINE AIR COND ₹ 4,90,000.00</t>
  </si>
  <si>
    <t>03-06-2023 NEFT/AXISP00395454054/RIUP23/498/SKYLINE AIR COND ₹ 4,90,000.00</t>
  </si>
  <si>
    <t>08-05-2023 NEFT/AXISP00388438503/RIUP23/134/SKYLINE AIR COND ₹ 4,90,000.00</t>
  </si>
  <si>
    <t>03-06-2023 NEFT/AXISP00395454053/RIUP23/497/SKYLINE AIR COND ₹ 4,90,000.00</t>
  </si>
  <si>
    <t xml:space="preserve">Submersible Cables </t>
  </si>
  <si>
    <t>14-06-2023 NEFT/AXISP00354859653/RIUP23/632/SKYLINE AIR CONDI 857860.00</t>
  </si>
  <si>
    <t>DG set</t>
  </si>
  <si>
    <t>11-07-2023 NEFT/AXISP00405894821/RIUP23/1040/SKYLINE AIR CON 1498500.00</t>
  </si>
  <si>
    <t>31-07-2023 NEFT/AXISP00410781903/RIUP23/1224/SKYLINE AIR CON ₹ 72,28,458.00</t>
  </si>
  <si>
    <t>16-06-2023 NEFT/AXISP00399009116/RIUP23/307/SKYLINE AIR COND 640320.00</t>
  </si>
  <si>
    <t>21-06-2023 NEFT/AXISP00399921605/RIUP23/767/SKYLINE AIR COND 293770.00</t>
  </si>
  <si>
    <t>01-07-2023 NEFT/AXISP00402871791/RIUP23/984/SKYLINE AIR COND ₹ 2,94,969.00</t>
  </si>
  <si>
    <t>Muzaffarnagar</t>
  </si>
  <si>
    <t>Shamli</t>
  </si>
  <si>
    <t>Paid</t>
  </si>
  <si>
    <t>Payable</t>
  </si>
  <si>
    <t>Balance</t>
  </si>
  <si>
    <t xml:space="preserve">Skyline Air-Conditioning Engineers PVT. LTD. </t>
  </si>
  <si>
    <t>13-09-2023 NEFT/AXISP00424689679/RIUP23/2004/SKYLINE AIR CONDIT/BKID0006018 980000.00</t>
  </si>
  <si>
    <t>Ambarpur Mathri Village OHT Work</t>
  </si>
  <si>
    <t>Jandheri Jatan Village OHT Work</t>
  </si>
  <si>
    <t>08-09-2023 NEFT/AXISP00423107625/RIUP23/1911/SKYLINE AIR CONDIT/BKID0006018 ₹ 3,92,000.00</t>
  </si>
  <si>
    <t>13-09-2023 NEFT/AXISP00424689682/RIUP23/2003/SKYLINE AIR CONDIT/BKID0006018 784000.00</t>
  </si>
  <si>
    <t>13-09-2023 NEFT/AXISP00424689680/RIUP23/2001/SKYLINE AIR CONDIT/BKID0006018 490000.00</t>
  </si>
  <si>
    <t>13-09-2023 NEFT/AXISP00424689681/RIUP23/2002/SKYLINE AIR CONDIT/BKID0006018 490000.00</t>
  </si>
  <si>
    <t>08-09-2023 NEFT/AXISP00423107626/RIUP23/1910/SKYLINE AIR CONDIT/BKID0006018 ₹ 2,94,000.00</t>
  </si>
  <si>
    <t>Sikandarpur Kalan Village OHT Work</t>
  </si>
  <si>
    <t>28-08-2023 NEFT/AXISP00410745625/RIUP23/1770/SKYLINE AIR CON ₹ 2497500.00</t>
  </si>
  <si>
    <t>31-08-2023 NEFT/AXISP00410745856/RIUP23/1813/SKYLINE AIR CON ₹ 19,98,000.00</t>
  </si>
  <si>
    <t>04-09-2023 NEFT/AXISP00421476877/RIUP23/1834/SKYLINE AIR CONDIT/BKID0006018 1679512.00</t>
  </si>
  <si>
    <t>Freight</t>
  </si>
  <si>
    <t>Subcontractor:</t>
  </si>
  <si>
    <t>State:</t>
  </si>
  <si>
    <t>District:</t>
  </si>
  <si>
    <t>Block:</t>
  </si>
  <si>
    <t>Uttar Pradesh</t>
  </si>
  <si>
    <t>Madkareempur village  OHT Work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</si>
  <si>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</si>
  <si>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</si>
  <si>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</si>
  <si>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</si>
  <si>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</si>
  <si>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</si>
  <si>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</si>
  <si>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</si>
  <si>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</si>
  <si>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</si>
  <si>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</si>
  <si>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</si>
  <si>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</si>
  <si>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</si>
  <si>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</si>
  <si>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</si>
  <si>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</si>
  <si>
    <t>common village Submersible Cables work</t>
  </si>
  <si>
    <t>common village Cement work</t>
  </si>
  <si>
    <t>common village Credit Note - 25-6-23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</si>
</sst>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9"/>
      <name val="Comic Sans MS"/>
      <family val="4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sz val="9"/>
      <color rgb="FFFF0000"/>
      <name val="Comic Sans MS"/>
      <family val="4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FF0000"/>
      <name val="Comic Sans MS"/>
      <family val="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1">
    <xf numFmtId="0" fontId="0" fillId="0" borderId="0" xfId="0"/>
    <xf numFmtId="15" fontId="3" fillId="2" borderId="7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4" fontId="0" fillId="2" borderId="0" xfId="1" applyNumberFormat="1" applyFont="1" applyFill="1" applyBorder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164" fontId="3" fillId="2" borderId="7" xfId="1" applyNumberFormat="1" applyFont="1" applyFill="1" applyBorder="1" applyAlignment="1">
      <alignment vertical="center"/>
    </xf>
    <xf numFmtId="164" fontId="3" fillId="2" borderId="8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0" fontId="0" fillId="3" borderId="0" xfId="0" applyFill="1" applyAlignment="1">
      <alignment vertical="center"/>
    </xf>
    <xf numFmtId="15" fontId="3" fillId="3" borderId="7" xfId="0" applyNumberFormat="1" applyFont="1" applyFill="1" applyBorder="1" applyAlignment="1">
      <alignment horizontal="center" vertical="center"/>
    </xf>
    <xf numFmtId="164" fontId="3" fillId="3" borderId="4" xfId="1" applyNumberFormat="1" applyFont="1" applyFill="1" applyBorder="1" applyAlignment="1">
      <alignment vertical="center"/>
    </xf>
    <xf numFmtId="164" fontId="3" fillId="3" borderId="7" xfId="1" applyNumberFormat="1" applyFont="1" applyFill="1" applyBorder="1" applyAlignment="1">
      <alignment vertical="center"/>
    </xf>
    <xf numFmtId="164" fontId="0" fillId="0" borderId="5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164" fontId="0" fillId="0" borderId="10" xfId="0" applyNumberFormat="1" applyBorder="1"/>
    <xf numFmtId="0" fontId="0" fillId="0" borderId="14" xfId="0" applyBorder="1"/>
    <xf numFmtId="164" fontId="0" fillId="0" borderId="6" xfId="0" applyNumberFormat="1" applyBorder="1"/>
    <xf numFmtId="0" fontId="0" fillId="0" borderId="11" xfId="0" applyBorder="1"/>
    <xf numFmtId="9" fontId="3" fillId="3" borderId="4" xfId="1" applyNumberFormat="1" applyFont="1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 wrapText="1"/>
    </xf>
    <xf numFmtId="164" fontId="6" fillId="2" borderId="18" xfId="1" applyNumberFormat="1" applyFont="1" applyFill="1" applyBorder="1" applyAlignment="1">
      <alignment horizontal="center" vertical="center"/>
    </xf>
    <xf numFmtId="164" fontId="5" fillId="2" borderId="18" xfId="1" applyNumberFormat="1" applyFont="1" applyFill="1" applyBorder="1" applyAlignment="1">
      <alignment horizontal="center" vertical="center"/>
    </xf>
    <xf numFmtId="0" fontId="0" fillId="2" borderId="7" xfId="0" applyFill="1" applyBorder="1" applyAlignment="1">
      <alignment vertical="center"/>
    </xf>
    <xf numFmtId="0" fontId="5" fillId="2" borderId="7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/>
    </xf>
    <xf numFmtId="0" fontId="5" fillId="4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8" fillId="0" borderId="7" xfId="0" applyFont="1" applyBorder="1"/>
    <xf numFmtId="0" fontId="0" fillId="0" borderId="7" xfId="0" applyBorder="1" applyAlignment="1">
      <alignment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164" fontId="0" fillId="3" borderId="7" xfId="0" applyNumberFormat="1" applyFill="1" applyBorder="1" applyAlignment="1">
      <alignment vertical="center"/>
    </xf>
    <xf numFmtId="14" fontId="3" fillId="2" borderId="7" xfId="1" applyNumberFormat="1" applyFont="1" applyFill="1" applyBorder="1" applyAlignment="1">
      <alignment vertical="center"/>
    </xf>
    <xf numFmtId="14" fontId="3" fillId="3" borderId="7" xfId="1" applyNumberFormat="1" applyFont="1" applyFill="1" applyBorder="1" applyAlignment="1">
      <alignment vertical="center"/>
    </xf>
    <xf numFmtId="164" fontId="9" fillId="2" borderId="7" xfId="1" applyNumberFormat="1" applyFont="1" applyFill="1" applyBorder="1" applyAlignment="1">
      <alignment vertical="center"/>
    </xf>
    <xf numFmtId="164" fontId="5" fillId="2" borderId="8" xfId="1" applyNumberFormat="1" applyFont="1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9" fontId="3" fillId="2" borderId="8" xfId="1" applyNumberFormat="1" applyFont="1" applyFill="1" applyBorder="1" applyAlignment="1">
      <alignment vertical="center"/>
    </xf>
    <xf numFmtId="0" fontId="5" fillId="2" borderId="8" xfId="0" applyFont="1" applyFill="1" applyBorder="1" applyAlignment="1">
      <alignment horizontal="center" vertical="center" wrapText="1"/>
    </xf>
    <xf numFmtId="164" fontId="3" fillId="2" borderId="18" xfId="1" applyNumberFormat="1" applyFont="1" applyFill="1" applyBorder="1" applyAlignment="1">
      <alignment vertical="center"/>
    </xf>
    <xf numFmtId="164" fontId="5" fillId="2" borderId="18" xfId="1" applyNumberFormat="1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164" fontId="0" fillId="2" borderId="0" xfId="0" applyNumberFormat="1" applyFill="1" applyAlignment="1">
      <alignment vertical="center"/>
    </xf>
    <xf numFmtId="0" fontId="7" fillId="0" borderId="0" xfId="0" applyFont="1"/>
    <xf numFmtId="0" fontId="0" fillId="0" borderId="0" xfId="0" applyFont="1"/>
    <xf numFmtId="0" fontId="7" fillId="2" borderId="18" xfId="0" applyFont="1" applyFill="1" applyBorder="1" applyAlignment="1">
      <alignment vertical="center"/>
    </xf>
    <xf numFmtId="0" fontId="7" fillId="2" borderId="18" xfId="0" applyFont="1" applyFill="1" applyBorder="1" applyAlignment="1">
      <alignment horizontal="center" vertical="center" wrapText="1"/>
    </xf>
    <xf numFmtId="14" fontId="7" fillId="2" borderId="18" xfId="0" applyNumberFormat="1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164" fontId="10" fillId="2" borderId="18" xfId="1" applyNumberFormat="1" applyFont="1" applyFill="1" applyBorder="1" applyAlignment="1">
      <alignment horizontal="center" vertical="center"/>
    </xf>
    <xf numFmtId="164" fontId="7" fillId="2" borderId="18" xfId="1" applyNumberFormat="1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vertical="center"/>
    </xf>
    <xf numFmtId="14" fontId="9" fillId="2" borderId="7" xfId="1" applyNumberFormat="1" applyFont="1" applyFill="1" applyBorder="1" applyAlignment="1">
      <alignment vertical="center"/>
    </xf>
    <xf numFmtId="0" fontId="12" fillId="2" borderId="7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vertical="center"/>
    </xf>
    <xf numFmtId="0" fontId="11" fillId="2" borderId="0" xfId="0" applyFont="1" applyFill="1" applyAlignment="1">
      <alignment vertical="center"/>
    </xf>
    <xf numFmtId="164" fontId="11" fillId="3" borderId="7" xfId="0" applyNumberFormat="1" applyFont="1" applyFill="1" applyBorder="1" applyAlignment="1">
      <alignment vertical="center"/>
    </xf>
    <xf numFmtId="0" fontId="9" fillId="2" borderId="7" xfId="0" applyFont="1" applyFill="1" applyBorder="1" applyAlignment="1">
      <alignment horizontal="center" vertical="center"/>
    </xf>
    <xf numFmtId="164" fontId="9" fillId="2" borderId="7" xfId="1" applyNumberFormat="1" applyFont="1" applyFill="1" applyBorder="1" applyAlignment="1">
      <alignment horizontal="right" vertical="center"/>
    </xf>
    <xf numFmtId="164" fontId="9" fillId="2" borderId="9" xfId="1" applyNumberFormat="1" applyFont="1" applyFill="1" applyBorder="1" applyAlignment="1">
      <alignment vertical="center"/>
    </xf>
    <xf numFmtId="0" fontId="11" fillId="2" borderId="9" xfId="0" applyFont="1" applyFill="1" applyBorder="1" applyAlignment="1">
      <alignment vertical="center"/>
    </xf>
    <xf numFmtId="0" fontId="9" fillId="2" borderId="7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2" borderId="7" xfId="0" applyFont="1" applyFill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9"/>
  <sheetViews>
    <sheetView tabSelected="1" zoomScale="90" zoomScaleNormal="90" workbookViewId="0">
      <selection activeCell="B39" sqref="B39"/>
    </sheetView>
  </sheetViews>
  <sheetFormatPr defaultColWidth="9" defaultRowHeight="15" customHeight="1" x14ac:dyDescent="0.3"/>
  <cols>
    <col min="1" max="1" width="9.109375" style="3" bestFit="1" customWidth="1"/>
    <col min="2" max="2" width="24.109375" style="3" customWidth="1"/>
    <col min="3" max="3" width="13.5546875" style="3" bestFit="1" customWidth="1"/>
    <col min="4" max="4" width="11.6640625" style="3" bestFit="1" customWidth="1"/>
    <col min="5" max="5" width="13.44140625" style="3" bestFit="1" customWidth="1"/>
    <col min="6" max="6" width="13.33203125" style="3" customWidth="1"/>
    <col min="7" max="7" width="15.5546875" style="3" bestFit="1" customWidth="1"/>
    <col min="8" max="8" width="14.6640625" style="14" customWidth="1"/>
    <col min="9" max="9" width="13" style="14" bestFit="1" customWidth="1"/>
    <col min="10" max="10" width="10.88671875" style="3" bestFit="1" customWidth="1"/>
    <col min="11" max="11" width="10.5546875" style="3" bestFit="1" customWidth="1"/>
    <col min="12" max="12" width="9.6640625" style="3" customWidth="1"/>
    <col min="13" max="13" width="10.44140625" style="3" customWidth="1"/>
    <col min="14" max="14" width="14.88671875" style="3" customWidth="1"/>
    <col min="15" max="15" width="17.33203125" style="3" bestFit="1" customWidth="1"/>
    <col min="16" max="16" width="10.6640625" style="3" customWidth="1"/>
    <col min="17" max="17" width="15.6640625" style="3" customWidth="1"/>
    <col min="18" max="18" width="13.109375" style="3" customWidth="1"/>
    <col min="19" max="19" width="15.33203125" style="3" customWidth="1"/>
    <col min="20" max="20" width="19.88671875" style="3" bestFit="1" customWidth="1"/>
    <col min="21" max="21" width="91.88671875" style="3" bestFit="1" customWidth="1"/>
    <col min="22" max="22" width="16.33203125" style="3" bestFit="1" customWidth="1"/>
    <col min="23" max="16384" width="9" style="3"/>
  </cols>
  <sheetData>
    <row r="1" spans="1:54" ht="15" customHeight="1" x14ac:dyDescent="0.3">
      <c r="A1" s="58" t="s">
        <v>56</v>
      </c>
      <c r="B1" s="2" t="s">
        <v>20</v>
      </c>
      <c r="E1" s="4"/>
      <c r="F1" s="4"/>
      <c r="G1" s="4"/>
      <c r="H1" s="5"/>
      <c r="I1" s="5"/>
    </row>
    <row r="2" spans="1:54" ht="15" customHeight="1" x14ac:dyDescent="0.3">
      <c r="A2" s="58" t="s">
        <v>57</v>
      </c>
      <c r="B2" s="59" t="s">
        <v>60</v>
      </c>
      <c r="C2" s="6"/>
      <c r="D2" s="6" t="s">
        <v>20</v>
      </c>
      <c r="G2" s="7"/>
      <c r="I2" s="7" t="s">
        <v>18</v>
      </c>
      <c r="J2" s="8"/>
      <c r="K2" s="8"/>
      <c r="L2" s="8"/>
      <c r="M2" s="8"/>
      <c r="N2" s="8"/>
      <c r="O2" s="8"/>
      <c r="P2" s="8"/>
      <c r="Q2" s="8"/>
      <c r="R2" s="8"/>
      <c r="S2" s="8"/>
    </row>
    <row r="3" spans="1:54" ht="15" customHeight="1" thickBot="1" x14ac:dyDescent="0.35">
      <c r="A3" s="58" t="s">
        <v>58</v>
      </c>
      <c r="B3" s="59" t="s">
        <v>37</v>
      </c>
      <c r="C3" s="6"/>
      <c r="D3" s="6"/>
      <c r="G3" s="7"/>
      <c r="I3" s="7"/>
      <c r="J3" s="8"/>
      <c r="K3" s="8"/>
      <c r="L3" s="8"/>
      <c r="M3" s="8"/>
      <c r="N3" s="8"/>
      <c r="O3" s="8"/>
      <c r="P3" s="8"/>
      <c r="Q3" s="8"/>
      <c r="R3" s="8"/>
      <c r="S3" s="8"/>
    </row>
    <row r="4" spans="1:54" ht="15.75" customHeight="1" thickBot="1" x14ac:dyDescent="0.35">
      <c r="A4" s="58" t="s">
        <v>59</v>
      </c>
      <c r="B4" s="59" t="s">
        <v>37</v>
      </c>
      <c r="C4" s="9"/>
      <c r="D4" s="9"/>
      <c r="E4" s="9"/>
      <c r="F4" s="8"/>
      <c r="G4" s="8"/>
      <c r="H4" s="10"/>
      <c r="I4" s="10"/>
      <c r="J4" s="8"/>
      <c r="K4" s="8"/>
      <c r="L4" s="8"/>
      <c r="M4" s="8"/>
      <c r="Q4" s="8"/>
      <c r="R4" s="11"/>
      <c r="S4" s="11"/>
      <c r="T4" s="11"/>
      <c r="U4" s="11"/>
    </row>
    <row r="5" spans="1:54" ht="35.25" customHeight="1" x14ac:dyDescent="0.3">
      <c r="A5" s="60" t="s">
        <v>62</v>
      </c>
      <c r="B5" s="61" t="s">
        <v>63</v>
      </c>
      <c r="C5" s="62" t="s">
        <v>64</v>
      </c>
      <c r="D5" s="63" t="s">
        <v>65</v>
      </c>
      <c r="E5" s="61" t="s">
        <v>66</v>
      </c>
      <c r="F5" s="61" t="s">
        <v>67</v>
      </c>
      <c r="G5" s="63" t="s">
        <v>68</v>
      </c>
      <c r="H5" s="64" t="s">
        <v>69</v>
      </c>
      <c r="I5" s="65" t="s">
        <v>5</v>
      </c>
      <c r="J5" s="61" t="s">
        <v>70</v>
      </c>
      <c r="K5" s="61" t="s">
        <v>71</v>
      </c>
      <c r="L5" s="61" t="s">
        <v>72</v>
      </c>
      <c r="M5" s="61" t="s">
        <v>73</v>
      </c>
      <c r="N5" s="61" t="s">
        <v>74</v>
      </c>
      <c r="O5" s="61" t="s">
        <v>75</v>
      </c>
      <c r="P5" s="31"/>
      <c r="Q5" s="31" t="s">
        <v>8</v>
      </c>
      <c r="R5" s="61" t="s">
        <v>76</v>
      </c>
      <c r="S5" s="61" t="s">
        <v>77</v>
      </c>
      <c r="T5" s="61" t="s">
        <v>78</v>
      </c>
      <c r="U5" s="61" t="s">
        <v>10</v>
      </c>
      <c r="V5" s="29"/>
    </row>
    <row r="6" spans="1:54" ht="15" customHeight="1" thickBot="1" x14ac:dyDescent="0.35">
      <c r="A6" s="49"/>
      <c r="B6" s="13"/>
      <c r="C6" s="13"/>
      <c r="D6" s="13"/>
      <c r="E6" s="13"/>
      <c r="F6" s="13"/>
      <c r="G6" s="13"/>
      <c r="H6" s="51">
        <v>0.18</v>
      </c>
      <c r="I6" s="13"/>
      <c r="J6" s="51">
        <v>0.01</v>
      </c>
      <c r="K6" s="51">
        <v>0.05</v>
      </c>
      <c r="L6" s="51">
        <v>0</v>
      </c>
      <c r="M6" s="51">
        <v>0.1</v>
      </c>
      <c r="N6" s="51">
        <v>0.18</v>
      </c>
      <c r="O6" s="13"/>
      <c r="P6" s="52"/>
      <c r="Q6" s="13"/>
      <c r="R6" s="13"/>
      <c r="S6" s="51">
        <v>0.01</v>
      </c>
      <c r="T6" s="13"/>
      <c r="U6" s="13"/>
      <c r="V6" s="49"/>
    </row>
    <row r="7" spans="1:54" s="15" customFormat="1" ht="15" customHeight="1" x14ac:dyDescent="0.3">
      <c r="A7" s="50"/>
      <c r="B7" s="17"/>
      <c r="C7" s="17"/>
      <c r="D7" s="17"/>
      <c r="E7" s="17"/>
      <c r="F7" s="17"/>
      <c r="G7" s="17"/>
      <c r="H7" s="28"/>
      <c r="I7" s="17"/>
      <c r="J7" s="28"/>
      <c r="K7" s="28"/>
      <c r="L7" s="28"/>
      <c r="M7" s="28"/>
      <c r="N7" s="28"/>
      <c r="O7" s="17"/>
      <c r="P7" s="55">
        <f>A8</f>
        <v>57223</v>
      </c>
      <c r="Q7" s="17"/>
      <c r="R7" s="17"/>
      <c r="S7" s="28"/>
      <c r="T7" s="17"/>
      <c r="U7" s="17"/>
      <c r="V7" s="50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</row>
    <row r="8" spans="1:54" ht="15" customHeight="1" x14ac:dyDescent="0.2">
      <c r="A8" s="34">
        <v>57223</v>
      </c>
      <c r="B8" s="80" t="s">
        <v>44</v>
      </c>
      <c r="C8" s="1"/>
      <c r="D8" s="39"/>
      <c r="E8" s="12">
        <v>0</v>
      </c>
      <c r="F8" s="12">
        <v>0</v>
      </c>
      <c r="G8" s="12">
        <f>ROUND(E8-F8,)</f>
        <v>0</v>
      </c>
      <c r="H8" s="12">
        <f>ROUND(G8*$H$6,0)</f>
        <v>0</v>
      </c>
      <c r="I8" s="12">
        <f>G8+H8</f>
        <v>0</v>
      </c>
      <c r="J8" s="12">
        <v>0</v>
      </c>
      <c r="K8" s="12">
        <v>0</v>
      </c>
      <c r="L8" s="12">
        <f>ROUND(G8*$L$6,)</f>
        <v>0</v>
      </c>
      <c r="M8" s="12">
        <v>0</v>
      </c>
      <c r="N8" s="12">
        <f>H8</f>
        <v>0</v>
      </c>
      <c r="O8" s="12">
        <f>+I8</f>
        <v>0</v>
      </c>
      <c r="P8" s="35"/>
      <c r="Q8" s="12"/>
      <c r="R8" s="12">
        <v>500000</v>
      </c>
      <c r="S8" s="12">
        <f>R8*$S$6</f>
        <v>5000</v>
      </c>
      <c r="T8" s="12">
        <v>490000</v>
      </c>
      <c r="U8" s="40" t="s">
        <v>21</v>
      </c>
      <c r="V8" s="34"/>
    </row>
    <row r="9" spans="1:54" ht="15" customHeight="1" x14ac:dyDescent="0.3">
      <c r="A9" s="34">
        <v>57223</v>
      </c>
      <c r="B9" s="80"/>
      <c r="C9" s="1"/>
      <c r="D9" s="39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35"/>
      <c r="Q9" s="12"/>
      <c r="R9" s="12">
        <v>500000</v>
      </c>
      <c r="S9" s="12">
        <f>R9*$S$6</f>
        <v>5000</v>
      </c>
      <c r="T9" s="12">
        <v>490000</v>
      </c>
      <c r="U9" s="41" t="s">
        <v>22</v>
      </c>
      <c r="V9" s="34"/>
    </row>
    <row r="10" spans="1:54" ht="15" customHeight="1" x14ac:dyDescent="0.3">
      <c r="A10" s="34">
        <v>57223</v>
      </c>
      <c r="B10" s="38"/>
      <c r="C10" s="1"/>
      <c r="D10" s="39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35"/>
      <c r="Q10" s="12"/>
      <c r="R10" s="12">
        <v>1000000</v>
      </c>
      <c r="S10" s="12"/>
      <c r="T10" s="12">
        <v>980000</v>
      </c>
      <c r="U10" s="41" t="s">
        <v>43</v>
      </c>
      <c r="V10" s="34"/>
    </row>
    <row r="11" spans="1:54" s="15" customFormat="1" ht="15" customHeight="1" x14ac:dyDescent="0.3">
      <c r="A11" s="36"/>
      <c r="B11" s="42"/>
      <c r="C11" s="16"/>
      <c r="D11" s="43"/>
      <c r="E11" s="18"/>
      <c r="F11" s="18"/>
      <c r="G11" s="18">
        <f>ROUND(E11-F11,)</f>
        <v>0</v>
      </c>
      <c r="H11" s="18">
        <f>ROUND(G11*$H$6,0)</f>
        <v>0</v>
      </c>
      <c r="I11" s="18">
        <f>G11+H11</f>
        <v>0</v>
      </c>
      <c r="J11" s="18">
        <f>ROUND(G11*$J$6,)</f>
        <v>0</v>
      </c>
      <c r="K11" s="18">
        <f>ROUND(G11*$K$6,)</f>
        <v>0</v>
      </c>
      <c r="L11" s="18">
        <f>ROUND(G11*$L$6,)</f>
        <v>0</v>
      </c>
      <c r="M11" s="18">
        <f>ROUND(G11*$M$6,)</f>
        <v>0</v>
      </c>
      <c r="N11" s="18">
        <f>H11</f>
        <v>0</v>
      </c>
      <c r="O11" s="18">
        <f>ROUND(I11-SUM(J11:N11),0)</f>
        <v>0</v>
      </c>
      <c r="P11" s="56">
        <f>A12</f>
        <v>57222</v>
      </c>
      <c r="Q11" s="18"/>
      <c r="R11" s="18"/>
      <c r="S11" s="18">
        <f>R11*$S$6</f>
        <v>0</v>
      </c>
      <c r="T11" s="18">
        <f>R11-S11</f>
        <v>0</v>
      </c>
      <c r="U11" s="36"/>
      <c r="V11" s="44">
        <f>SUM(O8:O10)-SUM(T8:T10)</f>
        <v>-1960000</v>
      </c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</row>
    <row r="12" spans="1:54" ht="33.75" customHeight="1" x14ac:dyDescent="0.2">
      <c r="A12" s="34">
        <v>57222</v>
      </c>
      <c r="B12" s="38" t="s">
        <v>45</v>
      </c>
      <c r="C12" s="45"/>
      <c r="D12" s="39"/>
      <c r="E12" s="12"/>
      <c r="F12" s="12"/>
      <c r="G12" s="12">
        <f>ROUND(E12-F12,)</f>
        <v>0</v>
      </c>
      <c r="H12" s="12">
        <f>ROUND(G12*$H$6,0)</f>
        <v>0</v>
      </c>
      <c r="I12" s="12">
        <f>G12+H12</f>
        <v>0</v>
      </c>
      <c r="J12" s="12">
        <f>ROUND(G12*$J$6,)</f>
        <v>0</v>
      </c>
      <c r="K12" s="12">
        <f>ROUND(G12*$K$6,)</f>
        <v>0</v>
      </c>
      <c r="L12" s="12">
        <f>ROUND(G12*$L$6,)</f>
        <v>0</v>
      </c>
      <c r="M12" s="12">
        <f>ROUND(G12*$M$6,)</f>
        <v>0</v>
      </c>
      <c r="N12" s="12">
        <f>H12</f>
        <v>0</v>
      </c>
      <c r="O12" s="12">
        <f>ROUND(I12-SUM(J12:N12),0)</f>
        <v>0</v>
      </c>
      <c r="P12" s="35"/>
      <c r="Q12" s="12"/>
      <c r="R12" s="12">
        <v>500000</v>
      </c>
      <c r="S12" s="12">
        <f>R12*$S$6</f>
        <v>5000</v>
      </c>
      <c r="T12" s="12">
        <v>490000</v>
      </c>
      <c r="U12" s="40" t="s">
        <v>23</v>
      </c>
      <c r="V12" s="34"/>
    </row>
    <row r="13" spans="1:54" ht="15" customHeight="1" x14ac:dyDescent="0.3">
      <c r="A13" s="34">
        <v>57222</v>
      </c>
      <c r="B13" s="38"/>
      <c r="C13" s="45"/>
      <c r="D13" s="39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35"/>
      <c r="Q13" s="12"/>
      <c r="R13" s="12">
        <v>500000</v>
      </c>
      <c r="S13" s="12"/>
      <c r="T13" s="12">
        <v>490000</v>
      </c>
      <c r="U13" s="41" t="s">
        <v>24</v>
      </c>
      <c r="V13" s="34"/>
    </row>
    <row r="14" spans="1:54" ht="15" customHeight="1" x14ac:dyDescent="0.3">
      <c r="A14" s="34">
        <v>57222</v>
      </c>
      <c r="B14" s="38"/>
      <c r="C14" s="45"/>
      <c r="D14" s="39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35"/>
      <c r="Q14" s="12"/>
      <c r="R14" s="12">
        <v>400000</v>
      </c>
      <c r="S14" s="12"/>
      <c r="T14" s="12">
        <v>392000</v>
      </c>
      <c r="U14" s="41" t="s">
        <v>46</v>
      </c>
      <c r="V14" s="34"/>
    </row>
    <row r="15" spans="1:54" ht="15" customHeight="1" x14ac:dyDescent="0.3">
      <c r="A15" s="34">
        <v>57222</v>
      </c>
      <c r="B15" s="38"/>
      <c r="C15" s="45"/>
      <c r="D15" s="39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35"/>
      <c r="Q15" s="12"/>
      <c r="R15" s="12">
        <v>800000</v>
      </c>
      <c r="S15" s="12"/>
      <c r="T15" s="12">
        <v>784000</v>
      </c>
      <c r="U15" s="41" t="s">
        <v>47</v>
      </c>
      <c r="V15" s="34"/>
    </row>
    <row r="16" spans="1:54" ht="15" customHeight="1" x14ac:dyDescent="0.3">
      <c r="A16" s="34">
        <v>57222</v>
      </c>
      <c r="B16" s="38"/>
      <c r="C16" s="45"/>
      <c r="D16" s="39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35"/>
      <c r="Q16" s="12"/>
      <c r="R16" s="12"/>
      <c r="S16" s="12"/>
      <c r="T16" s="12"/>
      <c r="U16" s="41"/>
      <c r="V16" s="34"/>
    </row>
    <row r="17" spans="1:54" s="15" customFormat="1" ht="15" customHeight="1" x14ac:dyDescent="0.3">
      <c r="A17" s="36"/>
      <c r="B17" s="42"/>
      <c r="C17" s="46"/>
      <c r="D17" s="43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56">
        <f>A18</f>
        <v>57221</v>
      </c>
      <c r="Q17" s="18"/>
      <c r="R17" s="18"/>
      <c r="S17" s="18"/>
      <c r="T17" s="18"/>
      <c r="U17" s="36"/>
      <c r="V17" s="44">
        <f>SUM(O12:O16)-SUM(T12:T16)</f>
        <v>-2156000</v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</row>
    <row r="18" spans="1:54" ht="31.5" customHeight="1" x14ac:dyDescent="0.3">
      <c r="A18" s="34">
        <v>57221</v>
      </c>
      <c r="B18" s="38" t="s">
        <v>51</v>
      </c>
      <c r="C18" s="45"/>
      <c r="D18" s="39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35"/>
      <c r="Q18" s="12"/>
      <c r="R18" s="12">
        <v>500000</v>
      </c>
      <c r="S18" s="12"/>
      <c r="T18" s="12">
        <v>490000</v>
      </c>
      <c r="U18" s="41" t="s">
        <v>25</v>
      </c>
      <c r="V18" s="34"/>
    </row>
    <row r="19" spans="1:54" ht="15" customHeight="1" x14ac:dyDescent="0.3">
      <c r="A19" s="34">
        <v>57221</v>
      </c>
      <c r="B19" s="38"/>
      <c r="C19" s="45"/>
      <c r="D19" s="39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35"/>
      <c r="Q19" s="12"/>
      <c r="R19" s="12">
        <v>500000</v>
      </c>
      <c r="S19" s="12"/>
      <c r="T19" s="12">
        <v>490000</v>
      </c>
      <c r="U19" s="41" t="s">
        <v>26</v>
      </c>
      <c r="V19" s="34"/>
    </row>
    <row r="20" spans="1:54" ht="15" customHeight="1" x14ac:dyDescent="0.3">
      <c r="A20" s="34">
        <v>57221</v>
      </c>
      <c r="B20" s="38"/>
      <c r="C20" s="45"/>
      <c r="D20" s="39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35"/>
      <c r="Q20" s="12"/>
      <c r="R20" s="12">
        <v>300000</v>
      </c>
      <c r="S20" s="12"/>
      <c r="T20" s="12">
        <v>294000</v>
      </c>
      <c r="U20" s="41" t="s">
        <v>50</v>
      </c>
      <c r="V20" s="34"/>
    </row>
    <row r="21" spans="1:54" ht="15" customHeight="1" x14ac:dyDescent="0.3">
      <c r="A21" s="34">
        <v>57221</v>
      </c>
      <c r="B21" s="38"/>
      <c r="C21" s="45"/>
      <c r="D21" s="39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35"/>
      <c r="Q21" s="12"/>
      <c r="R21" s="12">
        <v>500000</v>
      </c>
      <c r="S21" s="12"/>
      <c r="T21" s="12">
        <v>490000</v>
      </c>
      <c r="U21" s="41" t="s">
        <v>49</v>
      </c>
      <c r="V21" s="34"/>
    </row>
    <row r="22" spans="1:54" s="15" customFormat="1" ht="15" customHeight="1" x14ac:dyDescent="0.3">
      <c r="A22" s="36"/>
      <c r="B22" s="42"/>
      <c r="C22" s="46"/>
      <c r="D22" s="43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56">
        <f>A23</f>
        <v>57220</v>
      </c>
      <c r="Q22" s="18"/>
      <c r="R22" s="18"/>
      <c r="S22" s="18"/>
      <c r="T22" s="18"/>
      <c r="U22" s="36"/>
      <c r="V22" s="44">
        <f>SUM(O19:O21)-SUM(T18:T21)</f>
        <v>-1764000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</row>
    <row r="23" spans="1:54" ht="15" customHeight="1" x14ac:dyDescent="0.2">
      <c r="A23" s="34">
        <v>57220</v>
      </c>
      <c r="B23" s="38" t="s">
        <v>61</v>
      </c>
      <c r="C23" s="45"/>
      <c r="D23" s="39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35"/>
      <c r="Q23" s="12"/>
      <c r="R23" s="12">
        <v>500000</v>
      </c>
      <c r="S23" s="12"/>
      <c r="T23" s="12">
        <v>490000</v>
      </c>
      <c r="U23" s="40" t="s">
        <v>27</v>
      </c>
      <c r="V23" s="34"/>
    </row>
    <row r="24" spans="1:54" ht="15" customHeight="1" x14ac:dyDescent="0.3">
      <c r="A24" s="34">
        <v>57220</v>
      </c>
      <c r="B24" s="38"/>
      <c r="C24" s="45"/>
      <c r="D24" s="39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35"/>
      <c r="Q24" s="12"/>
      <c r="R24" s="12">
        <v>500000</v>
      </c>
      <c r="S24" s="12"/>
      <c r="T24" s="12">
        <v>490000</v>
      </c>
      <c r="U24" s="41" t="s">
        <v>28</v>
      </c>
      <c r="V24" s="34"/>
    </row>
    <row r="25" spans="1:54" ht="15" customHeight="1" x14ac:dyDescent="0.3">
      <c r="A25" s="34">
        <v>57220</v>
      </c>
      <c r="B25" s="38"/>
      <c r="C25" s="45"/>
      <c r="D25" s="39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35"/>
      <c r="Q25" s="12"/>
      <c r="R25" s="12">
        <v>500000</v>
      </c>
      <c r="S25" s="12"/>
      <c r="T25" s="12">
        <v>490000</v>
      </c>
      <c r="U25" s="41" t="s">
        <v>48</v>
      </c>
      <c r="V25" s="34"/>
    </row>
    <row r="26" spans="1:54" s="15" customFormat="1" ht="15" customHeight="1" x14ac:dyDescent="0.3">
      <c r="A26" s="36"/>
      <c r="B26" s="42"/>
      <c r="C26" s="46"/>
      <c r="D26" s="43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56">
        <f>A27</f>
        <v>57326</v>
      </c>
      <c r="Q26" s="18"/>
      <c r="R26" s="18"/>
      <c r="S26" s="18"/>
      <c r="T26" s="18"/>
      <c r="U26" s="36"/>
      <c r="V26" s="44">
        <f>SUM(O23:O25)-SUM(T23:T25)</f>
        <v>-1470000</v>
      </c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</row>
    <row r="27" spans="1:54" s="70" customFormat="1" ht="15" customHeight="1" x14ac:dyDescent="0.3">
      <c r="A27" s="66">
        <v>57326</v>
      </c>
      <c r="B27" s="76" t="s">
        <v>79</v>
      </c>
      <c r="C27" s="67">
        <v>45085</v>
      </c>
      <c r="D27" s="72">
        <v>15</v>
      </c>
      <c r="E27" s="47">
        <v>727000</v>
      </c>
      <c r="F27" s="47">
        <v>0</v>
      </c>
      <c r="G27" s="47">
        <v>727000</v>
      </c>
      <c r="H27" s="47">
        <v>130860</v>
      </c>
      <c r="I27" s="47">
        <v>857860</v>
      </c>
      <c r="J27" s="47"/>
      <c r="K27" s="47"/>
      <c r="L27" s="47"/>
      <c r="M27" s="47"/>
      <c r="N27" s="47"/>
      <c r="O27" s="47">
        <f>+I27</f>
        <v>857860</v>
      </c>
      <c r="P27" s="68"/>
      <c r="Q27" s="47"/>
      <c r="R27" s="47"/>
      <c r="S27" s="47"/>
      <c r="T27" s="47">
        <v>857860</v>
      </c>
      <c r="U27" s="69" t="s">
        <v>30</v>
      </c>
      <c r="V27" s="66"/>
    </row>
    <row r="28" spans="1:54" s="70" customFormat="1" ht="15" customHeight="1" x14ac:dyDescent="0.3">
      <c r="A28" s="66">
        <v>57326</v>
      </c>
      <c r="B28" s="47"/>
      <c r="C28" s="47"/>
      <c r="D28" s="47"/>
      <c r="E28" s="47"/>
      <c r="F28" s="47"/>
      <c r="G28" s="47">
        <f>ROUND(E28-F28,)</f>
        <v>0</v>
      </c>
      <c r="H28" s="47">
        <f>ROUND(G28*$H$6,0)</f>
        <v>0</v>
      </c>
      <c r="I28" s="47">
        <f>G28+H28</f>
        <v>0</v>
      </c>
      <c r="J28" s="47">
        <f>ROUND(G28*$J$6,)</f>
        <v>0</v>
      </c>
      <c r="K28" s="47">
        <f>ROUND(G28*$K$6,)</f>
        <v>0</v>
      </c>
      <c r="L28" s="47">
        <f>ROUND(G28*$L$6,)</f>
        <v>0</v>
      </c>
      <c r="M28" s="47">
        <f>ROUND(G28*$M$6,)</f>
        <v>0</v>
      </c>
      <c r="N28" s="47">
        <f>H28</f>
        <v>0</v>
      </c>
      <c r="O28" s="47">
        <f>ROUND(I28-SUM(J28:N28),0)</f>
        <v>0</v>
      </c>
      <c r="P28" s="68"/>
      <c r="Q28" s="47"/>
      <c r="R28" s="47"/>
      <c r="S28" s="47"/>
      <c r="T28" s="47"/>
      <c r="U28" s="69"/>
      <c r="V28" s="66"/>
    </row>
    <row r="29" spans="1:54" s="70" customFormat="1" ht="15" customHeight="1" x14ac:dyDescent="0.3">
      <c r="A29" s="66">
        <v>57326</v>
      </c>
      <c r="B29" s="47"/>
      <c r="C29" s="47"/>
      <c r="D29" s="47"/>
      <c r="E29" s="47"/>
      <c r="F29" s="47"/>
      <c r="G29" s="47">
        <f>ROUND(E29-F29,)</f>
        <v>0</v>
      </c>
      <c r="H29" s="47">
        <f>ROUND(G29*$H$6,0)</f>
        <v>0</v>
      </c>
      <c r="I29" s="47">
        <f>G29+H29</f>
        <v>0</v>
      </c>
      <c r="J29" s="47">
        <f>ROUND(G29*$J$6,)</f>
        <v>0</v>
      </c>
      <c r="K29" s="47">
        <f>ROUND(G29*$K$6,)</f>
        <v>0</v>
      </c>
      <c r="L29" s="47">
        <f>ROUND(G29*$L$6,)</f>
        <v>0</v>
      </c>
      <c r="M29" s="47">
        <f>ROUND(G29*$M$6,)</f>
        <v>0</v>
      </c>
      <c r="N29" s="47">
        <f>H29</f>
        <v>0</v>
      </c>
      <c r="O29" s="47">
        <f>ROUND(I29-SUM(J29:N29),0)</f>
        <v>0</v>
      </c>
      <c r="P29" s="68"/>
      <c r="Q29" s="47"/>
      <c r="R29" s="47"/>
      <c r="S29" s="47"/>
      <c r="T29" s="47"/>
      <c r="U29" s="69"/>
      <c r="V29" s="66"/>
    </row>
    <row r="30" spans="1:54" s="15" customFormat="1" ht="15" customHeight="1" x14ac:dyDescent="0.3">
      <c r="A30" s="36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56">
        <f>A31</f>
        <v>55299</v>
      </c>
      <c r="Q30" s="18"/>
      <c r="R30" s="18"/>
      <c r="S30" s="18"/>
      <c r="T30" s="18"/>
      <c r="U30" s="36"/>
      <c r="V30" s="44">
        <f>SUM(O27:O29)-SUM(T27:T29)</f>
        <v>0</v>
      </c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</row>
    <row r="31" spans="1:54" s="70" customFormat="1" ht="15" customHeight="1" x14ac:dyDescent="0.3">
      <c r="A31" s="66">
        <v>55299</v>
      </c>
      <c r="B31" s="47" t="s">
        <v>80</v>
      </c>
      <c r="C31" s="67">
        <v>45062</v>
      </c>
      <c r="D31" s="47">
        <v>10</v>
      </c>
      <c r="E31" s="47">
        <v>241500</v>
      </c>
      <c r="F31" s="47"/>
      <c r="G31" s="47">
        <v>241500</v>
      </c>
      <c r="H31" s="47">
        <f t="shared" ref="H31:H36" si="0">+G31*28%</f>
        <v>67620</v>
      </c>
      <c r="I31" s="47">
        <f t="shared" ref="I31:I36" si="1">+G31+H31</f>
        <v>309120</v>
      </c>
      <c r="J31" s="47"/>
      <c r="K31" s="47"/>
      <c r="L31" s="47"/>
      <c r="M31" s="47"/>
      <c r="N31" s="47"/>
      <c r="O31" s="47">
        <f t="shared" ref="O31:O36" si="2">+I31</f>
        <v>309120</v>
      </c>
      <c r="P31" s="68"/>
      <c r="Q31" s="47"/>
      <c r="R31" s="47"/>
      <c r="S31" s="47"/>
      <c r="T31" s="47">
        <v>640320</v>
      </c>
      <c r="U31" s="69" t="s">
        <v>34</v>
      </c>
      <c r="V31" s="66"/>
    </row>
    <row r="32" spans="1:54" s="70" customFormat="1" ht="15" customHeight="1" x14ac:dyDescent="0.3">
      <c r="A32" s="66">
        <v>55299</v>
      </c>
      <c r="B32" s="47"/>
      <c r="C32" s="67">
        <v>45016</v>
      </c>
      <c r="D32" s="47">
        <v>12</v>
      </c>
      <c r="E32" s="47">
        <v>258750</v>
      </c>
      <c r="F32" s="47"/>
      <c r="G32" s="47">
        <f>+E32</f>
        <v>258750</v>
      </c>
      <c r="H32" s="47">
        <f t="shared" si="0"/>
        <v>72450</v>
      </c>
      <c r="I32" s="47">
        <f t="shared" si="1"/>
        <v>331200</v>
      </c>
      <c r="J32" s="47"/>
      <c r="K32" s="47"/>
      <c r="L32" s="47"/>
      <c r="M32" s="47"/>
      <c r="N32" s="47"/>
      <c r="O32" s="47">
        <f t="shared" si="2"/>
        <v>331200</v>
      </c>
      <c r="P32" s="68"/>
      <c r="Q32" s="47"/>
      <c r="R32" s="47"/>
      <c r="S32" s="47"/>
      <c r="T32" s="47">
        <v>293770</v>
      </c>
      <c r="U32" s="69" t="s">
        <v>35</v>
      </c>
      <c r="V32" s="66"/>
    </row>
    <row r="33" spans="1:22" s="70" customFormat="1" ht="15" customHeight="1" x14ac:dyDescent="0.3">
      <c r="A33" s="66">
        <v>55299</v>
      </c>
      <c r="B33" s="47"/>
      <c r="C33" s="67">
        <v>45091</v>
      </c>
      <c r="D33" s="47">
        <v>9</v>
      </c>
      <c r="E33" s="47">
        <v>229687.5</v>
      </c>
      <c r="F33" s="47"/>
      <c r="G33" s="47">
        <f>+E33</f>
        <v>229687.5</v>
      </c>
      <c r="H33" s="47">
        <f t="shared" si="0"/>
        <v>64312.500000000007</v>
      </c>
      <c r="I33" s="47">
        <f t="shared" si="1"/>
        <v>294000</v>
      </c>
      <c r="J33" s="47"/>
      <c r="K33" s="47"/>
      <c r="L33" s="47"/>
      <c r="M33" s="47"/>
      <c r="N33" s="47"/>
      <c r="O33" s="47">
        <f t="shared" si="2"/>
        <v>294000</v>
      </c>
      <c r="P33" s="68"/>
      <c r="Q33" s="47"/>
      <c r="R33" s="47"/>
      <c r="S33" s="47"/>
      <c r="T33" s="47">
        <v>294969</v>
      </c>
      <c r="U33" s="69" t="s">
        <v>36</v>
      </c>
      <c r="V33" s="66"/>
    </row>
    <row r="34" spans="1:22" s="70" customFormat="1" ht="15" customHeight="1" x14ac:dyDescent="0.3">
      <c r="A34" s="66">
        <v>55299</v>
      </c>
      <c r="B34" s="47"/>
      <c r="C34" s="67">
        <v>45093</v>
      </c>
      <c r="D34" s="47">
        <v>11</v>
      </c>
      <c r="E34" s="47">
        <v>230625</v>
      </c>
      <c r="F34" s="47"/>
      <c r="G34" s="47">
        <f>+E34</f>
        <v>230625</v>
      </c>
      <c r="H34" s="47">
        <f t="shared" si="0"/>
        <v>64575.000000000007</v>
      </c>
      <c r="I34" s="47">
        <f t="shared" si="1"/>
        <v>295200</v>
      </c>
      <c r="J34" s="47"/>
      <c r="K34" s="47"/>
      <c r="L34" s="47"/>
      <c r="M34" s="47"/>
      <c r="N34" s="47"/>
      <c r="O34" s="47">
        <f t="shared" si="2"/>
        <v>295200</v>
      </c>
      <c r="P34" s="68"/>
      <c r="Q34" s="47"/>
      <c r="R34" s="47"/>
      <c r="S34" s="47"/>
      <c r="T34" s="47"/>
      <c r="U34" s="69"/>
      <c r="V34" s="66"/>
    </row>
    <row r="35" spans="1:22" s="70" customFormat="1" ht="15" customHeight="1" x14ac:dyDescent="0.3">
      <c r="A35" s="66">
        <v>55299</v>
      </c>
      <c r="B35" s="47"/>
      <c r="C35" s="67">
        <v>45102</v>
      </c>
      <c r="D35" s="47">
        <v>14</v>
      </c>
      <c r="E35" s="47">
        <v>236250</v>
      </c>
      <c r="F35" s="47"/>
      <c r="G35" s="47">
        <f>+E35</f>
        <v>236250</v>
      </c>
      <c r="H35" s="47">
        <f t="shared" si="0"/>
        <v>66150</v>
      </c>
      <c r="I35" s="47">
        <f t="shared" si="1"/>
        <v>302400</v>
      </c>
      <c r="J35" s="47"/>
      <c r="K35" s="47"/>
      <c r="L35" s="47"/>
      <c r="M35" s="47"/>
      <c r="N35" s="47"/>
      <c r="O35" s="47">
        <f t="shared" si="2"/>
        <v>302400</v>
      </c>
      <c r="P35" s="68"/>
      <c r="Q35" s="47"/>
      <c r="R35" s="47"/>
      <c r="S35" s="47"/>
      <c r="T35" s="47"/>
      <c r="U35" s="69"/>
      <c r="V35" s="66"/>
    </row>
    <row r="36" spans="1:22" s="70" customFormat="1" ht="15" customHeight="1" x14ac:dyDescent="0.3">
      <c r="A36" s="66">
        <v>55299</v>
      </c>
      <c r="B36" s="47"/>
      <c r="C36" s="67">
        <v>45101</v>
      </c>
      <c r="D36" s="47">
        <v>13</v>
      </c>
      <c r="E36" s="47">
        <v>229687.5</v>
      </c>
      <c r="F36" s="47"/>
      <c r="G36" s="47">
        <f>+E36</f>
        <v>229687.5</v>
      </c>
      <c r="H36" s="47">
        <f t="shared" si="0"/>
        <v>64312.500000000007</v>
      </c>
      <c r="I36" s="47">
        <f t="shared" si="1"/>
        <v>294000</v>
      </c>
      <c r="J36" s="47"/>
      <c r="K36" s="47"/>
      <c r="L36" s="47"/>
      <c r="M36" s="47"/>
      <c r="N36" s="47"/>
      <c r="O36" s="47">
        <f t="shared" si="2"/>
        <v>294000</v>
      </c>
      <c r="P36" s="68"/>
      <c r="Q36" s="47"/>
      <c r="R36" s="47"/>
      <c r="S36" s="47"/>
      <c r="T36" s="47"/>
      <c r="U36" s="69"/>
      <c r="V36" s="66"/>
    </row>
    <row r="37" spans="1:22" s="70" customFormat="1" ht="15" customHeight="1" x14ac:dyDescent="0.3">
      <c r="A37" s="66">
        <v>55299</v>
      </c>
      <c r="B37" s="47"/>
      <c r="C37" s="67">
        <v>45089</v>
      </c>
      <c r="D37" s="47">
        <v>12</v>
      </c>
      <c r="E37" s="47">
        <v>229687.5</v>
      </c>
      <c r="F37" s="47"/>
      <c r="G37" s="47">
        <f>E37-F37</f>
        <v>229687.5</v>
      </c>
      <c r="H37" s="47">
        <f>G37*28%</f>
        <v>64312.500000000007</v>
      </c>
      <c r="I37" s="47">
        <f>G37+H37</f>
        <v>294000</v>
      </c>
      <c r="J37" s="47"/>
      <c r="K37" s="47"/>
      <c r="L37" s="47"/>
      <c r="M37" s="47"/>
      <c r="N37" s="47"/>
      <c r="O37" s="47">
        <f>I37</f>
        <v>294000</v>
      </c>
      <c r="P37" s="68"/>
      <c r="Q37" s="47"/>
      <c r="R37" s="47"/>
      <c r="S37" s="47"/>
      <c r="T37" s="47"/>
      <c r="U37" s="69"/>
      <c r="V37" s="66"/>
    </row>
    <row r="38" spans="1:22" s="70" customFormat="1" ht="15" customHeight="1" x14ac:dyDescent="0.3">
      <c r="A38" s="66">
        <v>55299</v>
      </c>
      <c r="B38" s="47" t="s">
        <v>81</v>
      </c>
      <c r="C38" s="67">
        <v>45089</v>
      </c>
      <c r="D38" s="47">
        <v>12</v>
      </c>
      <c r="E38" s="47">
        <v>-229687.5</v>
      </c>
      <c r="F38" s="47"/>
      <c r="G38" s="47">
        <f>E38-F38</f>
        <v>-229687.5</v>
      </c>
      <c r="H38" s="47">
        <f>G38*28%</f>
        <v>-64312.500000000007</v>
      </c>
      <c r="I38" s="47">
        <f>G38+H38</f>
        <v>-294000</v>
      </c>
      <c r="J38" s="47"/>
      <c r="K38" s="47"/>
      <c r="L38" s="47"/>
      <c r="M38" s="47"/>
      <c r="N38" s="47"/>
      <c r="O38" s="47">
        <f>I38</f>
        <v>-294000</v>
      </c>
      <c r="P38" s="68"/>
      <c r="Q38" s="47"/>
      <c r="R38" s="47"/>
      <c r="S38" s="47"/>
      <c r="T38" s="47"/>
      <c r="U38" s="69"/>
      <c r="V38" s="71">
        <f>SUM(O31:O40)-SUM(T31:T37)</f>
        <v>601060.9487999999</v>
      </c>
    </row>
    <row r="39" spans="1:22" s="70" customFormat="1" ht="15" customHeight="1" x14ac:dyDescent="0.3">
      <c r="A39" s="66">
        <v>55299</v>
      </c>
      <c r="B39" s="47" t="s">
        <v>81</v>
      </c>
      <c r="C39" s="67">
        <v>45101</v>
      </c>
      <c r="D39" s="47">
        <v>13</v>
      </c>
      <c r="E39" s="47">
        <v>-229687.5</v>
      </c>
      <c r="F39" s="47"/>
      <c r="G39" s="47">
        <f>E39-F39</f>
        <v>-229687.5</v>
      </c>
      <c r="H39" s="47">
        <f>G39*28%</f>
        <v>-64312.500000000007</v>
      </c>
      <c r="I39" s="47">
        <f>G39+H39</f>
        <v>-294000</v>
      </c>
      <c r="J39" s="47"/>
      <c r="K39" s="47"/>
      <c r="L39" s="47"/>
      <c r="M39" s="47"/>
      <c r="N39" s="47"/>
      <c r="O39" s="47">
        <f>I39</f>
        <v>-294000</v>
      </c>
      <c r="P39" s="68"/>
      <c r="Q39" s="47"/>
      <c r="R39" s="47"/>
      <c r="S39" s="47"/>
      <c r="T39" s="47"/>
      <c r="U39" s="69"/>
      <c r="V39" s="66"/>
    </row>
    <row r="40" spans="1:22" s="70" customFormat="1" ht="15" customHeight="1" x14ac:dyDescent="0.3">
      <c r="A40" s="66">
        <v>55299</v>
      </c>
      <c r="B40" s="47"/>
      <c r="C40" s="67">
        <v>45064</v>
      </c>
      <c r="D40" s="47">
        <v>2</v>
      </c>
      <c r="E40" s="47">
        <v>232968.71</v>
      </c>
      <c r="F40" s="47"/>
      <c r="G40" s="47">
        <f>E40-F40</f>
        <v>232968.71</v>
      </c>
      <c r="H40" s="47">
        <f>G40*28%</f>
        <v>65231.238800000006</v>
      </c>
      <c r="I40" s="47">
        <f>G40+H40</f>
        <v>298199.94880000001</v>
      </c>
      <c r="J40" s="47"/>
      <c r="K40" s="47"/>
      <c r="L40" s="47"/>
      <c r="M40" s="47"/>
      <c r="N40" s="47"/>
      <c r="O40" s="47">
        <f>I40</f>
        <v>298199.94880000001</v>
      </c>
      <c r="P40" s="68"/>
      <c r="Q40" s="47"/>
      <c r="R40" s="47"/>
      <c r="S40" s="47"/>
      <c r="T40" s="47"/>
      <c r="U40" s="69"/>
      <c r="V40" s="66"/>
    </row>
    <row r="41" spans="1:22" s="70" customFormat="1" ht="15" customHeight="1" x14ac:dyDescent="0.3">
      <c r="A41" s="66">
        <v>55299</v>
      </c>
      <c r="B41" s="72"/>
      <c r="C41" s="72"/>
      <c r="D41" s="72"/>
      <c r="E41" s="73"/>
      <c r="F41" s="73"/>
      <c r="G41" s="73"/>
      <c r="H41" s="47"/>
      <c r="I41" s="47"/>
      <c r="J41" s="47"/>
      <c r="K41" s="47"/>
      <c r="L41" s="47"/>
      <c r="M41" s="47"/>
      <c r="N41" s="47"/>
      <c r="O41" s="47"/>
      <c r="P41" s="68"/>
      <c r="Q41" s="47"/>
      <c r="R41" s="47"/>
      <c r="S41" s="47"/>
      <c r="T41" s="47"/>
      <c r="U41" s="47"/>
      <c r="V41" s="66"/>
    </row>
    <row r="42" spans="1:22" s="70" customFormat="1" ht="15" customHeight="1" x14ac:dyDescent="0.3">
      <c r="A42" s="66">
        <v>55299</v>
      </c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66"/>
    </row>
    <row r="43" spans="1:22" s="70" customFormat="1" ht="15" customHeight="1" thickBot="1" x14ac:dyDescent="0.35">
      <c r="A43" s="66">
        <v>55299</v>
      </c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5"/>
    </row>
    <row r="44" spans="1:22" ht="15" customHeight="1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29"/>
      <c r="L44" s="53"/>
      <c r="M44" s="54"/>
      <c r="N44" s="54" t="s">
        <v>17</v>
      </c>
      <c r="O44" s="54">
        <f>SUM(O8:O41)</f>
        <v>2687979.9487999999</v>
      </c>
      <c r="P44" s="54"/>
      <c r="Q44" s="54"/>
      <c r="R44" s="54"/>
      <c r="S44" s="54"/>
      <c r="T44" s="54">
        <f>SUM(T6:T43)</f>
        <v>9436919</v>
      </c>
      <c r="U44" s="53"/>
      <c r="V44" s="54">
        <f>SUM(V6:V41)</f>
        <v>-6748939.0512000006</v>
      </c>
    </row>
    <row r="45" spans="1:22" ht="15" customHeight="1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34"/>
    </row>
    <row r="46" spans="1:22" ht="15" customHeight="1" thickBot="1" x14ac:dyDescent="0.3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48">
        <f>O44-T44</f>
        <v>-6748939.0512000006</v>
      </c>
      <c r="U46" s="13"/>
      <c r="V46" s="49"/>
    </row>
    <row r="49" spans="20:20" ht="15" customHeight="1" x14ac:dyDescent="0.3">
      <c r="T49" s="57">
        <f>T46+EMI!T28</f>
        <v>3653010.9487999994</v>
      </c>
    </row>
  </sheetData>
  <pageMargins left="0.38" right="0.22" top="0.74803149606299213" bottom="0.74803149606299213" header="0.31496062992125984" footer="0.31496062992125984"/>
  <pageSetup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D2:G7"/>
  <sheetViews>
    <sheetView workbookViewId="0">
      <selection activeCell="E7" sqref="E7"/>
    </sheetView>
  </sheetViews>
  <sheetFormatPr defaultRowHeight="14.4" x14ac:dyDescent="0.3"/>
  <cols>
    <col min="4" max="4" width="13.88671875" bestFit="1" customWidth="1"/>
    <col min="5" max="6" width="14.33203125" bestFit="1" customWidth="1"/>
    <col min="7" max="7" width="13.44140625" bestFit="1" customWidth="1"/>
  </cols>
  <sheetData>
    <row r="2" spans="4:7" ht="15" thickBot="1" x14ac:dyDescent="0.35"/>
    <row r="3" spans="4:7" ht="15" thickBot="1" x14ac:dyDescent="0.35">
      <c r="D3" s="77" t="s">
        <v>42</v>
      </c>
      <c r="E3" s="78"/>
      <c r="F3" s="79"/>
    </row>
    <row r="4" spans="4:7" ht="15" thickBot="1" x14ac:dyDescent="0.35"/>
    <row r="5" spans="4:7" x14ac:dyDescent="0.3">
      <c r="D5" s="20"/>
      <c r="E5" s="21" t="s">
        <v>39</v>
      </c>
      <c r="F5" s="21" t="s">
        <v>40</v>
      </c>
      <c r="G5" s="22" t="s">
        <v>41</v>
      </c>
    </row>
    <row r="6" spans="4:7" x14ac:dyDescent="0.3">
      <c r="D6" s="23" t="s">
        <v>37</v>
      </c>
      <c r="E6" s="19">
        <f>+Civil!O44</f>
        <v>2687979.9487999999</v>
      </c>
      <c r="F6" s="19">
        <f>+Civil!T44</f>
        <v>9436919</v>
      </c>
      <c r="G6" s="24">
        <f>+Civil!T46</f>
        <v>-6748939.0512000006</v>
      </c>
    </row>
    <row r="7" spans="4:7" ht="15" thickBot="1" x14ac:dyDescent="0.35">
      <c r="D7" s="25" t="s">
        <v>38</v>
      </c>
      <c r="E7" s="26">
        <v>30519733</v>
      </c>
      <c r="F7" s="26">
        <v>25477856.989999998</v>
      </c>
      <c r="G7" s="27">
        <f>+F7-E7</f>
        <v>-5041876.0100000016</v>
      </c>
    </row>
  </sheetData>
  <mergeCells count="1">
    <mergeCell ref="D3:F3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8"/>
  <sheetViews>
    <sheetView topLeftCell="C1" workbookViewId="0">
      <selection activeCell="O26" sqref="O26"/>
    </sheetView>
  </sheetViews>
  <sheetFormatPr defaultRowHeight="14.4" x14ac:dyDescent="0.3"/>
  <cols>
    <col min="1" max="1" width="6" bestFit="1" customWidth="1"/>
    <col min="2" max="2" width="16.109375" bestFit="1" customWidth="1"/>
    <col min="3" max="3" width="11.6640625" bestFit="1" customWidth="1"/>
    <col min="4" max="4" width="9.88671875" bestFit="1" customWidth="1"/>
    <col min="5" max="5" width="12.109375" bestFit="1" customWidth="1"/>
    <col min="6" max="6" width="6.33203125" bestFit="1" customWidth="1"/>
    <col min="7" max="7" width="15.44140625" bestFit="1" customWidth="1"/>
    <col min="8" max="8" width="11.44140625" bestFit="1" customWidth="1"/>
    <col min="9" max="9" width="12.109375" bestFit="1" customWidth="1"/>
    <col min="10" max="10" width="8.88671875" bestFit="1" customWidth="1"/>
    <col min="11" max="11" width="7.6640625" bestFit="1" customWidth="1"/>
    <col min="12" max="12" width="15" bestFit="1" customWidth="1"/>
    <col min="13" max="13" width="14" bestFit="1" customWidth="1"/>
    <col min="14" max="14" width="12.88671875" bestFit="1" customWidth="1"/>
    <col min="15" max="15" width="15.44140625" bestFit="1" customWidth="1"/>
    <col min="16" max="16" width="6" bestFit="1" customWidth="1"/>
    <col min="17" max="17" width="19.44140625" bestFit="1" customWidth="1"/>
    <col min="18" max="18" width="7" bestFit="1" customWidth="1"/>
    <col min="19" max="19" width="35.109375" bestFit="1" customWidth="1"/>
    <col min="20" max="20" width="16.109375" bestFit="1" customWidth="1"/>
    <col min="21" max="21" width="87.33203125" bestFit="1" customWidth="1"/>
    <col min="22" max="22" width="5.88671875" bestFit="1" customWidth="1"/>
  </cols>
  <sheetData>
    <row r="1" spans="1:22" ht="15" thickBot="1" x14ac:dyDescent="0.35"/>
    <row r="2" spans="1:22" s="3" customFormat="1" ht="15" customHeight="1" x14ac:dyDescent="0.3">
      <c r="A2" s="29"/>
      <c r="B2" s="30" t="s">
        <v>0</v>
      </c>
      <c r="C2" s="30" t="s">
        <v>1</v>
      </c>
      <c r="D2" s="30" t="s">
        <v>2</v>
      </c>
      <c r="E2" s="30" t="s">
        <v>3</v>
      </c>
      <c r="F2" s="30" t="s">
        <v>14</v>
      </c>
      <c r="G2" s="31" t="s">
        <v>15</v>
      </c>
      <c r="H2" s="32" t="s">
        <v>4</v>
      </c>
      <c r="I2" s="33" t="s">
        <v>5</v>
      </c>
      <c r="J2" s="31" t="s">
        <v>12</v>
      </c>
      <c r="K2" s="31" t="s">
        <v>11</v>
      </c>
      <c r="L2" s="31" t="s">
        <v>16</v>
      </c>
      <c r="M2" s="31" t="s">
        <v>19</v>
      </c>
      <c r="N2" s="31" t="s">
        <v>6</v>
      </c>
      <c r="O2" s="31" t="s">
        <v>7</v>
      </c>
      <c r="P2" s="31"/>
      <c r="Q2" s="31" t="s">
        <v>8</v>
      </c>
      <c r="R2" s="31" t="s">
        <v>5</v>
      </c>
      <c r="S2" s="31" t="s">
        <v>13</v>
      </c>
      <c r="T2" s="31" t="s">
        <v>9</v>
      </c>
      <c r="U2" s="31" t="s">
        <v>10</v>
      </c>
      <c r="V2" s="29"/>
    </row>
    <row r="3" spans="1:22" s="3" customFormat="1" ht="15" customHeight="1" thickBot="1" x14ac:dyDescent="0.35">
      <c r="A3" s="49"/>
      <c r="B3" s="13"/>
      <c r="C3" s="13"/>
      <c r="D3" s="13"/>
      <c r="E3" s="13"/>
      <c r="F3" s="13"/>
      <c r="G3" s="13"/>
      <c r="H3" s="51">
        <v>0.18</v>
      </c>
      <c r="I3" s="13"/>
      <c r="J3" s="51">
        <v>0.01</v>
      </c>
      <c r="K3" s="51">
        <v>0.05</v>
      </c>
      <c r="L3" s="51">
        <v>0</v>
      </c>
      <c r="M3" s="51">
        <v>0.1</v>
      </c>
      <c r="N3" s="51">
        <v>0.18</v>
      </c>
      <c r="O3" s="13"/>
      <c r="P3" s="52"/>
      <c r="Q3" s="13"/>
      <c r="R3" s="13"/>
      <c r="S3" s="51">
        <v>0.01</v>
      </c>
      <c r="T3" s="13"/>
      <c r="U3" s="13"/>
      <c r="V3" s="49"/>
    </row>
    <row r="4" spans="1:22" s="15" customFormat="1" ht="15" customHeight="1" x14ac:dyDescent="0.3">
      <c r="A4" s="36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37">
        <f>A5</f>
        <v>55997</v>
      </c>
      <c r="Q4" s="18"/>
      <c r="R4" s="18"/>
      <c r="S4" s="18"/>
      <c r="T4" s="18"/>
      <c r="U4" s="36"/>
      <c r="V4" s="44" t="e">
        <f>SUM(#REF!)-SUM(#REF!)</f>
        <v>#REF!</v>
      </c>
    </row>
    <row r="5" spans="1:22" s="3" customFormat="1" ht="15" customHeight="1" x14ac:dyDescent="0.3">
      <c r="A5" s="34">
        <v>55997</v>
      </c>
      <c r="B5" s="12" t="s">
        <v>31</v>
      </c>
      <c r="C5" s="45">
        <v>45142</v>
      </c>
      <c r="D5" s="12">
        <v>55</v>
      </c>
      <c r="E5" s="12">
        <v>1755250</v>
      </c>
      <c r="F5" s="12">
        <v>0</v>
      </c>
      <c r="G5" s="12">
        <v>1755250</v>
      </c>
      <c r="H5" s="12">
        <v>315945</v>
      </c>
      <c r="I5" s="12">
        <v>2071195</v>
      </c>
      <c r="J5" s="12">
        <v>0</v>
      </c>
      <c r="K5" s="12">
        <v>0</v>
      </c>
      <c r="L5" s="12">
        <v>0</v>
      </c>
      <c r="M5" s="12">
        <v>0</v>
      </c>
      <c r="N5" s="12">
        <v>315945</v>
      </c>
      <c r="O5" s="12">
        <v>2071195</v>
      </c>
      <c r="P5" s="35"/>
      <c r="Q5" s="12"/>
      <c r="R5" s="12"/>
      <c r="S5" s="12"/>
      <c r="T5" s="12">
        <v>1498500</v>
      </c>
      <c r="U5" s="41" t="s">
        <v>32</v>
      </c>
      <c r="V5" s="34"/>
    </row>
    <row r="6" spans="1:22" s="3" customFormat="1" ht="15" customHeight="1" x14ac:dyDescent="0.3">
      <c r="A6" s="34"/>
      <c r="B6" s="12"/>
      <c r="C6" s="45">
        <v>45142</v>
      </c>
      <c r="D6" s="12">
        <v>56</v>
      </c>
      <c r="E6" s="12">
        <v>1265500</v>
      </c>
      <c r="F6" s="12">
        <v>0</v>
      </c>
      <c r="G6" s="12">
        <v>1265500</v>
      </c>
      <c r="H6" s="12">
        <v>227790</v>
      </c>
      <c r="I6" s="12">
        <v>1493290</v>
      </c>
      <c r="J6" s="12">
        <v>0</v>
      </c>
      <c r="K6" s="12">
        <v>0</v>
      </c>
      <c r="L6" s="12">
        <v>0</v>
      </c>
      <c r="M6" s="12">
        <v>0</v>
      </c>
      <c r="N6" s="12">
        <v>227790</v>
      </c>
      <c r="O6" s="12">
        <v>1493290</v>
      </c>
      <c r="P6" s="35"/>
      <c r="Q6" s="12"/>
      <c r="R6" s="12"/>
      <c r="S6" s="12"/>
      <c r="T6" s="12">
        <v>7228458</v>
      </c>
      <c r="U6" s="41" t="s">
        <v>33</v>
      </c>
      <c r="V6" s="34"/>
    </row>
    <row r="7" spans="1:22" s="3" customFormat="1" ht="15" customHeight="1" x14ac:dyDescent="0.3">
      <c r="A7" s="34"/>
      <c r="B7" s="12"/>
      <c r="C7" s="12"/>
      <c r="D7" s="12">
        <v>57</v>
      </c>
      <c r="E7" s="12">
        <v>1506500</v>
      </c>
      <c r="F7" s="12"/>
      <c r="G7" s="12">
        <v>1506500</v>
      </c>
      <c r="H7" s="12">
        <v>271170</v>
      </c>
      <c r="I7" s="12">
        <v>1777670</v>
      </c>
      <c r="J7" s="12">
        <v>0</v>
      </c>
      <c r="K7" s="12">
        <v>0</v>
      </c>
      <c r="L7" s="12">
        <v>0</v>
      </c>
      <c r="M7" s="12">
        <v>0</v>
      </c>
      <c r="N7" s="12">
        <v>271170</v>
      </c>
      <c r="O7" s="12">
        <v>1777670</v>
      </c>
      <c r="P7" s="35"/>
      <c r="Q7" s="12"/>
      <c r="R7" s="12"/>
      <c r="S7" s="12"/>
      <c r="T7" s="12">
        <v>2497500</v>
      </c>
      <c r="U7" s="41" t="s">
        <v>52</v>
      </c>
      <c r="V7" s="34"/>
    </row>
    <row r="8" spans="1:22" s="3" customFormat="1" ht="15" customHeight="1" x14ac:dyDescent="0.3">
      <c r="A8" s="34"/>
      <c r="B8" s="12"/>
      <c r="C8" s="12"/>
      <c r="D8" s="12">
        <v>58</v>
      </c>
      <c r="E8" s="12">
        <v>1119500</v>
      </c>
      <c r="F8" s="12"/>
      <c r="G8" s="12">
        <v>1119500</v>
      </c>
      <c r="H8" s="12">
        <v>201510</v>
      </c>
      <c r="I8" s="12">
        <v>1321010</v>
      </c>
      <c r="J8" s="12">
        <v>0</v>
      </c>
      <c r="K8" s="12">
        <v>0</v>
      </c>
      <c r="L8" s="12">
        <v>0</v>
      </c>
      <c r="M8" s="12">
        <v>0</v>
      </c>
      <c r="N8" s="12">
        <v>201510</v>
      </c>
      <c r="O8" s="12">
        <v>1321010</v>
      </c>
      <c r="P8" s="35"/>
      <c r="Q8" s="12"/>
      <c r="R8" s="12"/>
      <c r="S8" s="12"/>
      <c r="T8" s="12">
        <v>1998000</v>
      </c>
      <c r="U8" s="41" t="s">
        <v>53</v>
      </c>
      <c r="V8" s="34"/>
    </row>
    <row r="9" spans="1:22" s="3" customFormat="1" ht="15" customHeight="1" x14ac:dyDescent="0.3">
      <c r="A9" s="34"/>
      <c r="B9" s="12"/>
      <c r="C9" s="12"/>
      <c r="D9" s="12">
        <v>59</v>
      </c>
      <c r="E9" s="12">
        <v>1755250</v>
      </c>
      <c r="F9" s="12"/>
      <c r="G9" s="12">
        <v>1755250</v>
      </c>
      <c r="H9" s="12">
        <v>315945</v>
      </c>
      <c r="I9" s="12">
        <v>2071195</v>
      </c>
      <c r="J9" s="12">
        <v>0</v>
      </c>
      <c r="K9" s="12">
        <v>0</v>
      </c>
      <c r="L9" s="12">
        <v>0</v>
      </c>
      <c r="M9" s="12">
        <v>0</v>
      </c>
      <c r="N9" s="12">
        <v>315945</v>
      </c>
      <c r="O9" s="12">
        <v>2071195</v>
      </c>
      <c r="P9" s="35"/>
      <c r="Q9" s="12"/>
      <c r="R9" s="12"/>
      <c r="S9" s="12"/>
      <c r="T9" s="12">
        <v>1679512</v>
      </c>
      <c r="U9" s="41" t="s">
        <v>54</v>
      </c>
      <c r="V9" s="34"/>
    </row>
    <row r="10" spans="1:22" s="3" customFormat="1" ht="15" customHeight="1" x14ac:dyDescent="0.3">
      <c r="A10" s="34"/>
      <c r="B10" s="12"/>
      <c r="C10" s="12"/>
      <c r="D10" s="12">
        <v>77</v>
      </c>
      <c r="E10" s="12">
        <v>1776750</v>
      </c>
      <c r="F10" s="12"/>
      <c r="G10" s="12">
        <v>1755250</v>
      </c>
      <c r="H10" s="12">
        <v>315945</v>
      </c>
      <c r="I10" s="12">
        <v>2071195</v>
      </c>
      <c r="J10" s="12">
        <v>0</v>
      </c>
      <c r="K10" s="12">
        <v>0</v>
      </c>
      <c r="L10" s="12">
        <v>0</v>
      </c>
      <c r="M10" s="12">
        <v>0</v>
      </c>
      <c r="N10" s="12">
        <v>315945</v>
      </c>
      <c r="O10" s="12">
        <v>2071195</v>
      </c>
      <c r="P10" s="35"/>
      <c r="Q10" s="12"/>
      <c r="R10" s="12"/>
      <c r="S10" s="12"/>
      <c r="T10" s="12"/>
      <c r="U10" s="41"/>
      <c r="V10" s="34"/>
    </row>
    <row r="11" spans="1:22" s="3" customFormat="1" ht="15" customHeight="1" x14ac:dyDescent="0.3">
      <c r="A11" s="34"/>
      <c r="B11" s="12"/>
      <c r="C11" s="12"/>
      <c r="D11" s="12">
        <v>76</v>
      </c>
      <c r="E11" s="12">
        <v>2017750</v>
      </c>
      <c r="F11" s="12"/>
      <c r="G11" s="12">
        <v>1755250</v>
      </c>
      <c r="H11" s="12">
        <v>315945</v>
      </c>
      <c r="I11" s="12">
        <v>2071195</v>
      </c>
      <c r="J11" s="12">
        <v>0</v>
      </c>
      <c r="K11" s="12">
        <v>0</v>
      </c>
      <c r="L11" s="12">
        <v>0</v>
      </c>
      <c r="M11" s="12">
        <v>0</v>
      </c>
      <c r="N11" s="12">
        <v>315945</v>
      </c>
      <c r="O11" s="12">
        <v>2071195</v>
      </c>
      <c r="P11" s="35"/>
      <c r="Q11" s="12"/>
      <c r="R11" s="12"/>
      <c r="S11" s="12"/>
      <c r="T11" s="12"/>
      <c r="U11" s="41"/>
      <c r="V11" s="34"/>
    </row>
    <row r="12" spans="1:22" s="3" customFormat="1" ht="15" customHeight="1" x14ac:dyDescent="0.3">
      <c r="A12" s="34"/>
      <c r="B12" s="12"/>
      <c r="C12" s="12"/>
      <c r="D12" s="12">
        <v>106</v>
      </c>
      <c r="E12" s="12">
        <v>449000</v>
      </c>
      <c r="F12" s="12"/>
      <c r="G12" s="12">
        <v>1755250</v>
      </c>
      <c r="H12" s="12">
        <v>315945</v>
      </c>
      <c r="I12" s="12">
        <v>2071195</v>
      </c>
      <c r="J12" s="12">
        <v>0</v>
      </c>
      <c r="K12" s="12">
        <v>0</v>
      </c>
      <c r="L12" s="12">
        <v>0</v>
      </c>
      <c r="M12" s="12">
        <v>0</v>
      </c>
      <c r="N12" s="12">
        <v>315945</v>
      </c>
      <c r="O12" s="12">
        <v>2071195</v>
      </c>
      <c r="P12" s="35"/>
      <c r="Q12" s="12"/>
      <c r="R12" s="12"/>
      <c r="S12" s="12"/>
      <c r="T12" s="12"/>
      <c r="U12" s="41"/>
      <c r="V12" s="34"/>
    </row>
    <row r="13" spans="1:22" s="3" customFormat="1" ht="15" customHeight="1" x14ac:dyDescent="0.3">
      <c r="A13" s="34"/>
      <c r="B13" s="12"/>
      <c r="C13" s="12"/>
      <c r="D13" s="12">
        <v>115</v>
      </c>
      <c r="E13" s="12">
        <v>221000</v>
      </c>
      <c r="F13" s="12"/>
      <c r="G13" s="12">
        <v>1755250</v>
      </c>
      <c r="H13" s="12">
        <v>315945</v>
      </c>
      <c r="I13" s="12">
        <v>2071195</v>
      </c>
      <c r="J13" s="12">
        <v>0</v>
      </c>
      <c r="K13" s="12">
        <v>0</v>
      </c>
      <c r="L13" s="12">
        <v>0</v>
      </c>
      <c r="M13" s="12">
        <v>0</v>
      </c>
      <c r="N13" s="12">
        <v>315945</v>
      </c>
      <c r="O13" s="12">
        <v>2071195</v>
      </c>
      <c r="P13" s="35"/>
      <c r="Q13" s="12"/>
      <c r="R13" s="12"/>
      <c r="S13" s="12"/>
      <c r="T13" s="12"/>
      <c r="U13" s="41"/>
      <c r="V13" s="34"/>
    </row>
    <row r="14" spans="1:22" s="3" customFormat="1" ht="15" customHeight="1" x14ac:dyDescent="0.3">
      <c r="A14" s="34"/>
      <c r="B14" s="12"/>
      <c r="C14" s="12"/>
      <c r="D14" s="12">
        <v>116</v>
      </c>
      <c r="E14" s="12">
        <v>241000</v>
      </c>
      <c r="F14" s="12"/>
      <c r="G14" s="12">
        <v>1755250</v>
      </c>
      <c r="H14" s="12">
        <v>315945</v>
      </c>
      <c r="I14" s="12">
        <v>2071195</v>
      </c>
      <c r="J14" s="12">
        <v>0</v>
      </c>
      <c r="K14" s="12">
        <v>0</v>
      </c>
      <c r="L14" s="12">
        <v>0</v>
      </c>
      <c r="M14" s="12">
        <v>0</v>
      </c>
      <c r="N14" s="12">
        <v>315945</v>
      </c>
      <c r="O14" s="12">
        <v>2071195</v>
      </c>
      <c r="P14" s="35"/>
      <c r="Q14" s="12"/>
      <c r="R14" s="12"/>
      <c r="S14" s="12"/>
      <c r="T14" s="12"/>
      <c r="U14" s="41"/>
      <c r="V14" s="34"/>
    </row>
    <row r="15" spans="1:22" s="3" customFormat="1" ht="15" customHeight="1" x14ac:dyDescent="0.3">
      <c r="A15" s="34"/>
      <c r="B15" s="12"/>
      <c r="C15" s="12"/>
      <c r="D15" s="12">
        <v>117</v>
      </c>
      <c r="E15" s="12">
        <v>241000</v>
      </c>
      <c r="F15" s="12"/>
      <c r="G15" s="12">
        <v>1755250</v>
      </c>
      <c r="H15" s="12">
        <v>315945</v>
      </c>
      <c r="I15" s="12">
        <v>2071195</v>
      </c>
      <c r="J15" s="12">
        <v>0</v>
      </c>
      <c r="K15" s="12">
        <v>0</v>
      </c>
      <c r="L15" s="12">
        <v>0</v>
      </c>
      <c r="M15" s="12">
        <v>0</v>
      </c>
      <c r="N15" s="12">
        <v>315945</v>
      </c>
      <c r="O15" s="12">
        <v>2071195</v>
      </c>
      <c r="P15" s="35"/>
      <c r="Q15" s="12"/>
      <c r="R15" s="12"/>
      <c r="S15" s="12"/>
      <c r="T15" s="12"/>
      <c r="U15" s="41"/>
      <c r="V15" s="34"/>
    </row>
    <row r="16" spans="1:22" s="3" customFormat="1" ht="15" customHeight="1" x14ac:dyDescent="0.3">
      <c r="A16" s="34"/>
      <c r="B16" s="12"/>
      <c r="C16" s="12"/>
      <c r="D16" s="12">
        <v>118</v>
      </c>
      <c r="E16" s="12">
        <v>419000</v>
      </c>
      <c r="F16" s="12"/>
      <c r="G16" s="12">
        <v>1755250</v>
      </c>
      <c r="H16" s="12">
        <v>315945</v>
      </c>
      <c r="I16" s="12">
        <v>2071195</v>
      </c>
      <c r="J16" s="12">
        <v>0</v>
      </c>
      <c r="K16" s="12">
        <v>0</v>
      </c>
      <c r="L16" s="12">
        <v>0</v>
      </c>
      <c r="M16" s="12">
        <v>0</v>
      </c>
      <c r="N16" s="12">
        <v>315945</v>
      </c>
      <c r="O16" s="12">
        <v>2071195</v>
      </c>
      <c r="P16" s="35"/>
      <c r="Q16" s="12"/>
      <c r="R16" s="12"/>
      <c r="S16" s="12"/>
      <c r="T16" s="12"/>
      <c r="U16" s="41"/>
      <c r="V16" s="34"/>
    </row>
    <row r="17" spans="1:22" s="3" customFormat="1" ht="15" customHeight="1" x14ac:dyDescent="0.3">
      <c r="A17" s="34"/>
      <c r="B17" s="12"/>
      <c r="C17" s="12"/>
      <c r="D17" s="12">
        <v>119</v>
      </c>
      <c r="E17" s="12">
        <v>419000</v>
      </c>
      <c r="F17" s="12"/>
      <c r="G17" s="12">
        <v>1755250</v>
      </c>
      <c r="H17" s="12">
        <v>315945</v>
      </c>
      <c r="I17" s="12">
        <v>2071195</v>
      </c>
      <c r="J17" s="12">
        <v>0</v>
      </c>
      <c r="K17" s="12">
        <v>0</v>
      </c>
      <c r="L17" s="12">
        <v>0</v>
      </c>
      <c r="M17" s="12">
        <v>0</v>
      </c>
      <c r="N17" s="12">
        <v>315945</v>
      </c>
      <c r="O17" s="12">
        <v>2071195</v>
      </c>
      <c r="P17" s="35"/>
      <c r="Q17" s="12"/>
      <c r="R17" s="12"/>
      <c r="S17" s="12"/>
      <c r="T17" s="12"/>
      <c r="U17" s="41"/>
      <c r="V17" s="34"/>
    </row>
    <row r="18" spans="1:22" s="3" customFormat="1" ht="15" customHeight="1" x14ac:dyDescent="0.3">
      <c r="A18" s="34"/>
      <c r="B18" s="12" t="s">
        <v>55</v>
      </c>
      <c r="C18" s="12"/>
      <c r="D18" s="12">
        <v>146</v>
      </c>
      <c r="E18" s="12">
        <v>60000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35"/>
      <c r="Q18" s="12"/>
      <c r="R18" s="12"/>
      <c r="S18" s="12"/>
      <c r="T18" s="12"/>
      <c r="U18" s="41"/>
      <c r="V18" s="34"/>
    </row>
    <row r="19" spans="1:22" s="3" customFormat="1" ht="15" customHeight="1" x14ac:dyDescent="0.3">
      <c r="A19" s="34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35"/>
      <c r="Q19" s="12"/>
      <c r="R19" s="12"/>
      <c r="S19" s="12"/>
      <c r="T19" s="12"/>
      <c r="U19" s="41"/>
      <c r="V19" s="34"/>
    </row>
    <row r="20" spans="1:22" s="3" customFormat="1" ht="15" customHeight="1" x14ac:dyDescent="0.3">
      <c r="A20" s="34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35"/>
      <c r="Q20" s="12"/>
      <c r="R20" s="12"/>
      <c r="S20" s="12"/>
      <c r="T20" s="12"/>
      <c r="U20" s="41"/>
      <c r="V20" s="34"/>
    </row>
    <row r="21" spans="1:22" s="3" customFormat="1" ht="15" customHeight="1" x14ac:dyDescent="0.3">
      <c r="A21" s="3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35"/>
      <c r="Q21" s="12"/>
      <c r="R21" s="12"/>
      <c r="S21" s="12"/>
      <c r="T21" s="12"/>
      <c r="U21" s="41"/>
      <c r="V21" s="34"/>
    </row>
    <row r="22" spans="1:22" s="15" customFormat="1" ht="15" customHeight="1" x14ac:dyDescent="0.3">
      <c r="A22" s="36"/>
      <c r="B22" s="42"/>
      <c r="C22" s="46"/>
      <c r="D22" s="43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37">
        <f>A23</f>
        <v>57326</v>
      </c>
      <c r="Q22" s="18"/>
      <c r="R22" s="18"/>
      <c r="S22" s="18"/>
      <c r="T22" s="18"/>
      <c r="U22" s="36"/>
      <c r="V22" s="44">
        <f>SUM(O19:O21)-SUM(T19:T21)</f>
        <v>0</v>
      </c>
    </row>
    <row r="23" spans="1:22" s="3" customFormat="1" ht="15" customHeight="1" x14ac:dyDescent="0.3">
      <c r="A23" s="34">
        <v>57326</v>
      </c>
      <c r="B23" s="38" t="s">
        <v>29</v>
      </c>
      <c r="C23" s="45">
        <v>45085</v>
      </c>
      <c r="D23" s="39">
        <v>15</v>
      </c>
      <c r="E23" s="12">
        <v>727000</v>
      </c>
      <c r="F23" s="12">
        <v>0</v>
      </c>
      <c r="G23" s="12">
        <v>727000</v>
      </c>
      <c r="H23" s="12">
        <v>130860</v>
      </c>
      <c r="I23" s="12">
        <v>857860</v>
      </c>
      <c r="J23" s="12"/>
      <c r="K23" s="12"/>
      <c r="L23" s="12"/>
      <c r="M23" s="12"/>
      <c r="N23" s="12"/>
      <c r="O23" s="12">
        <f>+I23</f>
        <v>857860</v>
      </c>
      <c r="P23" s="35"/>
      <c r="Q23" s="12"/>
      <c r="R23" s="12"/>
      <c r="S23" s="12"/>
      <c r="T23" s="12">
        <v>857860</v>
      </c>
      <c r="U23" s="41" t="s">
        <v>30</v>
      </c>
      <c r="V23" s="34"/>
    </row>
    <row r="24" spans="1:22" s="3" customFormat="1" ht="15" customHeight="1" x14ac:dyDescent="0.3">
      <c r="A24" s="34"/>
      <c r="B24" s="12"/>
      <c r="C24" s="12"/>
      <c r="D24" s="12"/>
      <c r="E24" s="12"/>
      <c r="F24" s="12"/>
      <c r="G24" s="12">
        <f>ROUND(E24-F24,)</f>
        <v>0</v>
      </c>
      <c r="H24" s="12">
        <f>ROUND(G24*$H$5,0)</f>
        <v>0</v>
      </c>
      <c r="I24" s="12">
        <f>G24+H24</f>
        <v>0</v>
      </c>
      <c r="J24" s="12">
        <f>ROUND(G24*$J$5,)</f>
        <v>0</v>
      </c>
      <c r="K24" s="12">
        <f>ROUND(G24*$K$5,)</f>
        <v>0</v>
      </c>
      <c r="L24" s="12">
        <f>ROUND(G24*$L$5,)</f>
        <v>0</v>
      </c>
      <c r="M24" s="12">
        <f>ROUND(G24*$M$5,)</f>
        <v>0</v>
      </c>
      <c r="N24" s="12">
        <f>H24</f>
        <v>0</v>
      </c>
      <c r="O24" s="12">
        <f>ROUND(I24-SUM(J24:N24),0)</f>
        <v>0</v>
      </c>
      <c r="P24" s="35"/>
      <c r="Q24" s="12"/>
      <c r="R24" s="12"/>
      <c r="S24" s="12"/>
      <c r="T24" s="12"/>
      <c r="U24" s="41"/>
      <c r="V24" s="34"/>
    </row>
    <row r="25" spans="1:22" s="3" customFormat="1" ht="15" customHeight="1" thickBot="1" x14ac:dyDescent="0.35">
      <c r="A25" s="34"/>
      <c r="B25" s="12"/>
      <c r="C25" s="12"/>
      <c r="D25" s="12"/>
      <c r="E25" s="12"/>
      <c r="F25" s="12"/>
      <c r="G25" s="12">
        <f>ROUND(E25-F25,)</f>
        <v>0</v>
      </c>
      <c r="H25" s="12">
        <f>ROUND(G25*$H$5,0)</f>
        <v>0</v>
      </c>
      <c r="I25" s="12">
        <f>G25+H25</f>
        <v>0</v>
      </c>
      <c r="J25" s="12">
        <f>ROUND(G25*$J$5,)</f>
        <v>0</v>
      </c>
      <c r="K25" s="12">
        <f>ROUND(G25*$K$5,)</f>
        <v>0</v>
      </c>
      <c r="L25" s="12">
        <f>ROUND(G25*$L$5,)</f>
        <v>0</v>
      </c>
      <c r="M25" s="12">
        <f>ROUND(G25*$M$5,)</f>
        <v>0</v>
      </c>
      <c r="N25" s="12">
        <f>H25</f>
        <v>0</v>
      </c>
      <c r="O25" s="12">
        <f>ROUND(I25-SUM(J25:N25),0)</f>
        <v>0</v>
      </c>
      <c r="P25" s="35"/>
      <c r="Q25" s="12"/>
      <c r="R25" s="12"/>
      <c r="S25" s="12"/>
      <c r="T25" s="12"/>
      <c r="U25" s="41"/>
      <c r="V25" s="34"/>
    </row>
    <row r="26" spans="1:22" x14ac:dyDescent="0.3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29"/>
      <c r="L26" s="53"/>
      <c r="M26" s="54"/>
      <c r="N26" s="54" t="s">
        <v>17</v>
      </c>
      <c r="O26" s="54">
        <f>SUM(O5:O25)</f>
        <v>26161780</v>
      </c>
      <c r="P26" s="54"/>
      <c r="Q26" s="54"/>
      <c r="R26" s="54"/>
      <c r="S26" s="54"/>
      <c r="T26" s="54">
        <f>SUM(T5:T25)</f>
        <v>15759830</v>
      </c>
      <c r="U26" s="53"/>
      <c r="V26" s="54" t="e">
        <f>SUM(#REF!)</f>
        <v>#REF!</v>
      </c>
    </row>
    <row r="27" spans="1:22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34"/>
    </row>
    <row r="28" spans="1:22" ht="15" thickBot="1" x14ac:dyDescent="0.3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48">
        <f>O26-T26</f>
        <v>10401950</v>
      </c>
      <c r="U28" s="13"/>
      <c r="V28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Civil</vt:lpstr>
      <vt:lpstr>Sheet2</vt:lpstr>
      <vt:lpstr>EMI</vt:lpstr>
      <vt:lpstr>Civil!Print_Area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2023-09-18T10:14:21Z</cp:lastPrinted>
  <dcterms:created xsi:type="dcterms:W3CDTF">2022-06-10T14:11:52Z</dcterms:created>
  <dcterms:modified xsi:type="dcterms:W3CDTF">2025-06-03T06:50:11Z</dcterms:modified>
</cp:coreProperties>
</file>