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Sunrise Contractor\"/>
    </mc:Choice>
  </mc:AlternateContent>
  <xr:revisionPtr revIDLastSave="0" documentId="13_ncr:1_{D2B7813C-D43B-4128-93B0-A80B7C6D4109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P10" i="1"/>
  <c r="E27" i="1"/>
  <c r="P27" i="1" s="1"/>
  <c r="W19" i="1"/>
  <c r="E18" i="1"/>
  <c r="P18" i="1" s="1"/>
  <c r="E34" i="1"/>
  <c r="P34" i="1" s="1"/>
  <c r="E26" i="1"/>
  <c r="P26" i="1" s="1"/>
  <c r="W21" i="1" l="1"/>
  <c r="E33" i="1" l="1"/>
  <c r="P33" i="1" s="1"/>
  <c r="E25" i="1"/>
  <c r="P25" i="1" s="1"/>
  <c r="Q29" i="1"/>
  <c r="Q22" i="1"/>
  <c r="Q7" i="1"/>
  <c r="Q12" i="1"/>
  <c r="W26" i="1" l="1"/>
  <c r="Y29" i="1" s="1"/>
  <c r="W37" i="1" l="1"/>
  <c r="W36" i="1"/>
  <c r="Y39" i="1" l="1"/>
  <c r="G15" i="1"/>
  <c r="H15" i="1" s="1"/>
  <c r="G14" i="1"/>
  <c r="L14" i="1" s="1"/>
  <c r="F13" i="1"/>
  <c r="G13" i="1" s="1"/>
  <c r="F8" i="1"/>
  <c r="L15" i="1" l="1"/>
  <c r="M14" i="1"/>
  <c r="J14" i="1"/>
  <c r="M15" i="1"/>
  <c r="K14" i="1"/>
  <c r="J15" i="1"/>
  <c r="K15" i="1"/>
  <c r="N15" i="1"/>
  <c r="O15" i="1" s="1"/>
  <c r="O40" i="1" s="1"/>
  <c r="K49" i="1" s="1"/>
  <c r="I15" i="1"/>
  <c r="J13" i="1"/>
  <c r="H13" i="1"/>
  <c r="N13" i="1" s="1"/>
  <c r="E16" i="1" s="1"/>
  <c r="P16" i="1" s="1"/>
  <c r="M13" i="1"/>
  <c r="M40" i="1" s="1"/>
  <c r="K13" i="1"/>
  <c r="L13" i="1"/>
  <c r="L40" i="1" s="1"/>
  <c r="H14" i="1"/>
  <c r="N14" i="1" s="1"/>
  <c r="E17" i="1" s="1"/>
  <c r="P17" i="1" s="1"/>
  <c r="E8" i="1"/>
  <c r="P15" i="1" l="1"/>
  <c r="I14" i="1"/>
  <c r="P14" i="1" s="1"/>
  <c r="I13" i="1"/>
  <c r="P13" i="1" s="1"/>
  <c r="W9" i="1"/>
  <c r="Y22" i="1" l="1"/>
  <c r="T8" i="1"/>
  <c r="W8" i="1" s="1"/>
  <c r="W40" i="1" s="1"/>
  <c r="G8" i="1" l="1"/>
  <c r="K8" i="1" l="1"/>
  <c r="K40" i="1" s="1"/>
  <c r="K45" i="1" s="1"/>
  <c r="H8" i="1"/>
  <c r="N8" i="1" s="1"/>
  <c r="J8" i="1"/>
  <c r="N40" i="1" l="1"/>
  <c r="E9" i="1"/>
  <c r="P9" i="1" s="1"/>
  <c r="I8" i="1"/>
  <c r="K48" i="1" l="1"/>
  <c r="P8" i="1"/>
  <c r="Y12" i="1" s="1"/>
  <c r="P40" i="1" l="1"/>
  <c r="W41" i="1" s="1"/>
  <c r="K46" i="1" s="1"/>
</calcChain>
</file>

<file path=xl/sharedStrings.xml><?xml version="1.0" encoding="utf-8"?>
<sst xmlns="http://schemas.openxmlformats.org/spreadsheetml/2006/main" count="108" uniqueCount="93">
  <si>
    <t>Amount</t>
  </si>
  <si>
    <t>PAYMENT NOTE No.</t>
  </si>
  <si>
    <t>UTR</t>
  </si>
  <si>
    <t>SD (5%)</t>
  </si>
  <si>
    <t>Advance paid</t>
  </si>
  <si>
    <t>TDS Amount @ 1% on BASIC AMOUNT</t>
  </si>
  <si>
    <t xml:space="preserve">Debit </t>
  </si>
  <si>
    <t>Boundary wall work</t>
  </si>
  <si>
    <t>Total Paid Amount Rs. -</t>
  </si>
  <si>
    <t>Balance Payable Amount Rs. -</t>
  </si>
  <si>
    <t>20-10-2022 NEFT/AXISP00330028511/RIUP22/1046/SUN RISE CONTRA 99000.00</t>
  </si>
  <si>
    <t>RIUP22/1046</t>
  </si>
  <si>
    <t xml:space="preserve">15-12-2022 NEFT/AXISP00346453834/RIUP22/1520/SUNRISE CONTRA 139738.00 </t>
  </si>
  <si>
    <t>RIUP22/1520</t>
  </si>
  <si>
    <t>HOLD</t>
  </si>
  <si>
    <t>Makhakeri Kadagrah Village Pipeline laying work</t>
  </si>
  <si>
    <t>RIUP22/414</t>
  </si>
  <si>
    <t>28-07-2022 NEFT/AXISP00306689183/RIUP22/414/SUNRISE CONTRAC 49500.00</t>
  </si>
  <si>
    <t>RIUP22/2016</t>
  </si>
  <si>
    <t>31-01-2023 NEFT/AXISP00358425193/RIUP22/2016/SUN RISE CONTRA 238414.00</t>
  </si>
  <si>
    <t>RIUP22/2125</t>
  </si>
  <si>
    <t>07-02-2023 NEFT/AXISP00361424975/RIUP22/2125/SUN RISE CONTRA ₹ 49,500.00</t>
  </si>
  <si>
    <t>RIUP22/2283</t>
  </si>
  <si>
    <t>23-02-2023 NEFT/AXISP00365243861/RIUP22/2283/SUNRISE CONTRA 49500.00</t>
  </si>
  <si>
    <t>SPUP23/0273</t>
  </si>
  <si>
    <t>RIUP23/216</t>
  </si>
  <si>
    <t>07-06-2023 NEFT/AXISP00396637618/RIUP23/216/SUNRISE CONTRAC 98573.00</t>
  </si>
  <si>
    <t>Ahatagoshgrah Village Pipeline laying work</t>
  </si>
  <si>
    <t>RIUP22/413</t>
  </si>
  <si>
    <t>28-07-2022 NEFT/AXISP00306689182/RIUP22/413/SUNRISE CONTRAC 49500.00</t>
  </si>
  <si>
    <t>RIUP22/1352</t>
  </si>
  <si>
    <t>28-11-2022 NEFT/AXISP00340896070/RIUP22/1352/SUN RISE CONTRA 225069.00</t>
  </si>
  <si>
    <t>Bala Mazra Village Pipeline laying work</t>
  </si>
  <si>
    <t>RIUP22/408</t>
  </si>
  <si>
    <t>28-07-2022 NEFT/AXISP00306689181/RIUP22/408/SUN RISE CONTRAC 49500.00</t>
  </si>
  <si>
    <t>RIUP22/970</t>
  </si>
  <si>
    <t>12-10-2022 NEFT/AXISP00327753843/RIUP22/970/SUNRISE CONTRAC 148500.00</t>
  </si>
  <si>
    <t>RIUP22/1072</t>
  </si>
  <si>
    <t>20-10-2022 NEFT/AXISP00330319203/RIUP22/1072/SUNRISE CONTRA 5549.00</t>
  </si>
  <si>
    <t>RIUP22/2500</t>
  </si>
  <si>
    <t>08-03-2023 NEFT/AXISP00369766202/RIUP22/2500/SUN RISE CONTRA 59400.00</t>
  </si>
  <si>
    <t>RIUP22/2770</t>
  </si>
  <si>
    <t>29-03-2023 NEFT/AXISP00376153254/RIUP22/2770/SUN RISE CONTRA 49500.00</t>
  </si>
  <si>
    <t>SPUP23/0088</t>
  </si>
  <si>
    <t>11-04-2023 NEFT/AXISP00380947712/SPUP23/0088/SUN RISE CONTRA 247500.00</t>
  </si>
  <si>
    <t>RIUP23/1229</t>
  </si>
  <si>
    <t xml:space="preserve">27-07-2023 NEFT/AXISP00409606080/RIUP23/1229/SUN RISE CONTRA 133650.00
</t>
  </si>
  <si>
    <t>RIUP23/1135</t>
  </si>
  <si>
    <t xml:space="preserve">
27-07-2023 NEFT/AXISP00409606078/RIUP23/1135/SUN RISE CONTRA 2924.00</t>
  </si>
  <si>
    <t>RIUP23/1230</t>
  </si>
  <si>
    <t>RIUP23/1550</t>
  </si>
  <si>
    <t>27-07-2023 NEFT/AXISP00409606081/RIUP23/1230/SUN RISE CONTRA 32670.00</t>
  </si>
  <si>
    <t>17-08-2023 NEFT/AXISP00416328857/RIUP23/1550/SUN RISE CONTRA ₹ 62,016.00</t>
  </si>
  <si>
    <t>RIUP23/827</t>
  </si>
  <si>
    <t>RIUP23/1228</t>
  </si>
  <si>
    <t>RIUP23/1551</t>
  </si>
  <si>
    <t>26-06-2023 NEFT/AXISP00400723673/RIUP23/827/SUN RISE CONTRAC 9032.00</t>
  </si>
  <si>
    <t>27-07-2023 NEFT/AXISP00409606079/RIUP23/1228/SUN RISE CONTRA 126720.00</t>
  </si>
  <si>
    <t>17-08-2023 NEFT/AXISP00416328856/RIUP23/1551/SUN RISE CONTRA ₹ 98,119.00</t>
  </si>
  <si>
    <t>Sunrise Contractor</t>
  </si>
  <si>
    <t xml:space="preserve">Hold Amount </t>
  </si>
  <si>
    <t>Advance / Surplus</t>
  </si>
  <si>
    <t>GST</t>
  </si>
  <si>
    <t>GST remaining</t>
  </si>
  <si>
    <t>RIUP23/3778</t>
  </si>
  <si>
    <t>30-12-2023 NEFT/AXISP00457475300/RIUP23/3978/SUN RISE CONTRA 45716.00</t>
  </si>
  <si>
    <t>31-03-2024 NEFT/AXISP00486642306/RIUP23/3778/SUN RISE CONTRA  99413.00</t>
  </si>
  <si>
    <t>24-04-2023 NEFT/AXISP00383950328/SPUP23/0273/SUN RISE CONTRA 99000.00</t>
  </si>
  <si>
    <t>Hold release</t>
  </si>
  <si>
    <t xml:space="preserve">DPR Excess Hold </t>
  </si>
  <si>
    <t>Debit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</si>
  <si>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</si>
  <si>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</si>
  <si>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</si>
  <si>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</si>
  <si>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</si>
  <si>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</si>
  <si>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</si>
  <si>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</si>
  <si>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</si>
  <si>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</si>
  <si>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</si>
  <si>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</si>
  <si>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</si>
  <si>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</si>
  <si>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</si>
  <si>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</si>
  <si>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</si>
  <si>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</si>
  <si>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</si>
  <si>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</si>
  <si>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</si>
  <si>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Ahatagoshgrah Village Boundary wall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</si>
</sst>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omic Sans MS"/>
      <family val="4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8">
    <xf numFmtId="0" fontId="0" fillId="0" borderId="0" xfId="0"/>
    <xf numFmtId="15" fontId="3" fillId="2" borderId="10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164" fontId="3" fillId="2" borderId="12" xfId="1" applyNumberFormat="1" applyFont="1" applyFill="1" applyBorder="1" applyAlignment="1">
      <alignment vertical="center"/>
    </xf>
    <xf numFmtId="164" fontId="3" fillId="2" borderId="11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5" fillId="2" borderId="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5" fontId="3" fillId="3" borderId="10" xfId="0" applyNumberFormat="1" applyFont="1" applyFill="1" applyBorder="1" applyAlignment="1">
      <alignment horizontal="center" vertical="center"/>
    </xf>
    <xf numFmtId="164" fontId="3" fillId="3" borderId="6" xfId="1" applyNumberFormat="1" applyFont="1" applyFill="1" applyBorder="1" applyAlignment="1">
      <alignment vertical="center"/>
    </xf>
    <xf numFmtId="164" fontId="3" fillId="3" borderId="10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0" fontId="5" fillId="2" borderId="19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vertical="center"/>
    </xf>
    <xf numFmtId="0" fontId="5" fillId="4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164" fontId="5" fillId="2" borderId="11" xfId="1" applyNumberFormat="1" applyFont="1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 wrapText="1"/>
    </xf>
    <xf numFmtId="9" fontId="3" fillId="2" borderId="11" xfId="1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164" fontId="3" fillId="2" borderId="12" xfId="1" applyNumberFormat="1" applyFont="1" applyFill="1" applyBorder="1" applyAlignment="1">
      <alignment horizontal="right" vertical="center"/>
    </xf>
    <xf numFmtId="0" fontId="5" fillId="2" borderId="12" xfId="0" applyFont="1" applyFill="1" applyBorder="1" applyAlignment="1">
      <alignment horizontal="center" vertical="center" wrapText="1"/>
    </xf>
    <xf numFmtId="164" fontId="3" fillId="2" borderId="19" xfId="1" applyNumberFormat="1" applyFont="1" applyFill="1" applyBorder="1" applyAlignment="1">
      <alignment vertical="center"/>
    </xf>
    <xf numFmtId="164" fontId="5" fillId="2" borderId="19" xfId="1" applyNumberFormat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164" fontId="8" fillId="5" borderId="10" xfId="1" applyNumberFormat="1" applyFont="1" applyFill="1" applyBorder="1" applyAlignment="1">
      <alignment vertical="center"/>
    </xf>
    <xf numFmtId="14" fontId="7" fillId="2" borderId="3" xfId="1" applyNumberFormat="1" applyFont="1" applyFill="1" applyBorder="1" applyAlignment="1">
      <alignment horizontal="center" vertical="center"/>
    </xf>
    <xf numFmtId="164" fontId="7" fillId="2" borderId="4" xfId="1" applyNumberFormat="1" applyFont="1" applyFill="1" applyBorder="1" applyAlignment="1">
      <alignment horizontal="center" vertical="center"/>
    </xf>
    <xf numFmtId="164" fontId="7" fillId="2" borderId="15" xfId="1" applyNumberFormat="1" applyFont="1" applyFill="1" applyBorder="1" applyAlignment="1">
      <alignment horizontal="center" vertical="center"/>
    </xf>
    <xf numFmtId="164" fontId="7" fillId="2" borderId="7" xfId="1" applyNumberFormat="1" applyFont="1" applyFill="1" applyBorder="1" applyAlignment="1">
      <alignment horizontal="center" vertical="center"/>
    </xf>
    <xf numFmtId="164" fontId="7" fillId="2" borderId="17" xfId="1" applyNumberFormat="1" applyFont="1" applyFill="1" applyBorder="1" applyAlignment="1">
      <alignment horizontal="center" vertical="center"/>
    </xf>
    <xf numFmtId="164" fontId="7" fillId="2" borderId="16" xfId="1" applyNumberFormat="1" applyFont="1" applyFill="1" applyBorder="1" applyAlignment="1">
      <alignment horizontal="center" vertical="center"/>
    </xf>
    <xf numFmtId="164" fontId="7" fillId="2" borderId="5" xfId="1" applyNumberFormat="1" applyFont="1" applyFill="1" applyBorder="1" applyAlignment="1">
      <alignment horizontal="center" vertical="center"/>
    </xf>
    <xf numFmtId="164" fontId="7" fillId="2" borderId="9" xfId="1" applyNumberFormat="1" applyFont="1" applyFill="1" applyBorder="1" applyAlignment="1">
      <alignment horizontal="center" vertical="center"/>
    </xf>
    <xf numFmtId="164" fontId="7" fillId="2" borderId="13" xfId="1" applyNumberFormat="1" applyFont="1" applyFill="1" applyBorder="1" applyAlignment="1">
      <alignment horizontal="center" vertical="center"/>
    </xf>
    <xf numFmtId="164" fontId="7" fillId="2" borderId="8" xfId="1" applyNumberFormat="1" applyFont="1" applyFill="1" applyBorder="1" applyAlignment="1">
      <alignment horizontal="center" vertical="center"/>
    </xf>
    <xf numFmtId="164" fontId="7" fillId="2" borderId="18" xfId="1" applyNumberFormat="1" applyFont="1" applyFill="1" applyBorder="1" applyAlignment="1">
      <alignment horizontal="center" vertical="center"/>
    </xf>
    <xf numFmtId="164" fontId="7" fillId="2" borderId="14" xfId="1" applyNumberFormat="1" applyFont="1" applyFill="1" applyBorder="1" applyAlignment="1">
      <alignment horizontal="center" vertical="center"/>
    </xf>
    <xf numFmtId="0" fontId="6" fillId="0" borderId="0" xfId="0" applyFont="1"/>
    <xf numFmtId="164" fontId="9" fillId="2" borderId="1" xfId="2" applyFont="1" applyFill="1" applyBorder="1" applyAlignment="1">
      <alignment vertical="center"/>
    </xf>
    <xf numFmtId="164" fontId="9" fillId="2" borderId="2" xfId="2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6" fillId="2" borderId="19" xfId="0" applyFont="1" applyFill="1" applyBorder="1" applyAlignment="1">
      <alignment vertical="center"/>
    </xf>
    <xf numFmtId="0" fontId="6" fillId="2" borderId="19" xfId="0" applyFont="1" applyFill="1" applyBorder="1" applyAlignment="1">
      <alignment horizontal="center" vertical="center" wrapText="1"/>
    </xf>
    <xf numFmtId="14" fontId="6" fillId="2" borderId="19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64" fontId="11" fillId="2" borderId="19" xfId="2" applyFont="1" applyFill="1" applyBorder="1" applyAlignment="1">
      <alignment horizontal="center" vertical="center"/>
    </xf>
    <xf numFmtId="164" fontId="6" fillId="2" borderId="19" xfId="2" applyFont="1" applyFill="1" applyBorder="1" applyAlignment="1">
      <alignment horizontal="center" vertical="center"/>
    </xf>
  </cellXfs>
  <cellStyles count="3">
    <cellStyle name="Comma" xfId="1" builtinId="3"/>
    <cellStyle name="Comma 2" xfId="2" xr:uid="{F0DBBF89-004C-4344-914B-A525133980C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3"/>
  <sheetViews>
    <sheetView tabSelected="1" zoomScaleNormal="100" workbookViewId="0">
      <selection activeCell="F2" sqref="F2"/>
    </sheetView>
  </sheetViews>
  <sheetFormatPr defaultColWidth="9" defaultRowHeight="24.9" customHeight="1" x14ac:dyDescent="0.3"/>
  <cols>
    <col min="1" max="1" width="9" style="2"/>
    <col min="2" max="2" width="30" style="2" customWidth="1"/>
    <col min="3" max="3" width="13.44140625" style="2" bestFit="1" customWidth="1"/>
    <col min="4" max="4" width="11.5546875" style="2" bestFit="1" customWidth="1"/>
    <col min="5" max="5" width="13.33203125" style="2" bestFit="1" customWidth="1"/>
    <col min="6" max="7" width="13.33203125" style="2" customWidth="1"/>
    <col min="8" max="8" width="14.6640625" style="13" customWidth="1"/>
    <col min="9" max="9" width="12.88671875" style="13" bestFit="1" customWidth="1"/>
    <col min="10" max="10" width="10.6640625" style="2" bestFit="1" customWidth="1"/>
    <col min="11" max="11" width="13.6640625" style="2" customWidth="1"/>
    <col min="12" max="12" width="15" style="2" customWidth="1"/>
    <col min="13" max="13" width="14.88671875" style="2" bestFit="1" customWidth="1"/>
    <col min="14" max="14" width="14.44140625" style="2" bestFit="1" customWidth="1"/>
    <col min="15" max="16" width="14.88671875" style="2" customWidth="1"/>
    <col min="17" max="17" width="10.5546875" style="2" bestFit="1" customWidth="1"/>
    <col min="18" max="18" width="21.6640625" style="2" customWidth="1"/>
    <col min="19" max="19" width="12.6640625" style="2" hidden="1" customWidth="1"/>
    <col min="20" max="22" width="14.5546875" style="2" hidden="1" customWidth="1"/>
    <col min="23" max="23" width="15" style="2" bestFit="1" customWidth="1"/>
    <col min="24" max="24" width="73" style="2" bestFit="1" customWidth="1"/>
    <col min="25" max="25" width="15" style="2" bestFit="1" customWidth="1"/>
    <col min="26" max="16384" width="9" style="2"/>
  </cols>
  <sheetData>
    <row r="1" spans="1:91" ht="24.9" customHeight="1" thickBot="1" x14ac:dyDescent="0.35">
      <c r="A1" s="58" t="s">
        <v>71</v>
      </c>
      <c r="B1" s="5" t="s">
        <v>59</v>
      </c>
      <c r="E1" s="3"/>
      <c r="F1" s="3"/>
      <c r="G1" s="3"/>
      <c r="H1" s="4"/>
      <c r="I1" s="4"/>
    </row>
    <row r="2" spans="1:91" ht="24.9" customHeight="1" thickBot="1" x14ac:dyDescent="0.35">
      <c r="A2" s="58" t="s">
        <v>72</v>
      </c>
      <c r="B2" s="59" t="s">
        <v>73</v>
      </c>
      <c r="C2" s="5"/>
      <c r="D2" s="5"/>
      <c r="H2" s="14" t="s">
        <v>7</v>
      </c>
      <c r="I2" s="1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91" ht="24.9" customHeight="1" thickBot="1" x14ac:dyDescent="0.35">
      <c r="A3" s="58" t="s">
        <v>74</v>
      </c>
      <c r="B3" s="60" t="s">
        <v>75</v>
      </c>
      <c r="C3" s="5"/>
      <c r="D3" s="5"/>
      <c r="H3" s="14"/>
      <c r="I3" s="1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91" ht="24.9" customHeight="1" thickBot="1" x14ac:dyDescent="0.35">
      <c r="A4" s="58" t="s">
        <v>76</v>
      </c>
      <c r="B4" s="61" t="s">
        <v>75</v>
      </c>
      <c r="C4" s="7"/>
      <c r="D4" s="7"/>
      <c r="E4" s="7"/>
      <c r="F4" s="6"/>
      <c r="G4" s="6"/>
      <c r="H4" s="8"/>
      <c r="I4" s="8"/>
      <c r="J4" s="6"/>
      <c r="K4" s="6"/>
      <c r="L4" s="6"/>
      <c r="M4" s="6"/>
      <c r="Q4" s="44">
        <v>45377</v>
      </c>
      <c r="R4" s="6"/>
      <c r="S4" s="9"/>
      <c r="T4" s="9"/>
      <c r="U4" s="9"/>
      <c r="V4" s="9"/>
      <c r="W4" s="9"/>
      <c r="X4" s="9"/>
      <c r="Y4" s="9"/>
    </row>
    <row r="5" spans="1:91" ht="24.9" customHeight="1" x14ac:dyDescent="0.3">
      <c r="A5" s="62" t="s">
        <v>77</v>
      </c>
      <c r="B5" s="63" t="s">
        <v>78</v>
      </c>
      <c r="C5" s="64" t="s">
        <v>79</v>
      </c>
      <c r="D5" s="65" t="s">
        <v>80</v>
      </c>
      <c r="E5" s="63" t="s">
        <v>81</v>
      </c>
      <c r="F5" s="63" t="s">
        <v>82</v>
      </c>
      <c r="G5" s="65" t="s">
        <v>83</v>
      </c>
      <c r="H5" s="66" t="s">
        <v>84</v>
      </c>
      <c r="I5" s="67" t="s">
        <v>0</v>
      </c>
      <c r="J5" s="63" t="s">
        <v>85</v>
      </c>
      <c r="K5" s="63" t="s">
        <v>86</v>
      </c>
      <c r="L5" s="63" t="s">
        <v>87</v>
      </c>
      <c r="M5" s="63" t="s">
        <v>88</v>
      </c>
      <c r="N5" s="63" t="s">
        <v>89</v>
      </c>
      <c r="O5" s="21" t="s">
        <v>14</v>
      </c>
      <c r="P5" s="63" t="s">
        <v>90</v>
      </c>
      <c r="Q5" s="21"/>
      <c r="R5" s="21" t="s">
        <v>1</v>
      </c>
      <c r="S5" s="21" t="s">
        <v>0</v>
      </c>
      <c r="T5" s="21" t="s">
        <v>5</v>
      </c>
      <c r="U5" s="21" t="s">
        <v>3</v>
      </c>
      <c r="V5" s="21" t="s">
        <v>4</v>
      </c>
      <c r="W5" s="63" t="s">
        <v>91</v>
      </c>
      <c r="X5" s="63" t="s">
        <v>2</v>
      </c>
      <c r="Y5" s="21"/>
    </row>
    <row r="6" spans="1:91" ht="24.9" customHeight="1" thickBot="1" x14ac:dyDescent="0.35">
      <c r="A6" s="32"/>
      <c r="B6" s="12"/>
      <c r="C6" s="12"/>
      <c r="D6" s="12"/>
      <c r="E6" s="12"/>
      <c r="F6" s="12"/>
      <c r="G6" s="12"/>
      <c r="H6" s="12"/>
      <c r="I6" s="12"/>
      <c r="J6" s="36">
        <v>0.01</v>
      </c>
      <c r="K6" s="36">
        <v>0.05</v>
      </c>
      <c r="L6" s="36">
        <v>0.1</v>
      </c>
      <c r="M6" s="36">
        <v>0.1</v>
      </c>
      <c r="N6" s="12"/>
      <c r="O6" s="12"/>
      <c r="P6" s="12"/>
      <c r="Q6" s="37"/>
      <c r="R6" s="12"/>
      <c r="S6" s="12"/>
      <c r="T6" s="36">
        <v>0.01</v>
      </c>
      <c r="U6" s="36">
        <v>0.05</v>
      </c>
      <c r="V6" s="12"/>
      <c r="W6" s="12"/>
      <c r="X6" s="12"/>
      <c r="Y6" s="12"/>
    </row>
    <row r="7" spans="1:91" s="16" customFormat="1" ht="24.9" customHeight="1" x14ac:dyDescent="0.3">
      <c r="A7" s="34"/>
      <c r="B7" s="18"/>
      <c r="C7" s="18"/>
      <c r="D7" s="18"/>
      <c r="E7" s="18"/>
      <c r="F7" s="18"/>
      <c r="G7" s="18"/>
      <c r="H7" s="18"/>
      <c r="I7" s="18"/>
      <c r="J7" s="20"/>
      <c r="K7" s="20"/>
      <c r="L7" s="20"/>
      <c r="M7" s="20"/>
      <c r="N7" s="18"/>
      <c r="O7" s="18"/>
      <c r="P7" s="18"/>
      <c r="Q7" s="35">
        <f>A8</f>
        <v>52788</v>
      </c>
      <c r="R7" s="18"/>
      <c r="S7" s="18"/>
      <c r="T7" s="20"/>
      <c r="U7" s="20"/>
      <c r="V7" s="18"/>
      <c r="W7" s="18"/>
      <c r="X7" s="18"/>
      <c r="Y7" s="18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ht="24.9" customHeight="1" x14ac:dyDescent="0.3">
      <c r="A8" s="22">
        <v>52788</v>
      </c>
      <c r="B8" s="26" t="s">
        <v>92</v>
      </c>
      <c r="C8" s="1">
        <v>44896</v>
      </c>
      <c r="D8" s="27">
        <v>3</v>
      </c>
      <c r="E8" s="10">
        <f>74.2*3500</f>
        <v>259700</v>
      </c>
      <c r="F8" s="10">
        <f>ROUND(((15*50/1000)*5859.38*1.28)+(15*6.5),)</f>
        <v>5723</v>
      </c>
      <c r="G8" s="10">
        <f>E8-F8</f>
        <v>253977</v>
      </c>
      <c r="H8" s="10">
        <f>ROUND(G8*18%,0)</f>
        <v>45716</v>
      </c>
      <c r="I8" s="10">
        <f>G8+H8</f>
        <v>299693</v>
      </c>
      <c r="J8" s="10">
        <f>ROUND(G8*$J$6,0)</f>
        <v>2540</v>
      </c>
      <c r="K8" s="10">
        <f>ROUND(G8*$K$6,0)</f>
        <v>12699</v>
      </c>
      <c r="L8" s="10"/>
      <c r="M8" s="10"/>
      <c r="N8" s="45">
        <f>H8</f>
        <v>45716</v>
      </c>
      <c r="O8" s="10"/>
      <c r="P8" s="10">
        <f>ROUND(I8-SUM(J8:N8),)</f>
        <v>238738</v>
      </c>
      <c r="Q8" s="23"/>
      <c r="R8" s="10" t="s">
        <v>11</v>
      </c>
      <c r="S8" s="10">
        <v>100000</v>
      </c>
      <c r="T8" s="10">
        <f>$T$6*S8</f>
        <v>1000</v>
      </c>
      <c r="U8" s="10">
        <v>0</v>
      </c>
      <c r="V8" s="10">
        <v>0</v>
      </c>
      <c r="W8" s="10">
        <f t="shared" ref="W8:W9" si="0">ROUND(S8-T8-U8-V8,)</f>
        <v>99000</v>
      </c>
      <c r="X8" s="28" t="s">
        <v>10</v>
      </c>
      <c r="Y8" s="10"/>
    </row>
    <row r="9" spans="1:91" ht="24.9" customHeight="1" x14ac:dyDescent="0.3">
      <c r="A9" s="22">
        <v>52788</v>
      </c>
      <c r="B9" s="26" t="s">
        <v>62</v>
      </c>
      <c r="C9" s="1"/>
      <c r="D9" s="27">
        <v>3</v>
      </c>
      <c r="E9" s="10">
        <f>N8</f>
        <v>45716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45">
        <f>E9</f>
        <v>45716</v>
      </c>
      <c r="Q9" s="23"/>
      <c r="R9" s="10" t="s">
        <v>13</v>
      </c>
      <c r="S9" s="10">
        <v>139738</v>
      </c>
      <c r="T9" s="10">
        <v>0</v>
      </c>
      <c r="U9" s="10">
        <v>0</v>
      </c>
      <c r="V9" s="10">
        <v>0</v>
      </c>
      <c r="W9" s="10">
        <f t="shared" si="0"/>
        <v>139738</v>
      </c>
      <c r="X9" s="28" t="s">
        <v>12</v>
      </c>
      <c r="Y9" s="10"/>
    </row>
    <row r="10" spans="1:91" ht="24.9" customHeight="1" x14ac:dyDescent="0.3">
      <c r="A10" s="22">
        <v>52788</v>
      </c>
      <c r="B10" s="26" t="s">
        <v>70</v>
      </c>
      <c r="C10" s="1"/>
      <c r="D10" s="27"/>
      <c r="E10" s="10">
        <v>-660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>
        <f>E10</f>
        <v>-660</v>
      </c>
      <c r="Q10" s="23"/>
      <c r="R10" s="10"/>
      <c r="S10" s="10"/>
      <c r="T10" s="10"/>
      <c r="U10" s="10"/>
      <c r="V10" s="10"/>
      <c r="W10" s="10">
        <v>45716</v>
      </c>
      <c r="X10" s="28" t="s">
        <v>65</v>
      </c>
      <c r="Y10" s="10"/>
    </row>
    <row r="11" spans="1:91" ht="24.9" customHeight="1" x14ac:dyDescent="0.3">
      <c r="A11" s="22">
        <v>52788</v>
      </c>
      <c r="B11" s="26" t="s">
        <v>92</v>
      </c>
      <c r="C11" s="1"/>
      <c r="D11" s="27"/>
      <c r="E11" s="10">
        <v>-34090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>
        <f>E11</f>
        <v>-34090</v>
      </c>
      <c r="Q11" s="23"/>
      <c r="R11" s="10"/>
      <c r="S11" s="10"/>
      <c r="T11" s="10"/>
      <c r="U11" s="10"/>
      <c r="V11" s="10"/>
      <c r="W11" s="10"/>
      <c r="X11" s="28"/>
      <c r="Y11" s="10"/>
    </row>
    <row r="12" spans="1:91" s="16" customFormat="1" ht="24.9" customHeight="1" x14ac:dyDescent="0.3">
      <c r="A12" s="24"/>
      <c r="B12" s="29"/>
      <c r="C12" s="17"/>
      <c r="D12" s="3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>
        <f>A13</f>
        <v>51750</v>
      </c>
      <c r="R12" s="19"/>
      <c r="S12" s="19"/>
      <c r="T12" s="19"/>
      <c r="U12" s="19"/>
      <c r="V12" s="19"/>
      <c r="W12" s="19"/>
      <c r="X12" s="24"/>
      <c r="Y12" s="19">
        <f>SUM(P8:P11)-SUM(W8:W10)</f>
        <v>-34750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ht="24.9" customHeight="1" x14ac:dyDescent="0.3">
      <c r="A13" s="22">
        <v>51750</v>
      </c>
      <c r="B13" s="26" t="s">
        <v>15</v>
      </c>
      <c r="C13" s="1">
        <v>44949</v>
      </c>
      <c r="D13" s="27">
        <v>4</v>
      </c>
      <c r="E13" s="10">
        <v>606338</v>
      </c>
      <c r="F13" s="10">
        <f>600*90.07</f>
        <v>54041.999999999993</v>
      </c>
      <c r="G13" s="10">
        <f>E13-F13</f>
        <v>552296</v>
      </c>
      <c r="H13" s="10">
        <f>ROUND(G13*18%,)</f>
        <v>99413</v>
      </c>
      <c r="I13" s="10">
        <f>G13+H13</f>
        <v>651709</v>
      </c>
      <c r="J13" s="10">
        <f>ROUND(G13*$J$6,)</f>
        <v>5523</v>
      </c>
      <c r="K13" s="10">
        <f>ROUND(G13*5%,)</f>
        <v>27615</v>
      </c>
      <c r="L13" s="10">
        <f>ROUND(G13*10%,)</f>
        <v>55230</v>
      </c>
      <c r="M13" s="10">
        <f>ROUND(G13*10%,)</f>
        <v>55230</v>
      </c>
      <c r="N13" s="45">
        <f>H13</f>
        <v>99413</v>
      </c>
      <c r="O13" s="10">
        <v>120784</v>
      </c>
      <c r="P13" s="10">
        <f>ROUND(I13-SUM(J13:O13),)</f>
        <v>287914</v>
      </c>
      <c r="Q13" s="23"/>
      <c r="R13" s="10" t="s">
        <v>16</v>
      </c>
      <c r="S13" s="10">
        <v>50000</v>
      </c>
      <c r="T13" s="10">
        <v>500</v>
      </c>
      <c r="U13" s="10">
        <v>0</v>
      </c>
      <c r="V13" s="10">
        <v>0</v>
      </c>
      <c r="W13" s="10">
        <v>49500</v>
      </c>
      <c r="X13" s="28" t="s">
        <v>17</v>
      </c>
      <c r="Y13" s="10"/>
    </row>
    <row r="14" spans="1:91" ht="24.9" customHeight="1" x14ac:dyDescent="0.3">
      <c r="A14" s="22">
        <v>51750</v>
      </c>
      <c r="B14" s="26" t="s">
        <v>15</v>
      </c>
      <c r="C14" s="1">
        <v>45034</v>
      </c>
      <c r="D14" s="27">
        <v>1</v>
      </c>
      <c r="E14" s="10">
        <v>492216</v>
      </c>
      <c r="F14" s="10">
        <v>72056</v>
      </c>
      <c r="G14" s="10">
        <f>E14-F14</f>
        <v>420160</v>
      </c>
      <c r="H14" s="10">
        <f>ROUND(G14*18%,)</f>
        <v>75629</v>
      </c>
      <c r="I14" s="10">
        <f>G14+H14</f>
        <v>495789</v>
      </c>
      <c r="J14" s="10">
        <f>ROUND(G14*$J$6,)</f>
        <v>4202</v>
      </c>
      <c r="K14" s="10">
        <f>ROUND(G14*5%,)</f>
        <v>21008</v>
      </c>
      <c r="L14" s="10">
        <f>ROUND(G14*10%,)</f>
        <v>42016</v>
      </c>
      <c r="M14" s="10">
        <f>ROUND(G14*10%,)</f>
        <v>42016</v>
      </c>
      <c r="N14" s="45">
        <f>H14</f>
        <v>75629</v>
      </c>
      <c r="O14" s="10">
        <v>14344</v>
      </c>
      <c r="P14" s="10">
        <f>ROUND(I14-SUM(J14:O14),)</f>
        <v>296574</v>
      </c>
      <c r="Q14" s="23"/>
      <c r="R14" s="10" t="s">
        <v>18</v>
      </c>
      <c r="S14" s="10">
        <v>238414</v>
      </c>
      <c r="T14" s="10">
        <v>0</v>
      </c>
      <c r="U14" s="10">
        <v>0</v>
      </c>
      <c r="V14" s="10">
        <v>0</v>
      </c>
      <c r="W14" s="10">
        <v>238414</v>
      </c>
      <c r="X14" s="28" t="s">
        <v>19</v>
      </c>
      <c r="Y14" s="10"/>
    </row>
    <row r="15" spans="1:91" ht="24.9" customHeight="1" x14ac:dyDescent="0.3">
      <c r="A15" s="22">
        <v>51750</v>
      </c>
      <c r="B15" s="26" t="s">
        <v>15</v>
      </c>
      <c r="C15" s="1">
        <v>45105</v>
      </c>
      <c r="D15" s="27">
        <v>4</v>
      </c>
      <c r="E15" s="10">
        <v>3951.5</v>
      </c>
      <c r="F15" s="10">
        <v>0</v>
      </c>
      <c r="G15" s="10">
        <f>E15-F15</f>
        <v>3951.5</v>
      </c>
      <c r="H15" s="10">
        <f>ROUND(G15*18%,)</f>
        <v>711</v>
      </c>
      <c r="I15" s="10">
        <f>G15+H15</f>
        <v>4662.5</v>
      </c>
      <c r="J15" s="10">
        <f>ROUND(G15*$J$6,)</f>
        <v>40</v>
      </c>
      <c r="K15" s="10">
        <f>ROUND(G15*5%,)</f>
        <v>198</v>
      </c>
      <c r="L15" s="10">
        <f>ROUND(G15*10%,)</f>
        <v>395</v>
      </c>
      <c r="M15" s="10">
        <f>ROUND(G15*10%,)</f>
        <v>395</v>
      </c>
      <c r="N15" s="10">
        <f>H15</f>
        <v>711</v>
      </c>
      <c r="O15" s="10">
        <f>O9*N15</f>
        <v>0</v>
      </c>
      <c r="P15" s="10">
        <f>ROUND(I15-SUM(J15:O15),)</f>
        <v>2924</v>
      </c>
      <c r="Q15" s="23"/>
      <c r="R15" s="10" t="s">
        <v>20</v>
      </c>
      <c r="S15" s="10">
        <v>50000</v>
      </c>
      <c r="T15" s="10">
        <v>500</v>
      </c>
      <c r="U15" s="10">
        <v>0</v>
      </c>
      <c r="V15" s="10">
        <v>0</v>
      </c>
      <c r="W15" s="10">
        <v>49500</v>
      </c>
      <c r="X15" s="28" t="s">
        <v>21</v>
      </c>
      <c r="Y15" s="10"/>
    </row>
    <row r="16" spans="1:91" ht="24.9" customHeight="1" x14ac:dyDescent="0.3">
      <c r="A16" s="22">
        <v>51750</v>
      </c>
      <c r="B16" s="26" t="s">
        <v>62</v>
      </c>
      <c r="C16" s="1"/>
      <c r="D16" s="27">
        <v>4</v>
      </c>
      <c r="E16" s="31">
        <f>N13</f>
        <v>99413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45">
        <f>E16</f>
        <v>99413</v>
      </c>
      <c r="Q16" s="23"/>
      <c r="R16" s="10" t="s">
        <v>22</v>
      </c>
      <c r="S16" s="10">
        <v>50000</v>
      </c>
      <c r="T16" s="10">
        <v>500</v>
      </c>
      <c r="U16" s="10"/>
      <c r="V16" s="10">
        <v>0</v>
      </c>
      <c r="W16" s="10">
        <v>49500</v>
      </c>
      <c r="X16" s="28" t="s">
        <v>23</v>
      </c>
      <c r="Y16" s="10"/>
    </row>
    <row r="17" spans="1:91" ht="24.9" customHeight="1" x14ac:dyDescent="0.3">
      <c r="A17" s="22">
        <v>51750</v>
      </c>
      <c r="B17" s="26" t="s">
        <v>62</v>
      </c>
      <c r="C17" s="1"/>
      <c r="D17" s="27">
        <v>1</v>
      </c>
      <c r="E17" s="10">
        <f>N14</f>
        <v>75629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45">
        <f>E17</f>
        <v>75629</v>
      </c>
      <c r="Q17" s="23"/>
      <c r="R17" s="10" t="s">
        <v>24</v>
      </c>
      <c r="S17" s="10">
        <v>99000</v>
      </c>
      <c r="T17" s="10"/>
      <c r="U17" s="10"/>
      <c r="V17" s="10"/>
      <c r="W17" s="10">
        <v>99000</v>
      </c>
      <c r="X17" s="28" t="s">
        <v>67</v>
      </c>
      <c r="Y17" s="10"/>
    </row>
    <row r="18" spans="1:91" ht="24.9" customHeight="1" x14ac:dyDescent="0.3">
      <c r="A18" s="22">
        <v>51750</v>
      </c>
      <c r="B18" s="26" t="s">
        <v>68</v>
      </c>
      <c r="C18" s="1"/>
      <c r="D18" s="27"/>
      <c r="E18" s="10">
        <f>O13+O14</f>
        <v>135128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f>E18</f>
        <v>135128</v>
      </c>
      <c r="Q18" s="23"/>
      <c r="R18" s="10" t="s">
        <v>25</v>
      </c>
      <c r="S18" s="10">
        <v>98573</v>
      </c>
      <c r="T18" s="10"/>
      <c r="U18" s="10"/>
      <c r="V18" s="10"/>
      <c r="W18" s="10">
        <v>98573</v>
      </c>
      <c r="X18" s="28" t="s">
        <v>26</v>
      </c>
      <c r="Y18" s="10"/>
    </row>
    <row r="19" spans="1:91" ht="24.9" customHeight="1" x14ac:dyDescent="0.3">
      <c r="A19" s="22">
        <v>51750</v>
      </c>
      <c r="B19" s="26"/>
      <c r="C19" s="1"/>
      <c r="D19" s="27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23"/>
      <c r="R19" s="10" t="s">
        <v>47</v>
      </c>
      <c r="S19" s="10">
        <v>2924</v>
      </c>
      <c r="T19" s="10"/>
      <c r="U19" s="10"/>
      <c r="V19" s="10"/>
      <c r="W19" s="10">
        <f>S19-T19</f>
        <v>2924</v>
      </c>
      <c r="X19" s="28" t="s">
        <v>48</v>
      </c>
      <c r="Y19" s="10"/>
    </row>
    <row r="20" spans="1:91" ht="24.9" customHeight="1" x14ac:dyDescent="0.3">
      <c r="A20" s="22">
        <v>51750</v>
      </c>
      <c r="B20" s="26"/>
      <c r="C20" s="1"/>
      <c r="D20" s="27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23"/>
      <c r="R20" s="10" t="s">
        <v>45</v>
      </c>
      <c r="S20" s="10">
        <v>135128</v>
      </c>
      <c r="T20" s="10">
        <v>500</v>
      </c>
      <c r="U20" s="10"/>
      <c r="V20" s="10"/>
      <c r="W20" s="10">
        <v>133650</v>
      </c>
      <c r="X20" s="28" t="s">
        <v>46</v>
      </c>
      <c r="Y20" s="10"/>
    </row>
    <row r="21" spans="1:91" ht="24.9" customHeight="1" x14ac:dyDescent="0.3">
      <c r="A21" s="22">
        <v>51750</v>
      </c>
      <c r="B21" s="26"/>
      <c r="C21" s="1"/>
      <c r="D21" s="27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23"/>
      <c r="R21" s="10" t="s">
        <v>64</v>
      </c>
      <c r="S21" s="10">
        <v>99413</v>
      </c>
      <c r="T21" s="10"/>
      <c r="U21" s="10"/>
      <c r="V21" s="10"/>
      <c r="W21" s="10">
        <f>S21-T21</f>
        <v>99413</v>
      </c>
      <c r="X21" s="28" t="s">
        <v>66</v>
      </c>
      <c r="Y21" s="10"/>
    </row>
    <row r="22" spans="1:91" s="16" customFormat="1" ht="24.9" customHeight="1" x14ac:dyDescent="0.3">
      <c r="A22" s="24"/>
      <c r="B22" s="29"/>
      <c r="C22" s="17"/>
      <c r="D22" s="30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>
        <f>A23</f>
        <v>51749</v>
      </c>
      <c r="R22" s="19"/>
      <c r="S22" s="19"/>
      <c r="T22" s="19"/>
      <c r="U22" s="19"/>
      <c r="V22" s="19"/>
      <c r="W22" s="19"/>
      <c r="X22" s="24"/>
      <c r="Y22" s="19">
        <f>SUM(P13:P21)-SUM(W13:W21)</f>
        <v>77108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</row>
    <row r="23" spans="1:91" ht="24.9" customHeight="1" x14ac:dyDescent="0.3">
      <c r="A23" s="22">
        <v>51749</v>
      </c>
      <c r="B23" s="26" t="s">
        <v>27</v>
      </c>
      <c r="C23" s="1">
        <v>44884</v>
      </c>
      <c r="D23" s="27">
        <v>2</v>
      </c>
      <c r="E23" s="10">
        <v>581135.5</v>
      </c>
      <c r="F23" s="10">
        <v>36028</v>
      </c>
      <c r="G23" s="10">
        <v>545107.5</v>
      </c>
      <c r="H23" s="10">
        <v>98119</v>
      </c>
      <c r="I23" s="10">
        <v>643226.5</v>
      </c>
      <c r="J23" s="10">
        <v>5451</v>
      </c>
      <c r="K23" s="10">
        <v>27255</v>
      </c>
      <c r="L23" s="10">
        <v>54511</v>
      </c>
      <c r="M23" s="10">
        <v>54511</v>
      </c>
      <c r="N23" s="45">
        <v>98119</v>
      </c>
      <c r="O23" s="10">
        <v>128811</v>
      </c>
      <c r="P23" s="10">
        <v>274569</v>
      </c>
      <c r="Q23" s="23"/>
      <c r="R23" s="10" t="s">
        <v>28</v>
      </c>
      <c r="S23" s="10">
        <v>50000</v>
      </c>
      <c r="T23" s="10">
        <v>500</v>
      </c>
      <c r="U23" s="10">
        <v>0</v>
      </c>
      <c r="V23" s="10">
        <v>0</v>
      </c>
      <c r="W23" s="10">
        <v>49500</v>
      </c>
      <c r="X23" s="28" t="s">
        <v>29</v>
      </c>
      <c r="Y23" s="10"/>
    </row>
    <row r="24" spans="1:91" ht="24.9" customHeight="1" x14ac:dyDescent="0.3">
      <c r="A24" s="22">
        <v>51749</v>
      </c>
      <c r="B24" s="26" t="s">
        <v>27</v>
      </c>
      <c r="C24" s="1">
        <v>45094</v>
      </c>
      <c r="D24" s="27">
        <v>3</v>
      </c>
      <c r="E24" s="10">
        <v>12206.25</v>
      </c>
      <c r="F24" s="10">
        <v>0</v>
      </c>
      <c r="G24" s="10">
        <v>12206.25</v>
      </c>
      <c r="H24" s="10">
        <v>2197</v>
      </c>
      <c r="I24" s="10">
        <v>14403.25</v>
      </c>
      <c r="J24" s="10">
        <v>122</v>
      </c>
      <c r="K24" s="10">
        <v>610</v>
      </c>
      <c r="L24" s="10">
        <v>1221</v>
      </c>
      <c r="M24" s="10">
        <v>1221</v>
      </c>
      <c r="N24" s="45">
        <v>2197</v>
      </c>
      <c r="O24" s="10">
        <v>0</v>
      </c>
      <c r="P24" s="10">
        <v>9032</v>
      </c>
      <c r="Q24" s="23"/>
      <c r="R24" s="10" t="s">
        <v>30</v>
      </c>
      <c r="S24" s="10">
        <v>225069</v>
      </c>
      <c r="T24" s="10">
        <v>0</v>
      </c>
      <c r="U24" s="10">
        <v>0</v>
      </c>
      <c r="V24" s="10">
        <v>0</v>
      </c>
      <c r="W24" s="10">
        <v>225069</v>
      </c>
      <c r="X24" s="28" t="s">
        <v>31</v>
      </c>
      <c r="Y24" s="10"/>
    </row>
    <row r="25" spans="1:91" ht="24.9" customHeight="1" x14ac:dyDescent="0.3">
      <c r="A25" s="22">
        <v>51749</v>
      </c>
      <c r="B25" s="26" t="s">
        <v>62</v>
      </c>
      <c r="C25" s="1"/>
      <c r="D25" s="27">
        <v>2</v>
      </c>
      <c r="E25" s="10">
        <f>N23</f>
        <v>98119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45">
        <f>E25</f>
        <v>98119</v>
      </c>
      <c r="Q25" s="23"/>
      <c r="R25" s="10" t="s">
        <v>53</v>
      </c>
      <c r="S25" s="10">
        <v>9032</v>
      </c>
      <c r="T25" s="10"/>
      <c r="U25" s="10"/>
      <c r="V25" s="10"/>
      <c r="W25" s="10">
        <v>9032</v>
      </c>
      <c r="X25" s="28" t="s">
        <v>56</v>
      </c>
      <c r="Y25" s="10"/>
    </row>
    <row r="26" spans="1:91" ht="24.9" customHeight="1" x14ac:dyDescent="0.3">
      <c r="A26" s="22">
        <v>51749</v>
      </c>
      <c r="B26" s="26" t="s">
        <v>62</v>
      </c>
      <c r="C26" s="1"/>
      <c r="D26" s="27">
        <v>3</v>
      </c>
      <c r="E26" s="10">
        <f>N24</f>
        <v>2197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45">
        <f>E26</f>
        <v>2197</v>
      </c>
      <c r="Q26" s="23"/>
      <c r="R26" s="10" t="s">
        <v>54</v>
      </c>
      <c r="S26" s="10">
        <v>126720</v>
      </c>
      <c r="T26" s="10"/>
      <c r="U26" s="10"/>
      <c r="V26" s="10"/>
      <c r="W26" s="10">
        <f>S26-T26-U26-V26</f>
        <v>126720</v>
      </c>
      <c r="X26" s="28" t="s">
        <v>57</v>
      </c>
      <c r="Y26" s="10"/>
    </row>
    <row r="27" spans="1:91" ht="24.9" customHeight="1" x14ac:dyDescent="0.3">
      <c r="A27" s="22">
        <v>51749</v>
      </c>
      <c r="B27" s="26" t="s">
        <v>68</v>
      </c>
      <c r="C27" s="1"/>
      <c r="D27" s="27"/>
      <c r="E27" s="10">
        <f>O24+O23</f>
        <v>128811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>
        <f>E27</f>
        <v>128811</v>
      </c>
      <c r="Q27" s="23"/>
      <c r="R27" s="10" t="s">
        <v>55</v>
      </c>
      <c r="S27" s="10">
        <v>98119</v>
      </c>
      <c r="T27" s="10"/>
      <c r="U27" s="10"/>
      <c r="V27" s="10"/>
      <c r="W27" s="10">
        <v>98119</v>
      </c>
      <c r="X27" s="28" t="s">
        <v>58</v>
      </c>
      <c r="Y27" s="10"/>
    </row>
    <row r="28" spans="1:91" ht="24.9" customHeight="1" x14ac:dyDescent="0.3">
      <c r="A28" s="22">
        <v>51749</v>
      </c>
      <c r="B28" s="26"/>
      <c r="C28" s="1"/>
      <c r="D28" s="27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23"/>
      <c r="R28" s="10"/>
      <c r="S28" s="10"/>
      <c r="T28" s="10"/>
      <c r="U28" s="10"/>
      <c r="V28" s="10"/>
      <c r="W28" s="10"/>
      <c r="X28" s="28"/>
      <c r="Y28" s="10"/>
    </row>
    <row r="29" spans="1:91" s="16" customFormat="1" ht="24.9" customHeight="1" x14ac:dyDescent="0.3">
      <c r="A29" s="24"/>
      <c r="B29" s="29"/>
      <c r="C29" s="17"/>
      <c r="D29" s="30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>
        <f>A30</f>
        <v>50569</v>
      </c>
      <c r="R29" s="19"/>
      <c r="S29" s="19"/>
      <c r="T29" s="19"/>
      <c r="U29" s="19"/>
      <c r="V29" s="19"/>
      <c r="W29" s="19"/>
      <c r="X29" s="24"/>
      <c r="Y29" s="19">
        <f>SUM(P23:P28)-SUM(W23:W28)</f>
        <v>4288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</row>
    <row r="30" spans="1:91" ht="24.9" customHeight="1" x14ac:dyDescent="0.3">
      <c r="A30" s="22">
        <v>50569</v>
      </c>
      <c r="B30" s="26" t="s">
        <v>32</v>
      </c>
      <c r="C30" s="1">
        <v>44842</v>
      </c>
      <c r="D30" s="27">
        <v>1</v>
      </c>
      <c r="E30" s="10">
        <v>434597</v>
      </c>
      <c r="F30" s="10">
        <v>90070</v>
      </c>
      <c r="G30" s="10">
        <v>344527</v>
      </c>
      <c r="H30" s="10">
        <v>62015</v>
      </c>
      <c r="I30" s="10">
        <v>406542</v>
      </c>
      <c r="J30" s="10">
        <v>3445</v>
      </c>
      <c r="K30" s="10">
        <v>17226</v>
      </c>
      <c r="L30" s="10">
        <v>17226</v>
      </c>
      <c r="M30" s="10">
        <v>34453</v>
      </c>
      <c r="N30" s="45">
        <v>62015</v>
      </c>
      <c r="O30" s="10">
        <v>68631</v>
      </c>
      <c r="P30" s="10">
        <v>203546</v>
      </c>
      <c r="Q30" s="23"/>
      <c r="R30" s="10" t="s">
        <v>33</v>
      </c>
      <c r="S30" s="10">
        <v>50000</v>
      </c>
      <c r="T30" s="10">
        <v>500</v>
      </c>
      <c r="U30" s="10">
        <v>0</v>
      </c>
      <c r="V30" s="10">
        <v>0</v>
      </c>
      <c r="W30" s="10">
        <v>49500</v>
      </c>
      <c r="X30" s="28" t="s">
        <v>34</v>
      </c>
      <c r="Y30" s="10"/>
    </row>
    <row r="31" spans="1:91" ht="24.9" customHeight="1" x14ac:dyDescent="0.3">
      <c r="A31" s="22">
        <v>50569</v>
      </c>
      <c r="B31" s="26" t="s">
        <v>32</v>
      </c>
      <c r="C31" s="1">
        <v>44999</v>
      </c>
      <c r="D31" s="27">
        <v>5</v>
      </c>
      <c r="E31" s="10">
        <v>509469.2</v>
      </c>
      <c r="F31" s="10">
        <v>72056</v>
      </c>
      <c r="G31" s="10">
        <v>437413.2</v>
      </c>
      <c r="H31" s="10">
        <v>78734</v>
      </c>
      <c r="I31" s="10">
        <v>516147.20000000001</v>
      </c>
      <c r="J31" s="10">
        <v>5161.4720000000007</v>
      </c>
      <c r="K31" s="10">
        <v>21871</v>
      </c>
      <c r="L31" s="10">
        <v>43741</v>
      </c>
      <c r="M31" s="10">
        <v>43741</v>
      </c>
      <c r="N31" s="10">
        <v>78734</v>
      </c>
      <c r="O31" s="10">
        <v>74651.75</v>
      </c>
      <c r="P31" s="10">
        <v>248246.978</v>
      </c>
      <c r="Q31" s="23"/>
      <c r="R31" s="10" t="s">
        <v>35</v>
      </c>
      <c r="S31" s="10">
        <v>150000</v>
      </c>
      <c r="T31" s="10">
        <v>1500</v>
      </c>
      <c r="U31" s="10">
        <v>0</v>
      </c>
      <c r="V31" s="10">
        <v>0</v>
      </c>
      <c r="W31" s="10">
        <v>148500</v>
      </c>
      <c r="X31" s="28" t="s">
        <v>36</v>
      </c>
      <c r="Y31" s="10"/>
    </row>
    <row r="32" spans="1:91" ht="24.9" customHeight="1" x14ac:dyDescent="0.3">
      <c r="A32" s="22">
        <v>50569</v>
      </c>
      <c r="B32" s="26" t="s">
        <v>32</v>
      </c>
      <c r="C32" s="1">
        <v>45094</v>
      </c>
      <c r="D32" s="27">
        <v>2</v>
      </c>
      <c r="E32" s="10">
        <v>56284.28</v>
      </c>
      <c r="F32" s="10">
        <v>36028</v>
      </c>
      <c r="G32" s="10">
        <v>20256.28</v>
      </c>
      <c r="H32" s="10">
        <v>3646</v>
      </c>
      <c r="I32" s="10">
        <v>23902.28</v>
      </c>
      <c r="J32" s="10">
        <v>202.56279999999998</v>
      </c>
      <c r="K32" s="10">
        <v>1013</v>
      </c>
      <c r="L32" s="10">
        <v>2026</v>
      </c>
      <c r="M32" s="10">
        <v>2026</v>
      </c>
      <c r="N32" s="45">
        <v>3646.1303999999996</v>
      </c>
      <c r="O32" s="10">
        <v>0</v>
      </c>
      <c r="P32" s="10">
        <v>14988.586799999999</v>
      </c>
      <c r="Q32" s="23"/>
      <c r="R32" s="10" t="s">
        <v>37</v>
      </c>
      <c r="S32" s="10">
        <v>5549</v>
      </c>
      <c r="T32" s="10"/>
      <c r="U32" s="10"/>
      <c r="V32" s="10"/>
      <c r="W32" s="10">
        <v>5549</v>
      </c>
      <c r="X32" s="28" t="s">
        <v>38</v>
      </c>
      <c r="Y32" s="10"/>
    </row>
    <row r="33" spans="1:25" ht="24.9" customHeight="1" x14ac:dyDescent="0.3">
      <c r="A33" s="22">
        <v>50569</v>
      </c>
      <c r="B33" s="26" t="s">
        <v>62</v>
      </c>
      <c r="C33" s="1"/>
      <c r="D33" s="27">
        <v>1</v>
      </c>
      <c r="E33" s="10">
        <f>N30</f>
        <v>62015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45">
        <f>E33</f>
        <v>62015</v>
      </c>
      <c r="Q33" s="23"/>
      <c r="R33" s="10" t="s">
        <v>39</v>
      </c>
      <c r="S33" s="10">
        <v>60000</v>
      </c>
      <c r="T33" s="10">
        <v>600</v>
      </c>
      <c r="U33" s="10"/>
      <c r="V33" s="10"/>
      <c r="W33" s="10">
        <v>59400</v>
      </c>
      <c r="X33" s="28" t="s">
        <v>40</v>
      </c>
      <c r="Y33" s="10"/>
    </row>
    <row r="34" spans="1:25" ht="24.9" customHeight="1" x14ac:dyDescent="0.3">
      <c r="A34" s="22">
        <v>50569</v>
      </c>
      <c r="B34" s="26" t="s">
        <v>62</v>
      </c>
      <c r="C34" s="1"/>
      <c r="D34" s="27">
        <v>2</v>
      </c>
      <c r="E34" s="10">
        <f>N32</f>
        <v>3646.1303999999996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5">
        <f>E34</f>
        <v>3646.1303999999996</v>
      </c>
      <c r="Q34" s="23"/>
      <c r="R34" s="10" t="s">
        <v>41</v>
      </c>
      <c r="S34" s="10">
        <v>50000</v>
      </c>
      <c r="T34" s="10">
        <v>500</v>
      </c>
      <c r="U34" s="10"/>
      <c r="V34" s="10"/>
      <c r="W34" s="10">
        <v>49500</v>
      </c>
      <c r="X34" s="28" t="s">
        <v>42</v>
      </c>
      <c r="Y34" s="10"/>
    </row>
    <row r="35" spans="1:25" ht="24.9" customHeight="1" x14ac:dyDescent="0.3">
      <c r="A35" s="22">
        <v>50569</v>
      </c>
      <c r="B35" s="26"/>
      <c r="C35" s="1"/>
      <c r="D35" s="27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23"/>
      <c r="R35" s="10" t="s">
        <v>43</v>
      </c>
      <c r="S35" s="10">
        <v>250000</v>
      </c>
      <c r="T35" s="10">
        <v>2500</v>
      </c>
      <c r="U35" s="10"/>
      <c r="V35" s="10"/>
      <c r="W35" s="10">
        <v>247500</v>
      </c>
      <c r="X35" s="28" t="s">
        <v>44</v>
      </c>
      <c r="Y35" s="10"/>
    </row>
    <row r="36" spans="1:25" ht="24.9" customHeight="1" x14ac:dyDescent="0.3">
      <c r="A36" s="22">
        <v>50569</v>
      </c>
      <c r="B36" s="26"/>
      <c r="C36" s="1"/>
      <c r="D36" s="27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23"/>
      <c r="R36" s="10" t="s">
        <v>49</v>
      </c>
      <c r="S36" s="10">
        <v>32670</v>
      </c>
      <c r="T36" s="10">
        <v>0</v>
      </c>
      <c r="U36" s="10"/>
      <c r="V36" s="10"/>
      <c r="W36" s="10">
        <f>S36-T36-U36-V36</f>
        <v>32670</v>
      </c>
      <c r="X36" s="28" t="s">
        <v>51</v>
      </c>
      <c r="Y36" s="10"/>
    </row>
    <row r="37" spans="1:25" ht="24.9" customHeight="1" x14ac:dyDescent="0.3">
      <c r="A37" s="22">
        <v>50569</v>
      </c>
      <c r="B37" s="26"/>
      <c r="C37" s="1"/>
      <c r="D37" s="27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23"/>
      <c r="R37" s="10" t="s">
        <v>50</v>
      </c>
      <c r="S37" s="10">
        <v>62016</v>
      </c>
      <c r="T37" s="10">
        <v>0</v>
      </c>
      <c r="U37" s="10"/>
      <c r="V37" s="10"/>
      <c r="W37" s="10">
        <f>S37-T37-U37-V37</f>
        <v>62016</v>
      </c>
      <c r="X37" s="28" t="s">
        <v>52</v>
      </c>
      <c r="Y37" s="10"/>
    </row>
    <row r="38" spans="1:25" ht="24.9" customHeight="1" x14ac:dyDescent="0.3">
      <c r="A38" s="22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23"/>
      <c r="R38" s="10"/>
      <c r="S38" s="10"/>
      <c r="T38" s="10"/>
      <c r="U38" s="10"/>
      <c r="V38" s="10"/>
      <c r="W38" s="10"/>
      <c r="X38" s="28"/>
      <c r="Y38" s="10"/>
    </row>
    <row r="39" spans="1:25" ht="24.9" customHeight="1" thickBot="1" x14ac:dyDescent="0.35">
      <c r="A39" s="38"/>
      <c r="B39" s="39"/>
      <c r="C39" s="39"/>
      <c r="D39" s="39"/>
      <c r="E39" s="40"/>
      <c r="F39" s="40"/>
      <c r="G39" s="40"/>
      <c r="H39" s="11"/>
      <c r="I39" s="11"/>
      <c r="J39" s="11"/>
      <c r="K39" s="11"/>
      <c r="L39" s="11"/>
      <c r="M39" s="11"/>
      <c r="N39" s="11"/>
      <c r="O39" s="11"/>
      <c r="P39" s="11"/>
      <c r="Q39" s="41"/>
      <c r="R39" s="11"/>
      <c r="S39" s="11"/>
      <c r="T39" s="11"/>
      <c r="U39" s="11"/>
      <c r="V39" s="11"/>
      <c r="W39" s="11"/>
      <c r="X39" s="11"/>
      <c r="Y39" s="11">
        <f>SUM(P30:P38)-SUM(W30:W38)</f>
        <v>-122192.30479999993</v>
      </c>
    </row>
    <row r="40" spans="1:25" ht="24.9" customHeight="1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3">
        <f t="shared" ref="K40:N40" si="1">SUM(K7:K38)</f>
        <v>129495</v>
      </c>
      <c r="L40" s="43">
        <f t="shared" si="1"/>
        <v>216366</v>
      </c>
      <c r="M40" s="43">
        <f t="shared" si="1"/>
        <v>233593</v>
      </c>
      <c r="N40" s="43">
        <f t="shared" si="1"/>
        <v>466180.13040000002</v>
      </c>
      <c r="O40" s="43">
        <f>SUM(O7:O38)</f>
        <v>407221.75</v>
      </c>
      <c r="P40" s="43">
        <f>SUM(P8:P39)</f>
        <v>2192456.6952000004</v>
      </c>
      <c r="Q40" s="42"/>
      <c r="R40" s="42"/>
      <c r="S40" s="42"/>
      <c r="T40" s="43" t="s">
        <v>8</v>
      </c>
      <c r="U40" s="43"/>
      <c r="V40" s="43"/>
      <c r="W40" s="43">
        <f>SUM(W6:W39)</f>
        <v>2268003</v>
      </c>
      <c r="X40" s="42"/>
      <c r="Y40" s="43"/>
    </row>
    <row r="41" spans="1:25" ht="24.9" customHeight="1" thickBot="1" x14ac:dyDescent="0.35">
      <c r="A41" s="12"/>
      <c r="B41" s="12"/>
      <c r="C41" s="12"/>
      <c r="D41" s="12"/>
      <c r="E41" s="12"/>
      <c r="F41" s="12"/>
      <c r="G41" s="12"/>
      <c r="H41" s="12"/>
      <c r="I41" s="12"/>
      <c r="J41" s="32"/>
      <c r="K41" s="33"/>
      <c r="L41" s="33"/>
      <c r="M41" s="33"/>
      <c r="N41" s="33"/>
      <c r="O41" s="33"/>
      <c r="P41" s="32"/>
      <c r="Q41" s="33"/>
      <c r="R41" s="33"/>
      <c r="S41" s="33"/>
      <c r="T41" s="33" t="s">
        <v>9</v>
      </c>
      <c r="U41" s="12"/>
      <c r="V41" s="12"/>
      <c r="W41" s="33">
        <f>P40-W40</f>
        <v>-75546.304799999576</v>
      </c>
      <c r="X41" s="12"/>
      <c r="Y41" s="33"/>
    </row>
    <row r="42" spans="1:25" ht="24.9" customHeight="1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24.9" customHeight="1" thickBot="1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24.9" customHeight="1" thickBot="1" x14ac:dyDescent="0.35">
      <c r="A44" s="8"/>
      <c r="B44" s="8"/>
      <c r="C44" s="8"/>
      <c r="D44" s="8"/>
      <c r="E44" s="8"/>
      <c r="F44" s="8"/>
      <c r="G44" s="8"/>
      <c r="H44" s="8"/>
      <c r="I44" s="46">
        <v>45664</v>
      </c>
      <c r="J44" s="47"/>
      <c r="K44" s="47"/>
      <c r="L44" s="4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24.9" customHeight="1" x14ac:dyDescent="0.3">
      <c r="A45" s="8"/>
      <c r="B45" s="8"/>
      <c r="C45" s="8"/>
      <c r="D45" s="8"/>
      <c r="E45" s="8"/>
      <c r="F45" s="8"/>
      <c r="G45" s="8"/>
      <c r="H45" s="8"/>
      <c r="I45" s="49" t="s">
        <v>60</v>
      </c>
      <c r="J45" s="50"/>
      <c r="K45" s="49">
        <f>K40+L40+M40</f>
        <v>579454</v>
      </c>
      <c r="L45" s="51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24.9" customHeight="1" x14ac:dyDescent="0.3">
      <c r="A46" s="8"/>
      <c r="B46" s="8"/>
      <c r="C46" s="8"/>
      <c r="D46" s="8"/>
      <c r="E46" s="8"/>
      <c r="F46" s="8"/>
      <c r="G46" s="8"/>
      <c r="H46" s="8"/>
      <c r="I46" s="52" t="s">
        <v>61</v>
      </c>
      <c r="J46" s="53"/>
      <c r="K46" s="52">
        <f>W41</f>
        <v>-75546.304799999576</v>
      </c>
      <c r="L46" s="54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24.9" customHeight="1" thickBot="1" x14ac:dyDescent="0.35">
      <c r="A47" s="8"/>
      <c r="B47" s="8"/>
      <c r="C47" s="8"/>
      <c r="D47" s="8"/>
      <c r="E47" s="8"/>
      <c r="F47" s="8"/>
      <c r="G47" s="8"/>
      <c r="H47" s="8"/>
      <c r="I47" s="55" t="s">
        <v>6</v>
      </c>
      <c r="J47" s="56"/>
      <c r="K47" s="55">
        <v>70705</v>
      </c>
      <c r="L47" s="57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24.9" customHeight="1" thickBot="1" x14ac:dyDescent="0.35">
      <c r="A48" s="8"/>
      <c r="B48" s="8"/>
      <c r="C48" s="8"/>
      <c r="D48" s="8"/>
      <c r="E48" s="8"/>
      <c r="F48" s="8"/>
      <c r="G48" s="8"/>
      <c r="H48" s="8"/>
      <c r="I48" s="55" t="s">
        <v>63</v>
      </c>
      <c r="J48" s="56"/>
      <c r="K48" s="55">
        <f>N40-P33-P25-P16-P9-P17-P26-P34</f>
        <v>79445.000000000029</v>
      </c>
      <c r="L48" s="57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24.9" customHeight="1" x14ac:dyDescent="0.3">
      <c r="A49" s="8"/>
      <c r="B49" s="8"/>
      <c r="C49" s="8"/>
      <c r="D49" s="8"/>
      <c r="E49" s="8"/>
      <c r="F49" s="8"/>
      <c r="G49" s="8"/>
      <c r="H49" s="8"/>
      <c r="I49" s="49" t="s">
        <v>69</v>
      </c>
      <c r="J49" s="50"/>
      <c r="K49" s="49">
        <f>O40-E27-E18</f>
        <v>143282.75</v>
      </c>
      <c r="L49" s="51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24.9" customHeight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24.9" customHeight="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24.9" customHeight="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24.9" customHeight="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24.9" customHeight="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24.9" customHeight="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24.9" customHeight="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24.9" customHeight="1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24.9" customHeight="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24.9" customHeight="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24.9" customHeight="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24.9" customHeight="1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24.9" customHeight="1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24.9" customHeight="1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24.9" customHeight="1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24.9" customHeight="1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24.9" customHeight="1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24.9" customHeight="1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24.9" customHeight="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24.9" customHeigh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24.9" customHeight="1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24.9" customHeight="1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24.9" customHeigh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24.9" customHeight="1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24.9" customHeight="1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24.9" customHeight="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24.9" customHeight="1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24.9" customHeight="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24.9" customHeigh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24.9" customHeigh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24.9" customHeigh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24.9" customHeight="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24.9" customHeight="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24.9" customHeight="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24.9" customHeight="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24.9" customHeight="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24.9" customHeight="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24.9" customHeight="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24.9" customHeigh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24.9" customHeigh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24.9" customHeigh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24.9" customHeight="1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24.9" customHeight="1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24.9" customHeight="1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24.9" customHeight="1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24.9" customHeight="1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24.9" customHeight="1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24.9" customHeight="1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24.9" customHeight="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24.9" customHeigh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24.9" customHeigh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24.9" customHeight="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24.9" customHeight="1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24.9" customHeight="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</sheetData>
  <mergeCells count="11">
    <mergeCell ref="I49:J49"/>
    <mergeCell ref="K49:L49"/>
    <mergeCell ref="I47:J47"/>
    <mergeCell ref="K47:L47"/>
    <mergeCell ref="I48:J48"/>
    <mergeCell ref="K48:L48"/>
    <mergeCell ref="I44:L44"/>
    <mergeCell ref="I45:J45"/>
    <mergeCell ref="K45:L45"/>
    <mergeCell ref="I46:J46"/>
    <mergeCell ref="K46:L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2022-06-28T06:22:04Z</cp:lastPrinted>
  <dcterms:created xsi:type="dcterms:W3CDTF">2022-06-10T14:11:52Z</dcterms:created>
  <dcterms:modified xsi:type="dcterms:W3CDTF">2025-05-28T10:25:50Z</dcterms:modified>
</cp:coreProperties>
</file>