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AB99F91A-4F87-4AD4-976E-EBA5E8BBB4B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G52" i="1" l="1"/>
  <c r="J52" i="1" s="1"/>
  <c r="G13" i="1"/>
  <c r="N13" i="1" s="1"/>
  <c r="E14" i="1" s="1"/>
  <c r="O14" i="1" s="1"/>
  <c r="K52" i="1" l="1"/>
  <c r="H52" i="1"/>
  <c r="N52" i="1" s="1"/>
  <c r="K66" i="1" s="1"/>
  <c r="L52" i="1"/>
  <c r="K13" i="1"/>
  <c r="J13" i="1"/>
  <c r="H13" i="1"/>
  <c r="I13" i="1" s="1"/>
  <c r="G42" i="1"/>
  <c r="L42" i="1" s="1"/>
  <c r="G47" i="1"/>
  <c r="L47" i="1" s="1"/>
  <c r="I52" i="1" l="1"/>
  <c r="O52" i="1" s="1"/>
  <c r="V52" i="1" s="1"/>
  <c r="O13" i="1"/>
  <c r="K42" i="1"/>
  <c r="H42" i="1"/>
  <c r="N42" i="1" s="1"/>
  <c r="E43" i="1" s="1"/>
  <c r="O43" i="1" s="1"/>
  <c r="J42" i="1"/>
  <c r="K47" i="1"/>
  <c r="H47" i="1"/>
  <c r="N47" i="1" s="1"/>
  <c r="E48" i="1" s="1"/>
  <c r="O48" i="1" s="1"/>
  <c r="J47" i="1"/>
  <c r="I42" i="1" l="1"/>
  <c r="O42" i="1" s="1"/>
  <c r="I47" i="1"/>
  <c r="O47" i="1" s="1"/>
  <c r="V47" i="1" s="1"/>
  <c r="P46" i="1"/>
  <c r="G29" i="1" l="1"/>
  <c r="J29" i="1" s="1"/>
  <c r="J28" i="1"/>
  <c r="G27" i="1"/>
  <c r="J27" i="1" s="1"/>
  <c r="K27" i="1" l="1"/>
  <c r="K29" i="1"/>
  <c r="H27" i="1"/>
  <c r="I27" i="1" s="1"/>
  <c r="H28" i="1"/>
  <c r="N28" i="1" s="1"/>
  <c r="M28" i="1"/>
  <c r="H29" i="1"/>
  <c r="N29" i="1" s="1"/>
  <c r="E30" i="1" s="1"/>
  <c r="O30" i="1" s="1"/>
  <c r="M29" i="1"/>
  <c r="K28" i="1"/>
  <c r="P39" i="1"/>
  <c r="G40" i="1"/>
  <c r="L40" i="1" s="1"/>
  <c r="I28" i="1" l="1"/>
  <c r="N27" i="1"/>
  <c r="O27" i="1" s="1"/>
  <c r="E28" i="1"/>
  <c r="O28" i="1" s="1"/>
  <c r="I29" i="1"/>
  <c r="O29" i="1" s="1"/>
  <c r="H40" i="1"/>
  <c r="J40" i="1"/>
  <c r="K40" i="1"/>
  <c r="S14" i="1"/>
  <c r="T14" i="1" s="1"/>
  <c r="T24" i="1"/>
  <c r="T25" i="1"/>
  <c r="T26" i="1"/>
  <c r="T27" i="1"/>
  <c r="P36" i="1"/>
  <c r="G37" i="1"/>
  <c r="G25" i="1"/>
  <c r="J25" i="1" s="1"/>
  <c r="S21" i="1"/>
  <c r="S11" i="1"/>
  <c r="T11" i="1" s="1"/>
  <c r="T10" i="1"/>
  <c r="T12" i="1"/>
  <c r="T13" i="1"/>
  <c r="G10" i="1"/>
  <c r="G24" i="1"/>
  <c r="I24" i="1" s="1"/>
  <c r="O24" i="1" s="1"/>
  <c r="N10" i="1" l="1"/>
  <c r="K10" i="1"/>
  <c r="J10" i="1"/>
  <c r="N40" i="1"/>
  <c r="E41" i="1"/>
  <c r="O41" i="1" s="1"/>
  <c r="I40" i="1"/>
  <c r="L37" i="1"/>
  <c r="H37" i="1"/>
  <c r="N37" i="1" s="1"/>
  <c r="E38" i="1" s="1"/>
  <c r="O38" i="1" s="1"/>
  <c r="K37" i="1"/>
  <c r="J37" i="1"/>
  <c r="K25" i="1"/>
  <c r="H25" i="1"/>
  <c r="N25" i="1" s="1"/>
  <c r="E26" i="1" s="1"/>
  <c r="G26" i="1" s="1"/>
  <c r="I26" i="1" s="1"/>
  <c r="O26" i="1" s="1"/>
  <c r="M25" i="1"/>
  <c r="H10" i="1"/>
  <c r="I10" i="1" s="1"/>
  <c r="S9" i="1"/>
  <c r="T9" i="1" s="1"/>
  <c r="E9" i="1"/>
  <c r="G9" i="1" s="1"/>
  <c r="T8" i="1"/>
  <c r="E8" i="1"/>
  <c r="G8" i="1" s="1"/>
  <c r="O40" i="1" l="1"/>
  <c r="V40" i="1" s="1"/>
  <c r="I37" i="1"/>
  <c r="O37" i="1" s="1"/>
  <c r="V37" i="1" s="1"/>
  <c r="M10" i="1"/>
  <c r="I25" i="1"/>
  <c r="O25" i="1" s="1"/>
  <c r="K9" i="1"/>
  <c r="L9" i="1"/>
  <c r="J9" i="1"/>
  <c r="H9" i="1"/>
  <c r="N9" i="1" s="1"/>
  <c r="E12" i="1" s="1"/>
  <c r="G12" i="1" s="1"/>
  <c r="I12" i="1" s="1"/>
  <c r="O12" i="1" s="1"/>
  <c r="L8" i="1"/>
  <c r="H8" i="1"/>
  <c r="N8" i="1" s="1"/>
  <c r="K8" i="1"/>
  <c r="J8" i="1"/>
  <c r="E11" i="1" l="1"/>
  <c r="G11" i="1" s="1"/>
  <c r="I11" i="1" s="1"/>
  <c r="O11" i="1" s="1"/>
  <c r="I8" i="1"/>
  <c r="O8" i="1" s="1"/>
  <c r="I9" i="1"/>
  <c r="O9" i="1" s="1"/>
  <c r="V8" i="1" l="1"/>
  <c r="T23" i="1"/>
  <c r="G23" i="1"/>
  <c r="M23" i="1" s="1"/>
  <c r="G22" i="1"/>
  <c r="M22" i="1" s="1"/>
  <c r="T21" i="1"/>
  <c r="E21" i="1"/>
  <c r="G21" i="1" s="1"/>
  <c r="T58" i="1" l="1"/>
  <c r="J23" i="1"/>
  <c r="J22" i="1"/>
  <c r="K21" i="1"/>
  <c r="J21" i="1"/>
  <c r="M21" i="1"/>
  <c r="M58" i="1" s="1"/>
  <c r="L21" i="1"/>
  <c r="L58" i="1" s="1"/>
  <c r="H21" i="1"/>
  <c r="N21" i="1" s="1"/>
  <c r="K23" i="1"/>
  <c r="K22" i="1"/>
  <c r="H22" i="1"/>
  <c r="H23" i="1"/>
  <c r="K58" i="1" l="1"/>
  <c r="K64" i="1" s="1"/>
  <c r="I21" i="1"/>
  <c r="O21" i="1" s="1"/>
  <c r="N23" i="1"/>
  <c r="I23" i="1"/>
  <c r="N22" i="1"/>
  <c r="I22" i="1"/>
  <c r="N58" i="1" l="1"/>
  <c r="O23" i="1"/>
  <c r="O22" i="1"/>
  <c r="O58" i="1" s="1"/>
  <c r="T59" i="1" l="1"/>
  <c r="K65" i="1" s="1"/>
  <c r="L67" i="1" s="1"/>
  <c r="L68" i="1" s="1"/>
  <c r="V21" i="1"/>
  <c r="V58" i="1" s="1"/>
</calcChain>
</file>

<file path=xl/sharedStrings.xml><?xml version="1.0" encoding="utf-8"?>
<sst xmlns="http://schemas.openxmlformats.org/spreadsheetml/2006/main" count="124" uniqueCount="103">
  <si>
    <t>Amount</t>
  </si>
  <si>
    <t>PAYMENT NOTE No.</t>
  </si>
  <si>
    <t>UTR</t>
  </si>
  <si>
    <t>Balance Payable Amount Rs. -</t>
  </si>
  <si>
    <t>Total Paid Amount Rs. -</t>
  </si>
  <si>
    <t>Testing Deposit</t>
  </si>
  <si>
    <t>M/s Sundar Baliyan</t>
  </si>
  <si>
    <t>NIYAMU Village OHT Construction work 325 kl 12m</t>
  </si>
  <si>
    <t>30-09-2023 NEFT/AXISP00429227612/RIUP23/2350/SUNDER BALIYAN/CNRB0002646 271028.00</t>
  </si>
  <si>
    <t>RIUP23/2350</t>
  </si>
  <si>
    <t>chokada Village OHT Construction work 375 kl 12m</t>
  </si>
  <si>
    <t>RIUP23/786</t>
  </si>
  <si>
    <t>21-06-2023 NEFT/AXISP00400035990/RIUP23/786/SUNDER BALIYAN 99000.00</t>
  </si>
  <si>
    <t>RIUP23/834</t>
  </si>
  <si>
    <t>26-06-2023 NEFT/AXISP00400723675/RIUP23/834/SUNDER BALIYAN 54468.00</t>
  </si>
  <si>
    <t>RIUP23/1171</t>
  </si>
  <si>
    <t>24-07-2023 NEFT/AXISP00408935255/RIUP23/1171/SUNDER BALIYAN 388686.00</t>
  </si>
  <si>
    <t>RIUP23/1649</t>
  </si>
  <si>
    <t>GST Release</t>
  </si>
  <si>
    <t>4 , 5 , 6</t>
  </si>
  <si>
    <t>19-10-2023 NEFT/AXISP00435739495/RIUP23/2781/SUNDER BALIYAN/CNRB0002646 424768.00</t>
  </si>
  <si>
    <t>02-11-2023 NEFT/AXISP00439799503/RIUP23/2926/SUNDER BALIYAN/CNRB0002646 51899.00</t>
  </si>
  <si>
    <t>10-11-2023 NEFT/AXISP00443237222/RIUP23/3221/SUNDER BALIYAN/CNRB0002646 297000.00</t>
  </si>
  <si>
    <t>RIUP23/3221</t>
  </si>
  <si>
    <t>RIUP23/2926</t>
  </si>
  <si>
    <t>RIUP23/2781</t>
  </si>
  <si>
    <t>07-12-2023 NEFT/AXISP00450798908/RIUP23/3440/SUNDER BALIYAN/CNRB0002646 140722.00</t>
  </si>
  <si>
    <t>RIUP23/3440</t>
  </si>
  <si>
    <t>RIUP23/3948</t>
  </si>
  <si>
    <t>9,10</t>
  </si>
  <si>
    <t>01-11-2023 NEFT/AXISP00439227033/RIUP23/2927/SUNDER BALIYAN/CNRB0002646 192539.00</t>
  </si>
  <si>
    <t>RIUP23/2927</t>
  </si>
  <si>
    <t>Advance/ Surplus</t>
  </si>
  <si>
    <t>12-02-2024 NEFT/AXISP00465471236/RIUP23/4396/SUNDER BALIYAN/CNRB0002646 53737.00</t>
  </si>
  <si>
    <t>09-01-2024 NEFT/AXISP00460826669/RIUP23/4128/SUNDER BALIYAN/CNRB0002646 250773.00</t>
  </si>
  <si>
    <t>RIUP23/4128</t>
  </si>
  <si>
    <t>RIUP23/4396</t>
  </si>
  <si>
    <t>01-02-2024 NEFT/AXISP00467277201/RIUP23/4530/SUNDER BALIYAN/CNRB0002646 198000.00</t>
  </si>
  <si>
    <t>RIUP23/4530</t>
  </si>
  <si>
    <t>Advance Village Wise</t>
  </si>
  <si>
    <t>16-03-2024 NEFT/AXISP00481577083/RIUP23/5100/SUNDER BALIYAN/CNRB0002646 734417.00</t>
  </si>
  <si>
    <t>16-02-2024 NEFT/AXISP00472105150/RIUP23/4707/SUNDER BALIYAN/CNRB0002646 576729.00</t>
  </si>
  <si>
    <t>15-03-2024 NEFT/AXISP00481260201/RIUP23/5125/SUNDER BALIYAN/CNRB0002646 110437.00</t>
  </si>
  <si>
    <t>14-05-2024 NEFT/AXISP00499706362/RIUP24/0477/SUNDER BALIYAN/CNRB0002646 148500.00</t>
  </si>
  <si>
    <t>05-06-2024 NEFT/AXISP00506499531/RIUP24/0595/SUNDER BALIYAN/CNRB0002646 140633.00</t>
  </si>
  <si>
    <t>10-07-2024 NEFT/AXISP00517515316/RIUP24/1085/SUNDER BALIYAN/CNRB0002646 148500.00</t>
  </si>
  <si>
    <t>Hold</t>
  </si>
  <si>
    <t>GST Remaining</t>
  </si>
  <si>
    <t>27-06-2024 NEFT/AXISP00512315859/RIUP24/0984/SUNDER BALIYAN/CNRB0002646 297000.00</t>
  </si>
  <si>
    <t>Sunder Baliyan</t>
  </si>
  <si>
    <t>26-07-2024 NEFT/AXISP00521554459/RIUP24/1204/SUNDER BALIYAN/CNRB0002646 106507.00</t>
  </si>
  <si>
    <t>26-07-2024 NEFT/AXISP00521554458/RIUP24/1215/SUNDER BALIYAN/CNRB0002646 118287.00</t>
  </si>
  <si>
    <t>19-08-2024 NEFT/AXISP00529670931/RIUP24/1490/SUNDER BALIYAN/CNRB0002646 346500.00</t>
  </si>
  <si>
    <t>05-08-2024 NEFT/AXISP00525106900/RIUP24/1374/SUNDER BALIYAN/CNRB0002646 297000.00</t>
  </si>
  <si>
    <t>01-10-2024 NEFT/AXISP00547368158/RIUP24/2049/SUNDER BALIYAN/CNRB0002646 198000.00</t>
  </si>
  <si>
    <t>01-10-2024 NEFT/AXISP00547368157/RIUP24/2050/SUNDER BALIYAN/CNRB0002646 49500.00</t>
  </si>
  <si>
    <t>17-09-2024 NEFT/AXISP00541269871/RIUP24/1811/SUNDER BALIYAN/CNRB0002646 396000.00</t>
  </si>
  <si>
    <t>01-10-2024 NEFT/AXISP00547368159/RIUP24/2048/SUNDER BALIYAN/CNRB0002646 198000.00</t>
  </si>
  <si>
    <t>21-10-2024 NEFT/AXISP00556267657/RIUP24/2271/SUNDER BALIYAN/CNRB0002646 198000.00</t>
  </si>
  <si>
    <t>30-10-2024 NEFT/AXISP00561390202/RIUP24/2242/SUNDER BALIYAN/CNRB0002646 71433.00</t>
  </si>
  <si>
    <t>30-10-2024 NEFT/AXISP00561390206/RIUP24/2342/SUNDER BALIYAN/CNRB0002646 198000.00</t>
  </si>
  <si>
    <t>30-10-2024 NEFT/AXISP00561390201/RIUP24/2247/SUNDER BALIYAN/CNRB0002646 99815.00</t>
  </si>
  <si>
    <t>27-11-2024 NEFT/AXISP00575069447/RIUP24/2563/SUNDER BALIYAN/CNRB0002646 148500.00</t>
  </si>
  <si>
    <t>28-11-2024 NEFT/AXISP00575911968/RIUP24/2575/SUNDER BALIYAN/CNRB0002646 148500.00</t>
  </si>
  <si>
    <t>29-12-2023 NEFT/AXISP00456946531/RIUP23/3948/SUNDER BALIYAN/CNRB0002646  175137.00</t>
  </si>
  <si>
    <t>01-09-2023 NEFT/AXISP00420941788/RIUP23/1649/SUNDER BALIYAN/CNRB0002646 356360.00</t>
  </si>
  <si>
    <t>Debit Pending</t>
  </si>
  <si>
    <t>03-01-2025 NEFT/AXISP00593049699/RIUP24/2839/SUNDER BALIYAN/CNRB0002646 198000.00</t>
  </si>
  <si>
    <t>Nil</t>
  </si>
  <si>
    <t>23-01-2025 NEFT/AXISP00602325104/RIUP24/2982/SUNDER BALIYAN/CNRB0002646 89508.00</t>
  </si>
  <si>
    <t>23-01-2025 NEFT/AXISP00602325103/RIUP24/2980/SUNDER BALIYAN/CNRB0002646 119497.00</t>
  </si>
  <si>
    <t>21-02-2025 NEFT/AXISP00620029827/RIUP24/3228/SUNDER BALIYAN/CNRB0002646 396000.00</t>
  </si>
  <si>
    <t xml:space="preserve"> </t>
  </si>
  <si>
    <t>05-04-2025 NEFT/AXISP00647017258/RIUP24/2981/SUNDER BALIYAN/CNRB0002646 113901.00</t>
  </si>
  <si>
    <t>21-04-2025 NEFT/AXISP00653834763/RIUP25/0137/SUNDER BALIYAN/CNRB0002646 100000.00</t>
  </si>
  <si>
    <t>24-04-2025 NEFT/AXISP00655699067/RIUP25/0145/SUNDER BALIYAN/CNRB0002646 396000.00</t>
  </si>
  <si>
    <t>16-05-2025 NEFT/AXISP00666690344/RIUP25/0267/SUNDER BALIYAN/CNRB0002646 198000.00</t>
  </si>
  <si>
    <t xml:space="preserve">subcontactor name </t>
  </si>
  <si>
    <t>state name</t>
  </si>
  <si>
    <t>district name</t>
  </si>
  <si>
    <t>block name</t>
  </si>
  <si>
    <t>Uttar Pradesh</t>
  </si>
  <si>
    <t>Muzaffarnagar</t>
  </si>
  <si>
    <t>CHOKDA village DG FOUNDATION work</t>
  </si>
  <si>
    <t xml:space="preserve">Ladwa village  - Oht 350, 14 work </t>
  </si>
  <si>
    <t xml:space="preserve">Nirmana VILLAGE BALANCE WORK OF 200KL 14MTR  </t>
  </si>
  <si>
    <t xml:space="preserve">Siisona village  - Sadar - 400 - 16 work 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</si>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</sst>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3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5" fontId="8" fillId="3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vertical="center"/>
    </xf>
    <xf numFmtId="165" fontId="6" fillId="2" borderId="10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4" fontId="10" fillId="0" borderId="5" xfId="0" applyNumberFormat="1" applyFont="1" applyBorder="1"/>
    <xf numFmtId="14" fontId="5" fillId="2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8" fillId="5" borderId="5" xfId="1" applyNumberFormat="1" applyFont="1" applyFill="1" applyBorder="1" applyAlignment="1">
      <alignment vertical="center"/>
    </xf>
    <xf numFmtId="43" fontId="0" fillId="2" borderId="12" xfId="1" applyFont="1" applyFill="1" applyBorder="1" applyAlignment="1">
      <alignment vertical="center"/>
    </xf>
    <xf numFmtId="43" fontId="0" fillId="2" borderId="14" xfId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43" fontId="0" fillId="2" borderId="5" xfId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43" fontId="4" fillId="2" borderId="0" xfId="1" applyFont="1" applyFill="1" applyAlignment="1">
      <alignment vertical="center"/>
    </xf>
    <xf numFmtId="43" fontId="5" fillId="2" borderId="11" xfId="1" applyFont="1" applyFill="1" applyBorder="1" applyAlignment="1">
      <alignment horizontal="center" vertical="center" wrapText="1"/>
    </xf>
    <xf numFmtId="43" fontId="3" fillId="2" borderId="6" xfId="1" applyFont="1" applyFill="1" applyBorder="1" applyAlignment="1">
      <alignment vertical="center"/>
    </xf>
    <xf numFmtId="43" fontId="3" fillId="3" borderId="4" xfId="1" applyFont="1" applyFill="1" applyBorder="1" applyAlignment="1">
      <alignment vertical="center"/>
    </xf>
    <xf numFmtId="43" fontId="3" fillId="2" borderId="5" xfId="1" applyFont="1" applyFill="1" applyBorder="1" applyAlignment="1">
      <alignment vertical="center"/>
    </xf>
    <xf numFmtId="43" fontId="8" fillId="3" borderId="5" xfId="1" applyFont="1" applyFill="1" applyBorder="1" applyAlignment="1">
      <alignment vertical="center"/>
    </xf>
    <xf numFmtId="43" fontId="5" fillId="2" borderId="11" xfId="1" applyFont="1" applyFill="1" applyBorder="1" applyAlignment="1">
      <alignment vertical="center"/>
    </xf>
    <xf numFmtId="43" fontId="5" fillId="2" borderId="6" xfId="1" applyFont="1" applyFill="1" applyBorder="1" applyAlignment="1">
      <alignment vertical="center"/>
    </xf>
    <xf numFmtId="43" fontId="0" fillId="2" borderId="0" xfId="1" applyFont="1" applyFill="1" applyAlignment="1">
      <alignment vertical="center"/>
    </xf>
    <xf numFmtId="43" fontId="3" fillId="3" borderId="11" xfId="1" applyFont="1" applyFill="1" applyBorder="1" applyAlignment="1">
      <alignment vertical="center"/>
    </xf>
    <xf numFmtId="165" fontId="6" fillId="2" borderId="10" xfId="0" applyNumberFormat="1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 wrapText="1"/>
    </xf>
    <xf numFmtId="165" fontId="0" fillId="2" borderId="0" xfId="0" applyNumberFormat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3" fillId="2" borderId="4" xfId="1" applyFont="1" applyFill="1" applyBorder="1" applyAlignment="1">
      <alignment vertical="center"/>
    </xf>
    <xf numFmtId="43" fontId="3" fillId="2" borderId="15" xfId="1" applyFont="1" applyFill="1" applyBorder="1" applyAlignment="1">
      <alignment vertical="center"/>
    </xf>
    <xf numFmtId="0" fontId="10" fillId="0" borderId="0" xfId="0" applyFont="1"/>
    <xf numFmtId="43" fontId="9" fillId="2" borderId="5" xfId="1" applyFont="1" applyFill="1" applyBorder="1" applyAlignment="1">
      <alignment vertical="center"/>
    </xf>
    <xf numFmtId="164" fontId="9" fillId="2" borderId="5" xfId="1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14" fillId="2" borderId="11" xfId="2" applyNumberFormat="1" applyFont="1" applyFill="1" applyBorder="1" applyAlignment="1">
      <alignment horizontal="center" vertical="center"/>
    </xf>
    <xf numFmtId="164" fontId="6" fillId="2" borderId="11" xfId="2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13" fillId="2" borderId="1" xfId="2" applyFont="1" applyFill="1" applyBorder="1" applyAlignment="1">
      <alignment horizontal="center" vertical="center"/>
    </xf>
    <xf numFmtId="164" fontId="13" fillId="2" borderId="2" xfId="2" applyFont="1" applyFill="1" applyBorder="1" applyAlignment="1">
      <alignment horizontal="center" vertical="center"/>
    </xf>
    <xf numFmtId="164" fontId="13" fillId="2" borderId="7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1"/>
  <sheetViews>
    <sheetView tabSelected="1" zoomScale="85" zoomScaleNormal="85" workbookViewId="0">
      <pane ySplit="5" topLeftCell="A42" activePane="bottomLeft" state="frozen"/>
      <selection pane="bottomLeft" activeCell="C26" sqref="C26"/>
    </sheetView>
  </sheetViews>
  <sheetFormatPr defaultColWidth="9" defaultRowHeight="24.9" customHeight="1" x14ac:dyDescent="0.3"/>
  <cols>
    <col min="1" max="1" width="14.88671875" style="2" customWidth="1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1" customWidth="1"/>
    <col min="9" max="9" width="12.88671875" style="11" bestFit="1" customWidth="1"/>
    <col min="10" max="10" width="10.6640625" style="2" bestFit="1" customWidth="1"/>
    <col min="11" max="11" width="21.88671875" style="2" customWidth="1"/>
    <col min="12" max="12" width="13.6640625" style="2" customWidth="1"/>
    <col min="13" max="13" width="14.33203125" style="2" customWidth="1"/>
    <col min="14" max="15" width="14.88671875" style="2" customWidth="1"/>
    <col min="16" max="16" width="11.33203125" style="2" bestFit="1" customWidth="1"/>
    <col min="17" max="17" width="14" style="2" customWidth="1"/>
    <col min="18" max="18" width="15.33203125" style="2" customWidth="1"/>
    <col min="19" max="19" width="13.6640625" style="2" customWidth="1"/>
    <col min="20" max="20" width="19.6640625" style="60" bestFit="1" customWidth="1"/>
    <col min="21" max="21" width="92" style="2" customWidth="1"/>
    <col min="22" max="22" width="19.5546875" style="60" bestFit="1" customWidth="1"/>
    <col min="23" max="23" width="13" style="2" bestFit="1" customWidth="1"/>
    <col min="24" max="16384" width="9" style="2"/>
  </cols>
  <sheetData>
    <row r="1" spans="1:79" ht="24.9" customHeight="1" x14ac:dyDescent="0.3">
      <c r="A1" s="75" t="s">
        <v>77</v>
      </c>
      <c r="B1" s="2" t="s">
        <v>6</v>
      </c>
      <c r="E1" s="50"/>
      <c r="F1" s="50"/>
      <c r="G1" s="50"/>
      <c r="H1" s="3"/>
      <c r="I1" s="3"/>
      <c r="T1" s="51"/>
      <c r="V1" s="51"/>
    </row>
    <row r="2" spans="1:79" ht="24.9" customHeight="1" x14ac:dyDescent="0.3">
      <c r="A2" s="76" t="s">
        <v>78</v>
      </c>
      <c r="B2" s="77" t="s">
        <v>81</v>
      </c>
      <c r="C2" s="4"/>
      <c r="G2" s="5"/>
      <c r="H2" s="3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51"/>
      <c r="V2" s="51"/>
    </row>
    <row r="3" spans="1:79" ht="24.9" customHeight="1" x14ac:dyDescent="0.3">
      <c r="A3" s="76" t="s">
        <v>79</v>
      </c>
      <c r="B3" s="77" t="s">
        <v>82</v>
      </c>
      <c r="C3" s="4"/>
      <c r="G3" s="5"/>
      <c r="H3" s="3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51"/>
      <c r="V3" s="51"/>
    </row>
    <row r="4" spans="1:79" ht="24.9" customHeight="1" thickBot="1" x14ac:dyDescent="0.35">
      <c r="A4" s="76" t="s">
        <v>80</v>
      </c>
      <c r="B4" s="77" t="s">
        <v>82</v>
      </c>
      <c r="C4" s="6"/>
      <c r="D4" s="6"/>
      <c r="E4" s="6"/>
      <c r="F4" s="6"/>
      <c r="G4" s="6"/>
      <c r="H4" s="7"/>
      <c r="I4" s="7"/>
      <c r="J4" s="6"/>
      <c r="K4" s="6"/>
      <c r="L4" s="6"/>
      <c r="M4" s="6"/>
      <c r="P4" s="43"/>
      <c r="Q4" s="6"/>
      <c r="R4" s="8"/>
      <c r="S4" s="8"/>
      <c r="T4" s="52"/>
      <c r="U4" s="8"/>
      <c r="V4" s="52"/>
    </row>
    <row r="5" spans="1:79" ht="24.9" customHeight="1" x14ac:dyDescent="0.3">
      <c r="A5" s="78" t="s">
        <v>87</v>
      </c>
      <c r="B5" s="79" t="s">
        <v>88</v>
      </c>
      <c r="C5" s="80" t="s">
        <v>89</v>
      </c>
      <c r="D5" s="78" t="s">
        <v>90</v>
      </c>
      <c r="E5" s="78" t="s">
        <v>91</v>
      </c>
      <c r="F5" s="80" t="s">
        <v>92</v>
      </c>
      <c r="G5" s="81" t="s">
        <v>93</v>
      </c>
      <c r="H5" s="82" t="s">
        <v>0</v>
      </c>
      <c r="I5" s="78" t="s">
        <v>94</v>
      </c>
      <c r="J5" s="78" t="s">
        <v>95</v>
      </c>
      <c r="K5" s="78" t="s">
        <v>96</v>
      </c>
      <c r="L5" s="78" t="s">
        <v>97</v>
      </c>
      <c r="M5" s="22" t="s">
        <v>5</v>
      </c>
      <c r="N5" s="78" t="s">
        <v>98</v>
      </c>
      <c r="O5" s="78" t="s">
        <v>99</v>
      </c>
      <c r="P5" s="22"/>
      <c r="Q5" s="22" t="s">
        <v>1</v>
      </c>
      <c r="R5" s="78" t="s">
        <v>100</v>
      </c>
      <c r="S5" s="78" t="s">
        <v>101</v>
      </c>
      <c r="T5" s="78" t="s">
        <v>102</v>
      </c>
      <c r="U5" s="78" t="s">
        <v>2</v>
      </c>
      <c r="V5" s="53" t="s">
        <v>39</v>
      </c>
    </row>
    <row r="6" spans="1:79" ht="24.9" customHeight="1" thickBot="1" x14ac:dyDescent="0.35">
      <c r="A6" s="21"/>
      <c r="B6" s="10"/>
      <c r="C6" s="10"/>
      <c r="D6" s="10"/>
      <c r="E6" s="10"/>
      <c r="F6" s="10"/>
      <c r="G6" s="10"/>
      <c r="H6" s="39">
        <v>0.18</v>
      </c>
      <c r="I6" s="10"/>
      <c r="J6" s="39">
        <v>0.01</v>
      </c>
      <c r="K6" s="39">
        <v>0.05</v>
      </c>
      <c r="L6" s="39">
        <v>0</v>
      </c>
      <c r="M6" s="39">
        <v>0.1</v>
      </c>
      <c r="N6" s="39">
        <v>0.18</v>
      </c>
      <c r="O6" s="10"/>
      <c r="P6" s="40"/>
      <c r="Q6" s="10"/>
      <c r="R6" s="10"/>
      <c r="S6" s="39">
        <v>0.01</v>
      </c>
      <c r="T6" s="54"/>
      <c r="U6" s="10"/>
      <c r="V6" s="54"/>
    </row>
    <row r="7" spans="1:79" s="14" customFormat="1" ht="24.9" customHeight="1" x14ac:dyDescent="0.3">
      <c r="A7" s="37"/>
      <c r="B7" s="15"/>
      <c r="C7" s="15"/>
      <c r="D7" s="15"/>
      <c r="E7" s="15"/>
      <c r="F7" s="15"/>
      <c r="G7" s="15"/>
      <c r="H7" s="16"/>
      <c r="I7" s="15"/>
      <c r="J7" s="16"/>
      <c r="K7" s="16"/>
      <c r="L7" s="16"/>
      <c r="M7" s="16"/>
      <c r="N7" s="16"/>
      <c r="O7" s="15"/>
      <c r="P7" s="38"/>
      <c r="Q7" s="15"/>
      <c r="R7" s="15"/>
      <c r="S7" s="16"/>
      <c r="T7" s="55"/>
      <c r="U7" s="15"/>
      <c r="V7" s="6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ht="24.9" customHeight="1" x14ac:dyDescent="0.3">
      <c r="A8" s="20">
        <v>59346</v>
      </c>
      <c r="B8" s="24" t="s">
        <v>7</v>
      </c>
      <c r="C8" s="1">
        <v>45187</v>
      </c>
      <c r="D8" s="25">
        <v>8</v>
      </c>
      <c r="E8" s="9">
        <f>3981250*15%</f>
        <v>597187.5</v>
      </c>
      <c r="F8" s="9">
        <v>308860.78000000003</v>
      </c>
      <c r="G8" s="9">
        <f>ROUND(E8-F8,)</f>
        <v>288327</v>
      </c>
      <c r="H8" s="9">
        <f>ROUND(G8*$H$6,0)</f>
        <v>51899</v>
      </c>
      <c r="I8" s="9">
        <f t="shared" ref="I8:I13" si="0">G8+H8</f>
        <v>340226</v>
      </c>
      <c r="J8" s="9">
        <f>ROUND(G8*$J$6,)</f>
        <v>2883</v>
      </c>
      <c r="K8" s="9">
        <f>(G8*$K$6)</f>
        <v>14416.35</v>
      </c>
      <c r="L8" s="9">
        <f>ROUND(G8*$L$6,)</f>
        <v>0</v>
      </c>
      <c r="M8" s="9">
        <v>0</v>
      </c>
      <c r="N8" s="45">
        <f>H8</f>
        <v>51899</v>
      </c>
      <c r="O8" s="9">
        <f>ROUND(I8-SUM(J8:N8),0)</f>
        <v>271028</v>
      </c>
      <c r="P8" s="26">
        <v>59346</v>
      </c>
      <c r="Q8" s="9" t="s">
        <v>9</v>
      </c>
      <c r="R8" s="9">
        <v>271028</v>
      </c>
      <c r="S8" s="9">
        <v>0</v>
      </c>
      <c r="T8" s="56">
        <f t="shared" ref="T8:T13" si="1">R8-S8</f>
        <v>271028</v>
      </c>
      <c r="U8" s="9" t="s">
        <v>8</v>
      </c>
      <c r="V8" s="56">
        <f>SUM(O8:O19)-SUM(T8:T19)</f>
        <v>-198001.31999999983</v>
      </c>
    </row>
    <row r="9" spans="1:79" ht="24.9" customHeight="1" x14ac:dyDescent="0.3">
      <c r="A9" s="20">
        <v>59346</v>
      </c>
      <c r="B9" s="24" t="s">
        <v>7</v>
      </c>
      <c r="C9" s="1">
        <v>45211</v>
      </c>
      <c r="D9" s="25">
        <v>9</v>
      </c>
      <c r="E9" s="9">
        <f>3981250*15%</f>
        <v>597187.5</v>
      </c>
      <c r="F9" s="9">
        <v>145306.34</v>
      </c>
      <c r="G9" s="9">
        <f>ROUND(E9-F9,)</f>
        <v>451881</v>
      </c>
      <c r="H9" s="9">
        <f>ROUND(G9*$H$6,0)</f>
        <v>81339</v>
      </c>
      <c r="I9" s="9">
        <f t="shared" si="0"/>
        <v>533220</v>
      </c>
      <c r="J9" s="9">
        <f>ROUND(G9*$J$6,)</f>
        <v>4519</v>
      </c>
      <c r="K9" s="9">
        <f>(G9*$K$6)</f>
        <v>22594.050000000003</v>
      </c>
      <c r="L9" s="9">
        <f>ROUND(G9*$L$6,)</f>
        <v>0</v>
      </c>
      <c r="M9" s="9">
        <v>0</v>
      </c>
      <c r="N9" s="45">
        <f>H9</f>
        <v>81339</v>
      </c>
      <c r="O9" s="9">
        <f>ROUND(I9-SUM(J9:N9),0)</f>
        <v>424768</v>
      </c>
      <c r="P9" s="27"/>
      <c r="Q9" s="9" t="s">
        <v>25</v>
      </c>
      <c r="R9" s="9">
        <v>424768</v>
      </c>
      <c r="S9" s="9">
        <f>R9*S8</f>
        <v>0</v>
      </c>
      <c r="T9" s="56">
        <f t="shared" si="1"/>
        <v>424768</v>
      </c>
      <c r="U9" s="28" t="s">
        <v>20</v>
      </c>
      <c r="V9" s="56"/>
    </row>
    <row r="10" spans="1:79" ht="24.9" customHeight="1" x14ac:dyDescent="0.2">
      <c r="A10" s="20">
        <v>59346</v>
      </c>
      <c r="B10" s="24" t="s">
        <v>7</v>
      </c>
      <c r="C10" s="29">
        <v>45229</v>
      </c>
      <c r="D10" s="25">
        <v>10</v>
      </c>
      <c r="E10" s="9">
        <v>597188</v>
      </c>
      <c r="F10" s="9">
        <v>76090</v>
      </c>
      <c r="G10" s="9">
        <f>E10-F10</f>
        <v>521098</v>
      </c>
      <c r="H10" s="9">
        <f>G10*18%</f>
        <v>93797.64</v>
      </c>
      <c r="I10" s="9">
        <f t="shared" si="0"/>
        <v>614895.64</v>
      </c>
      <c r="J10" s="9">
        <f>G10*1%</f>
        <v>5210.9800000000005</v>
      </c>
      <c r="K10" s="9">
        <f>G10*5%</f>
        <v>26054.9</v>
      </c>
      <c r="L10" s="9"/>
      <c r="M10" s="9">
        <f>I10*10%</f>
        <v>61489.564000000006</v>
      </c>
      <c r="N10" s="45">
        <f>G10*18%</f>
        <v>93797.64</v>
      </c>
      <c r="O10" s="9">
        <v>437722</v>
      </c>
      <c r="P10" s="23"/>
      <c r="Q10" s="9" t="s">
        <v>24</v>
      </c>
      <c r="R10" s="9">
        <v>51899</v>
      </c>
      <c r="S10" s="9"/>
      <c r="T10" s="56">
        <f t="shared" si="1"/>
        <v>51899</v>
      </c>
      <c r="U10" s="9" t="s">
        <v>21</v>
      </c>
      <c r="V10" s="56"/>
    </row>
    <row r="11" spans="1:79" ht="24.9" customHeight="1" x14ac:dyDescent="0.3">
      <c r="A11" s="20">
        <v>59346</v>
      </c>
      <c r="B11" s="24" t="s">
        <v>18</v>
      </c>
      <c r="C11" s="1"/>
      <c r="D11" s="25">
        <v>8</v>
      </c>
      <c r="E11" s="9">
        <f>N8</f>
        <v>51899</v>
      </c>
      <c r="F11" s="9"/>
      <c r="G11" s="9">
        <f>ROUND(E11-F11,)</f>
        <v>51899</v>
      </c>
      <c r="H11" s="9"/>
      <c r="I11" s="9">
        <f t="shared" si="0"/>
        <v>51899</v>
      </c>
      <c r="J11" s="9"/>
      <c r="K11" s="9"/>
      <c r="L11" s="9"/>
      <c r="M11" s="9"/>
      <c r="N11" s="9"/>
      <c r="O11" s="45">
        <f>ROUND(I11-SUM(J11:N11),0)</f>
        <v>51899</v>
      </c>
      <c r="P11" s="30"/>
      <c r="Q11" s="9" t="s">
        <v>23</v>
      </c>
      <c r="R11" s="9">
        <v>300000</v>
      </c>
      <c r="S11" s="9">
        <f>R11*1%</f>
        <v>3000</v>
      </c>
      <c r="T11" s="56">
        <f t="shared" si="1"/>
        <v>297000</v>
      </c>
      <c r="U11" s="9" t="s">
        <v>22</v>
      </c>
      <c r="V11" s="56"/>
    </row>
    <row r="12" spans="1:79" ht="24.9" customHeight="1" x14ac:dyDescent="0.3">
      <c r="A12" s="20">
        <v>59346</v>
      </c>
      <c r="B12" s="24" t="s">
        <v>18</v>
      </c>
      <c r="C12" s="1"/>
      <c r="D12" s="25" t="s">
        <v>29</v>
      </c>
      <c r="E12" s="9">
        <f>N9+N10</f>
        <v>175136.64000000001</v>
      </c>
      <c r="F12" s="9"/>
      <c r="G12" s="9">
        <f>ROUND(E12-F12,)</f>
        <v>175137</v>
      </c>
      <c r="H12" s="9"/>
      <c r="I12" s="9">
        <f t="shared" si="0"/>
        <v>175137</v>
      </c>
      <c r="J12" s="9"/>
      <c r="K12" s="9"/>
      <c r="L12" s="9"/>
      <c r="M12" s="9"/>
      <c r="N12" s="9"/>
      <c r="O12" s="45">
        <f>ROUND(I12-SUM(J12:N12),0)</f>
        <v>175137</v>
      </c>
      <c r="P12" s="23"/>
      <c r="Q12" s="9" t="s">
        <v>27</v>
      </c>
      <c r="R12" s="9">
        <v>140722</v>
      </c>
      <c r="S12" s="9"/>
      <c r="T12" s="56">
        <f t="shared" si="1"/>
        <v>140722</v>
      </c>
      <c r="U12" s="9" t="s">
        <v>26</v>
      </c>
      <c r="V12" s="56"/>
    </row>
    <row r="13" spans="1:79" ht="24.9" customHeight="1" x14ac:dyDescent="0.2">
      <c r="A13" s="20">
        <v>59346</v>
      </c>
      <c r="B13" s="24" t="s">
        <v>7</v>
      </c>
      <c r="C13" s="29">
        <v>45581</v>
      </c>
      <c r="D13" s="25">
        <v>20</v>
      </c>
      <c r="E13" s="9">
        <v>1632312</v>
      </c>
      <c r="F13" s="9">
        <v>862673</v>
      </c>
      <c r="G13" s="9">
        <f>E13-F13</f>
        <v>769639</v>
      </c>
      <c r="H13" s="9">
        <f>G13*18%</f>
        <v>138535.01999999999</v>
      </c>
      <c r="I13" s="9">
        <f t="shared" si="0"/>
        <v>908174.02</v>
      </c>
      <c r="J13" s="9">
        <f>G13*1%</f>
        <v>7696.39</v>
      </c>
      <c r="K13" s="9">
        <f>G13*5%</f>
        <v>38481.950000000004</v>
      </c>
      <c r="L13" s="9"/>
      <c r="M13" s="9"/>
      <c r="N13" s="45">
        <f>G13*18%</f>
        <v>138535.01999999999</v>
      </c>
      <c r="O13" s="9">
        <f>I13-SUM(J13:N13,0)</f>
        <v>723460.66</v>
      </c>
      <c r="P13" s="23"/>
      <c r="Q13" s="9" t="s">
        <v>28</v>
      </c>
      <c r="R13" s="9">
        <v>175137</v>
      </c>
      <c r="S13" s="9"/>
      <c r="T13" s="56">
        <f t="shared" si="1"/>
        <v>175137</v>
      </c>
      <c r="U13" s="9" t="s">
        <v>64</v>
      </c>
      <c r="V13" s="56"/>
    </row>
    <row r="14" spans="1:79" ht="24.9" customHeight="1" x14ac:dyDescent="0.3">
      <c r="A14" s="20">
        <v>59346</v>
      </c>
      <c r="B14" s="24" t="s">
        <v>18</v>
      </c>
      <c r="C14" s="1"/>
      <c r="D14" s="25">
        <v>20</v>
      </c>
      <c r="E14" s="9">
        <f>N13</f>
        <v>138535.01999999999</v>
      </c>
      <c r="F14" s="9"/>
      <c r="G14" s="9"/>
      <c r="H14" s="9"/>
      <c r="I14" s="9"/>
      <c r="J14" s="9"/>
      <c r="K14" s="9"/>
      <c r="L14" s="9"/>
      <c r="M14" s="9"/>
      <c r="N14" s="9"/>
      <c r="O14" s="45">
        <f>E14</f>
        <v>138535.01999999999</v>
      </c>
      <c r="P14" s="23"/>
      <c r="Q14" s="9" t="s">
        <v>38</v>
      </c>
      <c r="R14" s="9">
        <v>200000</v>
      </c>
      <c r="S14" s="9">
        <f>R14*1%</f>
        <v>2000</v>
      </c>
      <c r="T14" s="56">
        <f t="shared" ref="T14" si="2">R14-S14</f>
        <v>198000</v>
      </c>
      <c r="U14" s="9" t="s">
        <v>37</v>
      </c>
      <c r="V14" s="56"/>
    </row>
    <row r="15" spans="1:79" ht="24.9" customHeight="1" x14ac:dyDescent="0.3">
      <c r="A15" s="20">
        <v>59346</v>
      </c>
      <c r="B15" s="24"/>
      <c r="C15" s="1"/>
      <c r="D15" s="2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23"/>
      <c r="Q15" s="9"/>
      <c r="R15" s="9"/>
      <c r="S15" s="9"/>
      <c r="T15" s="56">
        <v>148500</v>
      </c>
      <c r="U15" s="9" t="s">
        <v>45</v>
      </c>
      <c r="V15" s="56"/>
    </row>
    <row r="16" spans="1:79" ht="24.9" customHeight="1" x14ac:dyDescent="0.3">
      <c r="A16" s="20">
        <v>59346</v>
      </c>
      <c r="B16" s="24"/>
      <c r="C16" s="1"/>
      <c r="D16" s="25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23"/>
      <c r="Q16" s="9"/>
      <c r="R16" s="9"/>
      <c r="S16" s="9"/>
      <c r="T16" s="56">
        <v>198000</v>
      </c>
      <c r="U16" s="9" t="s">
        <v>60</v>
      </c>
      <c r="V16" s="56"/>
    </row>
    <row r="17" spans="1:79" ht="24.9" customHeight="1" x14ac:dyDescent="0.3">
      <c r="A17" s="20">
        <v>59346</v>
      </c>
      <c r="B17" s="24"/>
      <c r="C17" s="1"/>
      <c r="D17" s="25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3"/>
      <c r="Q17" s="9"/>
      <c r="R17" s="9"/>
      <c r="S17" s="9"/>
      <c r="T17" s="73">
        <v>198000</v>
      </c>
      <c r="U17" s="74" t="s">
        <v>67</v>
      </c>
      <c r="V17" s="56"/>
    </row>
    <row r="18" spans="1:79" ht="24.9" customHeight="1" x14ac:dyDescent="0.3">
      <c r="A18" s="20">
        <v>59346</v>
      </c>
      <c r="B18" s="24"/>
      <c r="C18" s="1"/>
      <c r="D18" s="2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3"/>
      <c r="Q18" s="9"/>
      <c r="R18" s="9"/>
      <c r="S18" s="9"/>
      <c r="T18" s="56">
        <v>119497</v>
      </c>
      <c r="U18" s="9" t="s">
        <v>70</v>
      </c>
      <c r="V18" s="56"/>
    </row>
    <row r="19" spans="1:79" ht="24.9" customHeight="1" x14ac:dyDescent="0.3">
      <c r="A19" s="20">
        <v>59346</v>
      </c>
      <c r="B19" s="24"/>
      <c r="C19" s="1"/>
      <c r="D19" s="25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23"/>
      <c r="Q19" s="9"/>
      <c r="R19" s="9"/>
      <c r="S19" s="9"/>
      <c r="T19" s="56">
        <v>198000</v>
      </c>
      <c r="U19" s="9" t="s">
        <v>76</v>
      </c>
      <c r="V19" s="56"/>
    </row>
    <row r="20" spans="1:79" s="12" customFormat="1" ht="24.9" customHeight="1" x14ac:dyDescent="0.3">
      <c r="A20" s="31"/>
      <c r="B20" s="32"/>
      <c r="C20" s="13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34"/>
      <c r="R20" s="34"/>
      <c r="S20" s="34"/>
      <c r="T20" s="57"/>
      <c r="U20" s="31"/>
      <c r="V20" s="57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ht="24.9" customHeight="1" x14ac:dyDescent="0.3">
      <c r="A21" s="20">
        <v>57642</v>
      </c>
      <c r="B21" s="24" t="s">
        <v>10</v>
      </c>
      <c r="C21" s="1">
        <v>45096</v>
      </c>
      <c r="D21" s="25">
        <v>4</v>
      </c>
      <c r="E21" s="9">
        <f>4300000*5%</f>
        <v>215000</v>
      </c>
      <c r="F21" s="9">
        <v>32300</v>
      </c>
      <c r="G21" s="9">
        <f t="shared" ref="G21:G26" si="3">ROUND(E21-F21,)</f>
        <v>182700</v>
      </c>
      <c r="H21" s="9">
        <f>ROUND(G21*$H$6,0)</f>
        <v>32886</v>
      </c>
      <c r="I21" s="9">
        <f t="shared" ref="I21:I26" si="4">G21+H21</f>
        <v>215586</v>
      </c>
      <c r="J21" s="9">
        <f>ROUND(G21*$J$6,)</f>
        <v>1827</v>
      </c>
      <c r="K21" s="9">
        <f>(G21*$K$6)</f>
        <v>9135</v>
      </c>
      <c r="L21" s="9">
        <f>ROUND(G21*$L$6,)</f>
        <v>0</v>
      </c>
      <c r="M21" s="9">
        <f>ROUND(G21*$M$6,)</f>
        <v>18270</v>
      </c>
      <c r="N21" s="45">
        <f>H21</f>
        <v>32886</v>
      </c>
      <c r="O21" s="9">
        <f t="shared" ref="O21:O26" si="5">ROUND(I21-SUM(J21:N21),0)</f>
        <v>153468</v>
      </c>
      <c r="P21" s="26">
        <v>57642</v>
      </c>
      <c r="Q21" s="9" t="s">
        <v>11</v>
      </c>
      <c r="R21" s="9">
        <v>100000</v>
      </c>
      <c r="S21" s="9">
        <f>R21*1%</f>
        <v>1000</v>
      </c>
      <c r="T21" s="56">
        <f t="shared" ref="T21" si="6">R21-S21</f>
        <v>99000</v>
      </c>
      <c r="U21" s="28" t="s">
        <v>12</v>
      </c>
      <c r="V21" s="56">
        <f>SUM(O21:O35)-SUM(T21:T35)</f>
        <v>-346501</v>
      </c>
    </row>
    <row r="22" spans="1:79" ht="24.9" customHeight="1" x14ac:dyDescent="0.3">
      <c r="A22" s="20">
        <v>57642</v>
      </c>
      <c r="B22" s="24" t="s">
        <v>10</v>
      </c>
      <c r="C22" s="1">
        <v>45121</v>
      </c>
      <c r="D22" s="25">
        <v>5</v>
      </c>
      <c r="E22" s="9">
        <v>891250</v>
      </c>
      <c r="F22" s="9">
        <v>428529</v>
      </c>
      <c r="G22" s="9">
        <f t="shared" si="3"/>
        <v>462721</v>
      </c>
      <c r="H22" s="9">
        <f>ROUND(G22*$H$6,0)</f>
        <v>83290</v>
      </c>
      <c r="I22" s="9">
        <f t="shared" si="4"/>
        <v>546011</v>
      </c>
      <c r="J22" s="9">
        <f>ROUND(G22*$J$6,)</f>
        <v>4627</v>
      </c>
      <c r="K22" s="9">
        <f>(G22*$K$6)</f>
        <v>23136.050000000003</v>
      </c>
      <c r="L22" s="9"/>
      <c r="M22" s="9">
        <f>ROUND(G22*$M$6,)</f>
        <v>46272</v>
      </c>
      <c r="N22" s="45">
        <f>H22</f>
        <v>83290</v>
      </c>
      <c r="O22" s="9">
        <f t="shared" si="5"/>
        <v>388686</v>
      </c>
      <c r="P22" s="23"/>
      <c r="Q22" s="9" t="s">
        <v>13</v>
      </c>
      <c r="R22" s="9">
        <v>54468</v>
      </c>
      <c r="S22" s="9">
        <v>0</v>
      </c>
      <c r="T22" s="56">
        <v>54468</v>
      </c>
      <c r="U22" s="28" t="s">
        <v>14</v>
      </c>
      <c r="V22" s="56"/>
    </row>
    <row r="23" spans="1:79" ht="24.9" customHeight="1" x14ac:dyDescent="0.3">
      <c r="A23" s="20">
        <v>57642</v>
      </c>
      <c r="B23" s="24" t="s">
        <v>10</v>
      </c>
      <c r="C23" s="1">
        <v>45154</v>
      </c>
      <c r="D23" s="25">
        <v>6</v>
      </c>
      <c r="E23" s="9">
        <v>663750</v>
      </c>
      <c r="F23" s="9">
        <v>239511</v>
      </c>
      <c r="G23" s="9">
        <f t="shared" si="3"/>
        <v>424239</v>
      </c>
      <c r="H23" s="9">
        <f>ROUND(G23*$H$6,0)</f>
        <v>76363</v>
      </c>
      <c r="I23" s="9">
        <f t="shared" si="4"/>
        <v>500602</v>
      </c>
      <c r="J23" s="9">
        <f>ROUND(G23*$J$6,)</f>
        <v>4242</v>
      </c>
      <c r="K23" s="9">
        <f>(G23*$K$6)</f>
        <v>21211.95</v>
      </c>
      <c r="L23" s="9"/>
      <c r="M23" s="9">
        <f>ROUND(G23*$M$6,)</f>
        <v>42424</v>
      </c>
      <c r="N23" s="45">
        <f>H23</f>
        <v>76363</v>
      </c>
      <c r="O23" s="9">
        <f t="shared" si="5"/>
        <v>356361</v>
      </c>
      <c r="P23" s="23"/>
      <c r="Q23" s="9" t="s">
        <v>15</v>
      </c>
      <c r="R23" s="9">
        <v>388686</v>
      </c>
      <c r="S23" s="9">
        <v>0</v>
      </c>
      <c r="T23" s="56">
        <f>R23-S23</f>
        <v>388686</v>
      </c>
      <c r="U23" s="28" t="s">
        <v>16</v>
      </c>
      <c r="V23" s="56"/>
    </row>
    <row r="24" spans="1:79" ht="24.9" customHeight="1" x14ac:dyDescent="0.3">
      <c r="A24" s="20">
        <v>57642</v>
      </c>
      <c r="B24" s="24" t="s">
        <v>18</v>
      </c>
      <c r="C24" s="1">
        <v>45224</v>
      </c>
      <c r="D24" s="25" t="s">
        <v>19</v>
      </c>
      <c r="E24" s="9">
        <v>192539</v>
      </c>
      <c r="F24" s="9"/>
      <c r="G24" s="9">
        <f t="shared" si="3"/>
        <v>192539</v>
      </c>
      <c r="H24" s="9"/>
      <c r="I24" s="9">
        <f t="shared" si="4"/>
        <v>192539</v>
      </c>
      <c r="J24" s="9"/>
      <c r="K24" s="9"/>
      <c r="L24" s="9"/>
      <c r="M24" s="9"/>
      <c r="N24" s="9"/>
      <c r="O24" s="45">
        <f t="shared" si="5"/>
        <v>192539</v>
      </c>
      <c r="P24" s="23"/>
      <c r="Q24" s="9" t="s">
        <v>17</v>
      </c>
      <c r="R24" s="9">
        <v>356360</v>
      </c>
      <c r="S24" s="9">
        <v>0</v>
      </c>
      <c r="T24" s="56">
        <f t="shared" ref="T24:T26" si="7">R24-S24</f>
        <v>356360</v>
      </c>
      <c r="U24" s="28" t="s">
        <v>65</v>
      </c>
      <c r="V24" s="56"/>
    </row>
    <row r="25" spans="1:79" ht="24.9" customHeight="1" x14ac:dyDescent="0.3">
      <c r="A25" s="20">
        <v>57642</v>
      </c>
      <c r="B25" s="24" t="s">
        <v>10</v>
      </c>
      <c r="C25" s="1">
        <v>45285</v>
      </c>
      <c r="D25" s="25">
        <v>12</v>
      </c>
      <c r="E25" s="9">
        <v>663750</v>
      </c>
      <c r="F25" s="9">
        <v>365211</v>
      </c>
      <c r="G25" s="9">
        <f t="shared" si="3"/>
        <v>298539</v>
      </c>
      <c r="H25" s="9">
        <f>ROUND(G25*$H$6,0)</f>
        <v>53737</v>
      </c>
      <c r="I25" s="9">
        <f t="shared" si="4"/>
        <v>352276</v>
      </c>
      <c r="J25" s="9">
        <f>ROUND(G25*$J$6,)</f>
        <v>2985</v>
      </c>
      <c r="K25" s="9">
        <f>(G25*$K$6)</f>
        <v>14926.95</v>
      </c>
      <c r="L25" s="9"/>
      <c r="M25" s="9">
        <f>ROUND(G25*$M$6,)</f>
        <v>29854</v>
      </c>
      <c r="N25" s="45">
        <f>H25</f>
        <v>53737</v>
      </c>
      <c r="O25" s="9">
        <f t="shared" si="5"/>
        <v>250773</v>
      </c>
      <c r="P25" s="23"/>
      <c r="Q25" s="9" t="s">
        <v>31</v>
      </c>
      <c r="R25" s="9">
        <v>192539</v>
      </c>
      <c r="S25" s="9"/>
      <c r="T25" s="56">
        <f t="shared" si="7"/>
        <v>192539</v>
      </c>
      <c r="U25" s="28" t="s">
        <v>30</v>
      </c>
      <c r="V25" s="56"/>
    </row>
    <row r="26" spans="1:79" ht="24.9" customHeight="1" x14ac:dyDescent="0.3">
      <c r="A26" s="20">
        <v>57642</v>
      </c>
      <c r="B26" s="24" t="s">
        <v>18</v>
      </c>
      <c r="C26" s="1"/>
      <c r="D26" s="25">
        <v>12</v>
      </c>
      <c r="E26" s="9">
        <f>N25</f>
        <v>53737</v>
      </c>
      <c r="F26" s="9"/>
      <c r="G26" s="9">
        <f t="shared" si="3"/>
        <v>53737</v>
      </c>
      <c r="H26" s="9"/>
      <c r="I26" s="9">
        <f t="shared" si="4"/>
        <v>53737</v>
      </c>
      <c r="J26" s="9"/>
      <c r="K26" s="9"/>
      <c r="L26" s="9"/>
      <c r="M26" s="9"/>
      <c r="N26" s="9"/>
      <c r="O26" s="45">
        <f t="shared" si="5"/>
        <v>53737</v>
      </c>
      <c r="P26" s="23"/>
      <c r="Q26" s="9" t="s">
        <v>35</v>
      </c>
      <c r="R26" s="9">
        <v>250773</v>
      </c>
      <c r="S26" s="9"/>
      <c r="T26" s="56">
        <f t="shared" si="7"/>
        <v>250773</v>
      </c>
      <c r="U26" s="28" t="s">
        <v>34</v>
      </c>
      <c r="V26" s="56"/>
    </row>
    <row r="27" spans="1:79" ht="24.9" customHeight="1" x14ac:dyDescent="0.3">
      <c r="A27" s="20">
        <v>57642</v>
      </c>
      <c r="B27" s="24" t="s">
        <v>10</v>
      </c>
      <c r="C27" s="1">
        <v>45567</v>
      </c>
      <c r="D27" s="25">
        <v>13</v>
      </c>
      <c r="E27" s="9">
        <v>1106250</v>
      </c>
      <c r="F27" s="9">
        <v>492710</v>
      </c>
      <c r="G27" s="9">
        <f t="shared" ref="G27:G29" si="8">ROUND(E27-F27,)</f>
        <v>613540</v>
      </c>
      <c r="H27" s="9">
        <f t="shared" ref="H27:H29" si="9">ROUND(G27*$H$6,0)</f>
        <v>110437</v>
      </c>
      <c r="I27" s="9">
        <f t="shared" ref="I27:I29" si="10">G27+H27</f>
        <v>723977</v>
      </c>
      <c r="J27" s="9">
        <f t="shared" ref="J27:J29" si="11">ROUND(G27*$J$6,)</f>
        <v>6135</v>
      </c>
      <c r="K27" s="9">
        <f t="shared" ref="K27:K29" si="12">(G27*$K$6)</f>
        <v>30677</v>
      </c>
      <c r="L27" s="9"/>
      <c r="M27" s="9"/>
      <c r="N27" s="45">
        <f t="shared" ref="N27:N29" si="13">H27</f>
        <v>110437</v>
      </c>
      <c r="O27" s="9">
        <f t="shared" ref="O27:O29" si="14">ROUND(I27-SUM(J27:N27),0)</f>
        <v>576728</v>
      </c>
      <c r="P27" s="23"/>
      <c r="Q27" s="9"/>
      <c r="R27" s="9"/>
      <c r="S27" s="9"/>
      <c r="T27" s="56">
        <f>R30-S30</f>
        <v>53737</v>
      </c>
      <c r="U27" s="28" t="s">
        <v>33</v>
      </c>
      <c r="V27" s="56"/>
    </row>
    <row r="28" spans="1:79" ht="24.9" customHeight="1" x14ac:dyDescent="0.3">
      <c r="A28" s="20">
        <v>57642</v>
      </c>
      <c r="B28" s="24" t="s">
        <v>18</v>
      </c>
      <c r="C28" s="1"/>
      <c r="D28" s="25">
        <v>13</v>
      </c>
      <c r="E28" s="9">
        <f>H27</f>
        <v>110437</v>
      </c>
      <c r="F28" s="9"/>
      <c r="G28" s="9"/>
      <c r="H28" s="9">
        <f t="shared" si="9"/>
        <v>0</v>
      </c>
      <c r="I28" s="9">
        <f t="shared" si="10"/>
        <v>0</v>
      </c>
      <c r="J28" s="9">
        <f t="shared" si="11"/>
        <v>0</v>
      </c>
      <c r="K28" s="9">
        <f t="shared" si="12"/>
        <v>0</v>
      </c>
      <c r="L28" s="9"/>
      <c r="M28" s="9">
        <f t="shared" ref="M28:M29" si="15">ROUND(G28*$M$6,)</f>
        <v>0</v>
      </c>
      <c r="N28" s="9">
        <f t="shared" si="13"/>
        <v>0</v>
      </c>
      <c r="O28" s="45">
        <f>E28</f>
        <v>110437</v>
      </c>
      <c r="P28" s="23"/>
      <c r="Q28" s="9"/>
      <c r="R28" s="9"/>
      <c r="S28" s="9"/>
      <c r="T28" s="56">
        <v>576729</v>
      </c>
      <c r="U28" s="28" t="s">
        <v>41</v>
      </c>
      <c r="V28" s="56"/>
    </row>
    <row r="29" spans="1:79" ht="24.9" customHeight="1" x14ac:dyDescent="0.3">
      <c r="A29" s="20">
        <v>57642</v>
      </c>
      <c r="B29" s="24" t="s">
        <v>10</v>
      </c>
      <c r="C29" s="1">
        <v>45465</v>
      </c>
      <c r="D29" s="25">
        <v>19</v>
      </c>
      <c r="E29" s="9">
        <v>885000</v>
      </c>
      <c r="F29" s="9">
        <v>227849</v>
      </c>
      <c r="G29" s="9">
        <f t="shared" si="8"/>
        <v>657151</v>
      </c>
      <c r="H29" s="9">
        <f t="shared" si="9"/>
        <v>118287</v>
      </c>
      <c r="I29" s="9">
        <f t="shared" si="10"/>
        <v>775438</v>
      </c>
      <c r="J29" s="9">
        <f t="shared" si="11"/>
        <v>6572</v>
      </c>
      <c r="K29" s="9">
        <f t="shared" si="12"/>
        <v>32857.550000000003</v>
      </c>
      <c r="L29" s="9"/>
      <c r="M29" s="9">
        <f t="shared" si="15"/>
        <v>65715</v>
      </c>
      <c r="N29" s="45">
        <f t="shared" si="13"/>
        <v>118287</v>
      </c>
      <c r="O29" s="9">
        <f t="shared" si="14"/>
        <v>552006</v>
      </c>
      <c r="P29" s="23"/>
      <c r="Q29" s="9"/>
      <c r="R29" s="9"/>
      <c r="S29" s="9"/>
      <c r="T29" s="56">
        <v>110437</v>
      </c>
      <c r="U29" s="28" t="s">
        <v>42</v>
      </c>
      <c r="V29" s="56"/>
    </row>
    <row r="30" spans="1:79" ht="24.9" customHeight="1" x14ac:dyDescent="0.3">
      <c r="A30" s="20">
        <v>57642</v>
      </c>
      <c r="B30" s="24" t="s">
        <v>18</v>
      </c>
      <c r="C30" s="1"/>
      <c r="D30" s="25">
        <v>19</v>
      </c>
      <c r="E30" s="9">
        <f>N29</f>
        <v>118287</v>
      </c>
      <c r="F30" s="9"/>
      <c r="G30" s="9"/>
      <c r="H30" s="9"/>
      <c r="I30" s="9"/>
      <c r="J30" s="9"/>
      <c r="K30" s="9"/>
      <c r="L30" s="9"/>
      <c r="M30" s="9"/>
      <c r="N30" s="9"/>
      <c r="O30" s="45">
        <f>E30</f>
        <v>118287</v>
      </c>
      <c r="P30" s="23"/>
      <c r="Q30" s="9" t="s">
        <v>36</v>
      </c>
      <c r="R30" s="9">
        <v>53737</v>
      </c>
      <c r="S30" s="44"/>
      <c r="T30" s="46">
        <v>148500</v>
      </c>
      <c r="U30" s="28" t="s">
        <v>43</v>
      </c>
      <c r="V30" s="49"/>
    </row>
    <row r="31" spans="1:79" ht="24.9" customHeight="1" x14ac:dyDescent="0.3">
      <c r="A31" s="20">
        <v>57642</v>
      </c>
      <c r="B31" s="24"/>
      <c r="C31" s="1"/>
      <c r="D31" s="25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3"/>
      <c r="Q31" s="9"/>
      <c r="R31" s="9"/>
      <c r="S31" s="44"/>
      <c r="T31" s="47">
        <v>297000</v>
      </c>
      <c r="U31" s="28" t="s">
        <v>48</v>
      </c>
      <c r="V31" s="49"/>
    </row>
    <row r="32" spans="1:79" ht="24.9" customHeight="1" x14ac:dyDescent="0.3">
      <c r="A32" s="20">
        <v>57642</v>
      </c>
      <c r="B32" s="24"/>
      <c r="C32" s="1"/>
      <c r="D32" s="25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23"/>
      <c r="Q32" s="9"/>
      <c r="R32" s="9"/>
      <c r="S32" s="44"/>
      <c r="T32" s="47">
        <v>106507</v>
      </c>
      <c r="U32" s="28" t="s">
        <v>50</v>
      </c>
      <c r="V32" s="49"/>
    </row>
    <row r="33" spans="1:23" ht="24.9" customHeight="1" x14ac:dyDescent="0.3">
      <c r="A33" s="20">
        <v>57642</v>
      </c>
      <c r="B33" s="24"/>
      <c r="C33" s="1"/>
      <c r="D33" s="2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23"/>
      <c r="Q33" s="9"/>
      <c r="R33" s="9"/>
      <c r="S33" s="44"/>
      <c r="T33" s="47">
        <v>118287</v>
      </c>
      <c r="U33" s="28" t="s">
        <v>51</v>
      </c>
      <c r="V33" s="49"/>
    </row>
    <row r="34" spans="1:23" ht="24.9" customHeight="1" x14ac:dyDescent="0.3">
      <c r="A34" s="20">
        <v>57642</v>
      </c>
      <c r="B34" s="24"/>
      <c r="C34" s="1"/>
      <c r="D34" s="2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  <c r="Q34" s="9"/>
      <c r="R34" s="9"/>
      <c r="S34" s="44"/>
      <c r="T34" s="47">
        <v>198000</v>
      </c>
      <c r="U34" s="28" t="s">
        <v>58</v>
      </c>
      <c r="V34" s="49"/>
    </row>
    <row r="35" spans="1:23" ht="24.9" customHeight="1" x14ac:dyDescent="0.3">
      <c r="A35" s="20">
        <v>57642</v>
      </c>
      <c r="B35" s="24"/>
      <c r="C35" s="1"/>
      <c r="D35" s="2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23"/>
      <c r="Q35" s="9"/>
      <c r="R35" s="9"/>
      <c r="S35" s="44"/>
      <c r="T35" s="47">
        <v>148500</v>
      </c>
      <c r="U35" s="28" t="s">
        <v>62</v>
      </c>
      <c r="V35" s="49"/>
      <c r="W35" s="48"/>
    </row>
    <row r="36" spans="1:23" ht="24.9" customHeight="1" x14ac:dyDescent="0.3">
      <c r="A36" s="31"/>
      <c r="B36" s="32"/>
      <c r="C36" s="13"/>
      <c r="D36" s="3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6">
        <f>A37</f>
        <v>62209</v>
      </c>
      <c r="Q36" s="34"/>
      <c r="R36" s="34"/>
      <c r="S36" s="34"/>
      <c r="T36" s="57"/>
      <c r="U36" s="31"/>
      <c r="V36" s="57"/>
    </row>
    <row r="37" spans="1:23" ht="24.9" customHeight="1" x14ac:dyDescent="0.3">
      <c r="A37" s="20">
        <v>62209</v>
      </c>
      <c r="B37" s="24" t="s">
        <v>83</v>
      </c>
      <c r="C37" s="1">
        <v>45332</v>
      </c>
      <c r="D37" s="25">
        <v>14</v>
      </c>
      <c r="E37" s="9">
        <v>40000</v>
      </c>
      <c r="F37" s="9">
        <v>0</v>
      </c>
      <c r="G37" s="9">
        <f t="shared" ref="G37" si="16">ROUND(E37-F37,)</f>
        <v>40000</v>
      </c>
      <c r="H37" s="9">
        <f>ROUND(G37*$H$6,0)</f>
        <v>7200</v>
      </c>
      <c r="I37" s="9">
        <f t="shared" ref="I37" si="17">G37+H37</f>
        <v>47200</v>
      </c>
      <c r="J37" s="9">
        <f>ROUND(G37*$J$6,)</f>
        <v>400</v>
      </c>
      <c r="K37" s="9">
        <f>(G37*$K$6)</f>
        <v>2000</v>
      </c>
      <c r="L37" s="9">
        <f>ROUND(G37*$L$6,)</f>
        <v>0</v>
      </c>
      <c r="M37" s="9">
        <v>0</v>
      </c>
      <c r="N37" s="45">
        <f>H37</f>
        <v>7200</v>
      </c>
      <c r="O37" s="9">
        <f t="shared" ref="O37" si="18">ROUND(I37-SUM(J37:N37),0)</f>
        <v>37600</v>
      </c>
      <c r="P37" s="23"/>
      <c r="Q37" s="9"/>
      <c r="R37" s="9"/>
      <c r="S37" s="9"/>
      <c r="T37" s="56"/>
      <c r="U37" s="28"/>
      <c r="V37" s="56">
        <f>SUM(O37:O38)-SUM(T37:T38)</f>
        <v>44800</v>
      </c>
    </row>
    <row r="38" spans="1:23" ht="24.9" customHeight="1" x14ac:dyDescent="0.3">
      <c r="A38" s="20">
        <v>62209</v>
      </c>
      <c r="B38" s="24" t="s">
        <v>18</v>
      </c>
      <c r="C38" s="1"/>
      <c r="D38" s="25">
        <v>14</v>
      </c>
      <c r="E38" s="9">
        <f>N37</f>
        <v>7200</v>
      </c>
      <c r="F38" s="9"/>
      <c r="G38" s="9"/>
      <c r="H38" s="9"/>
      <c r="I38" s="9"/>
      <c r="J38" s="9"/>
      <c r="K38" s="9"/>
      <c r="L38" s="9"/>
      <c r="M38" s="9"/>
      <c r="N38" s="9"/>
      <c r="O38" s="45">
        <f>E38</f>
        <v>7200</v>
      </c>
      <c r="P38" s="23"/>
      <c r="Q38" s="9"/>
      <c r="R38" s="9"/>
      <c r="S38" s="9"/>
      <c r="T38" s="56"/>
      <c r="U38" s="28"/>
      <c r="V38" s="56"/>
    </row>
    <row r="39" spans="1:23" ht="24.9" customHeight="1" x14ac:dyDescent="0.3">
      <c r="A39" s="31"/>
      <c r="B39" s="32"/>
      <c r="C39" s="13"/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6">
        <f>A40</f>
        <v>62692</v>
      </c>
      <c r="Q39" s="34"/>
      <c r="R39" s="34"/>
      <c r="S39" s="34"/>
      <c r="T39" s="57"/>
      <c r="U39" s="31"/>
      <c r="V39" s="57"/>
    </row>
    <row r="40" spans="1:23" ht="24.9" customHeight="1" x14ac:dyDescent="0.3">
      <c r="A40" s="20">
        <v>62692</v>
      </c>
      <c r="B40" s="24" t="s">
        <v>84</v>
      </c>
      <c r="C40" s="1">
        <v>45359</v>
      </c>
      <c r="D40" s="25">
        <v>15</v>
      </c>
      <c r="E40" s="9">
        <f>B44*20%</f>
        <v>847000</v>
      </c>
      <c r="F40" s="9">
        <v>65704.91</v>
      </c>
      <c r="G40" s="9">
        <f t="shared" ref="G40" si="19">ROUND(E40-F40,)</f>
        <v>781295</v>
      </c>
      <c r="H40" s="9">
        <f>ROUND(G40*$H$6,0)</f>
        <v>140633</v>
      </c>
      <c r="I40" s="9">
        <f t="shared" ref="I40" si="20">G40+H40</f>
        <v>921928</v>
      </c>
      <c r="J40" s="9">
        <f>ROUND(G40*$J$6,)</f>
        <v>7813</v>
      </c>
      <c r="K40" s="9">
        <f>(G40*$K$6)</f>
        <v>39064.75</v>
      </c>
      <c r="L40" s="9">
        <f>ROUND(G40*$L$6,)</f>
        <v>0</v>
      </c>
      <c r="M40" s="9">
        <v>0</v>
      </c>
      <c r="N40" s="45">
        <f>H40</f>
        <v>140633</v>
      </c>
      <c r="O40" s="9">
        <f t="shared" ref="O40" si="21">ROUND(I40-SUM(J40:N40),0)</f>
        <v>734417</v>
      </c>
      <c r="P40" s="23"/>
      <c r="Q40" s="9"/>
      <c r="R40" s="9"/>
      <c r="S40" s="9"/>
      <c r="T40" s="56">
        <v>734417</v>
      </c>
      <c r="U40" s="28" t="s">
        <v>40</v>
      </c>
      <c r="V40" s="56">
        <f>SUM(O40:O45)-SUM(T40:T45)</f>
        <v>0</v>
      </c>
    </row>
    <row r="41" spans="1:23" ht="24.9" customHeight="1" x14ac:dyDescent="0.3">
      <c r="A41" s="20">
        <v>62692</v>
      </c>
      <c r="B41" s="24" t="s">
        <v>18</v>
      </c>
      <c r="C41" s="1">
        <v>45359</v>
      </c>
      <c r="D41" s="25">
        <v>15</v>
      </c>
      <c r="E41" s="9">
        <f>H40</f>
        <v>140633</v>
      </c>
      <c r="F41" s="9"/>
      <c r="G41" s="9"/>
      <c r="H41" s="9"/>
      <c r="I41" s="9"/>
      <c r="J41" s="9"/>
      <c r="K41" s="9"/>
      <c r="L41" s="9"/>
      <c r="M41" s="9"/>
      <c r="N41" s="9"/>
      <c r="O41" s="45">
        <f>E41</f>
        <v>140633</v>
      </c>
      <c r="P41" s="23"/>
      <c r="Q41" s="9"/>
      <c r="R41" s="9"/>
      <c r="S41" s="9"/>
      <c r="T41" s="56">
        <v>140633</v>
      </c>
      <c r="U41" s="28" t="s">
        <v>44</v>
      </c>
      <c r="V41" s="56"/>
    </row>
    <row r="42" spans="1:23" ht="24.9" customHeight="1" x14ac:dyDescent="0.3">
      <c r="A42" s="20">
        <v>62692</v>
      </c>
      <c r="B42" s="24" t="s">
        <v>84</v>
      </c>
      <c r="C42" s="1">
        <v>45581</v>
      </c>
      <c r="D42" s="25">
        <v>21</v>
      </c>
      <c r="E42" s="9">
        <v>1058750</v>
      </c>
      <c r="F42" s="9">
        <v>425968</v>
      </c>
      <c r="G42" s="9">
        <f t="shared" ref="G42" si="22">ROUND(E42-F42,)</f>
        <v>632782</v>
      </c>
      <c r="H42" s="9">
        <f>ROUND(G42*$H$6,0)</f>
        <v>113901</v>
      </c>
      <c r="I42" s="9">
        <f t="shared" ref="I42" si="23">G42+H42</f>
        <v>746683</v>
      </c>
      <c r="J42" s="9">
        <f>ROUND(G42*$J$6,)</f>
        <v>6328</v>
      </c>
      <c r="K42" s="9">
        <f>(G42*$K$6)</f>
        <v>31639.100000000002</v>
      </c>
      <c r="L42" s="9">
        <f>ROUND(G42*$L$6,)</f>
        <v>0</v>
      </c>
      <c r="M42" s="9">
        <v>0</v>
      </c>
      <c r="N42" s="45">
        <f>H42</f>
        <v>113901</v>
      </c>
      <c r="O42" s="9">
        <f t="shared" ref="O42" si="24">ROUND(I42-SUM(J42:N42),0)</f>
        <v>594815</v>
      </c>
      <c r="P42" s="23"/>
      <c r="Q42" s="9"/>
      <c r="R42" s="9"/>
      <c r="S42" s="9"/>
      <c r="T42" s="56">
        <v>297000</v>
      </c>
      <c r="U42" s="28" t="s">
        <v>53</v>
      </c>
      <c r="V42" s="56"/>
    </row>
    <row r="43" spans="1:23" ht="24.9" customHeight="1" x14ac:dyDescent="0.3">
      <c r="A43" s="20">
        <v>62692</v>
      </c>
      <c r="B43" s="24" t="s">
        <v>18</v>
      </c>
      <c r="C43" s="1"/>
      <c r="D43" s="25">
        <v>21</v>
      </c>
      <c r="E43" s="9">
        <f>N42</f>
        <v>113901</v>
      </c>
      <c r="F43" s="9"/>
      <c r="G43" s="9"/>
      <c r="H43" s="9"/>
      <c r="I43" s="9"/>
      <c r="J43" s="9"/>
      <c r="K43" s="9"/>
      <c r="L43" s="9"/>
      <c r="M43" s="9"/>
      <c r="N43" s="9"/>
      <c r="O43" s="45">
        <f>E43</f>
        <v>113901</v>
      </c>
      <c r="P43" s="23"/>
      <c r="Q43" s="9"/>
      <c r="R43" s="9"/>
      <c r="S43" s="9"/>
      <c r="T43" s="56">
        <v>198000</v>
      </c>
      <c r="U43" s="28" t="s">
        <v>54</v>
      </c>
      <c r="V43" s="56"/>
    </row>
    <row r="44" spans="1:23" ht="24.9" customHeight="1" x14ac:dyDescent="0.3">
      <c r="A44" s="20">
        <v>62692</v>
      </c>
      <c r="B44" s="24">
        <v>4235000</v>
      </c>
      <c r="C44" s="1"/>
      <c r="D44" s="2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23"/>
      <c r="Q44" s="9"/>
      <c r="R44" s="9"/>
      <c r="S44" s="9"/>
      <c r="T44" s="56">
        <v>99815</v>
      </c>
      <c r="U44" s="28" t="s">
        <v>61</v>
      </c>
      <c r="V44" s="56"/>
    </row>
    <row r="45" spans="1:23" ht="24.9" customHeight="1" x14ac:dyDescent="0.3">
      <c r="A45" s="20">
        <v>62692</v>
      </c>
      <c r="B45" s="24"/>
      <c r="C45" s="1"/>
      <c r="D45" s="25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23"/>
      <c r="Q45" s="9"/>
      <c r="R45" s="9"/>
      <c r="S45" s="9"/>
      <c r="T45" s="56">
        <v>113901</v>
      </c>
      <c r="U45" s="28" t="s">
        <v>73</v>
      </c>
      <c r="V45" s="56"/>
    </row>
    <row r="46" spans="1:23" ht="24.9" customHeight="1" x14ac:dyDescent="0.3">
      <c r="A46" s="31"/>
      <c r="B46" s="32"/>
      <c r="C46" s="13"/>
      <c r="D46" s="3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6">
        <f>A47</f>
        <v>65377</v>
      </c>
      <c r="Q46" s="34"/>
      <c r="R46" s="34"/>
      <c r="S46" s="34"/>
      <c r="T46" s="57"/>
      <c r="U46" s="31"/>
      <c r="V46" s="57"/>
    </row>
    <row r="47" spans="1:23" ht="42.75" customHeight="1" x14ac:dyDescent="0.3">
      <c r="A47" s="20">
        <v>65377</v>
      </c>
      <c r="B47" s="24" t="s">
        <v>85</v>
      </c>
      <c r="C47" s="1">
        <v>45581</v>
      </c>
      <c r="D47" s="25">
        <v>22</v>
      </c>
      <c r="E47" s="9">
        <v>885000</v>
      </c>
      <c r="F47" s="9">
        <v>387731</v>
      </c>
      <c r="G47" s="9">
        <f t="shared" ref="G47" si="25">ROUND(E47-F47,)</f>
        <v>497269</v>
      </c>
      <c r="H47" s="9">
        <f>ROUND(G47*$H$6,0)</f>
        <v>89508</v>
      </c>
      <c r="I47" s="9">
        <f t="shared" ref="I47" si="26">G47+H47</f>
        <v>586777</v>
      </c>
      <c r="J47" s="9">
        <f>ROUND(G47*$J$6,)</f>
        <v>4973</v>
      </c>
      <c r="K47" s="9">
        <f>(G47*$K$6)</f>
        <v>24863.45</v>
      </c>
      <c r="L47" s="9">
        <f>ROUND(G47*$L$6,)</f>
        <v>0</v>
      </c>
      <c r="M47" s="9">
        <v>0</v>
      </c>
      <c r="N47" s="45">
        <f>H47</f>
        <v>89508</v>
      </c>
      <c r="O47" s="9">
        <f t="shared" ref="O47" si="27">ROUND(I47-SUM(J47:N47),0)</f>
        <v>467433</v>
      </c>
      <c r="P47" s="23"/>
      <c r="Q47" s="9"/>
      <c r="R47" s="9"/>
      <c r="S47" s="9"/>
      <c r="T47" s="56">
        <v>346500</v>
      </c>
      <c r="U47" s="28" t="s">
        <v>52</v>
      </c>
      <c r="V47" s="56">
        <f>SUM(O47:O50)-SUM(T47:T50)</f>
        <v>0</v>
      </c>
    </row>
    <row r="48" spans="1:23" ht="24.9" customHeight="1" x14ac:dyDescent="0.3">
      <c r="A48" s="20">
        <v>65377</v>
      </c>
      <c r="B48" s="24" t="s">
        <v>18</v>
      </c>
      <c r="C48" s="1"/>
      <c r="D48" s="25">
        <v>22</v>
      </c>
      <c r="E48" s="9">
        <f>N47</f>
        <v>89508</v>
      </c>
      <c r="F48" s="9"/>
      <c r="G48" s="9"/>
      <c r="H48" s="9"/>
      <c r="I48" s="9"/>
      <c r="J48" s="9"/>
      <c r="K48" s="9"/>
      <c r="L48" s="9"/>
      <c r="M48" s="9"/>
      <c r="N48" s="9"/>
      <c r="O48" s="45">
        <f>E48</f>
        <v>89508</v>
      </c>
      <c r="P48" s="23"/>
      <c r="Q48" s="9"/>
      <c r="R48" s="9"/>
      <c r="S48" s="9"/>
      <c r="T48" s="56">
        <v>49500</v>
      </c>
      <c r="U48" s="28" t="s">
        <v>55</v>
      </c>
      <c r="V48" s="56"/>
    </row>
    <row r="49" spans="1:22" ht="24.9" customHeight="1" x14ac:dyDescent="0.3">
      <c r="A49" s="20">
        <v>65377</v>
      </c>
      <c r="B49" s="24"/>
      <c r="C49" s="1"/>
      <c r="D49" s="2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23"/>
      <c r="Q49" s="9"/>
      <c r="R49" s="9"/>
      <c r="S49" s="9"/>
      <c r="T49" s="56">
        <v>71433</v>
      </c>
      <c r="U49" s="28" t="s">
        <v>59</v>
      </c>
      <c r="V49" s="56"/>
    </row>
    <row r="50" spans="1:22" ht="24.9" customHeight="1" x14ac:dyDescent="0.3">
      <c r="A50" s="20">
        <v>65377</v>
      </c>
      <c r="B50" s="24"/>
      <c r="C50" s="1"/>
      <c r="D50" s="2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23"/>
      <c r="Q50" s="9"/>
      <c r="R50" s="9"/>
      <c r="S50" s="9"/>
      <c r="T50" s="56">
        <v>89508</v>
      </c>
      <c r="U50" s="28" t="s">
        <v>69</v>
      </c>
      <c r="V50" s="56"/>
    </row>
    <row r="51" spans="1:22" ht="24.9" customHeight="1" x14ac:dyDescent="0.3">
      <c r="A51" s="31"/>
      <c r="B51" s="32"/>
      <c r="C51" s="13"/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6">
        <v>65822</v>
      </c>
      <c r="Q51" s="34"/>
      <c r="R51" s="34"/>
      <c r="S51" s="34"/>
      <c r="T51" s="57"/>
      <c r="U51" s="31"/>
      <c r="V51" s="57"/>
    </row>
    <row r="52" spans="1:22" ht="24.9" customHeight="1" x14ac:dyDescent="0.3">
      <c r="A52" s="20">
        <v>65822</v>
      </c>
      <c r="B52" s="24" t="s">
        <v>86</v>
      </c>
      <c r="C52" s="1">
        <v>45748</v>
      </c>
      <c r="D52" s="25">
        <v>23</v>
      </c>
      <c r="E52" s="9">
        <v>2250000</v>
      </c>
      <c r="F52" s="9">
        <v>792753</v>
      </c>
      <c r="G52" s="9">
        <f t="shared" ref="G52" si="28">ROUND(E52-F52,)</f>
        <v>1457247</v>
      </c>
      <c r="H52" s="9">
        <f>ROUND(G52*$H$6,0)</f>
        <v>262304</v>
      </c>
      <c r="I52" s="9">
        <f t="shared" ref="I52" si="29">G52+H52</f>
        <v>1719551</v>
      </c>
      <c r="J52" s="9">
        <f>ROUND(G52*$J$6,)</f>
        <v>14572</v>
      </c>
      <c r="K52" s="9">
        <f>(G52*$K$6)</f>
        <v>72862.350000000006</v>
      </c>
      <c r="L52" s="9">
        <f>ROUND(G52*$L$6,)</f>
        <v>0</v>
      </c>
      <c r="M52" s="9">
        <v>0</v>
      </c>
      <c r="N52" s="9">
        <f>H52</f>
        <v>262304</v>
      </c>
      <c r="O52" s="9">
        <f t="shared" ref="O52" si="30">ROUND(I52-SUM(J52:N52),0)</f>
        <v>1369813</v>
      </c>
      <c r="P52" s="63"/>
      <c r="Q52" s="9"/>
      <c r="R52" s="9"/>
      <c r="S52" s="9"/>
      <c r="T52" s="56">
        <v>396000</v>
      </c>
      <c r="U52" s="28" t="s">
        <v>56</v>
      </c>
      <c r="V52" s="56">
        <f>SUM(O52:O57)-SUM(T52:T57)</f>
        <v>-264687</v>
      </c>
    </row>
    <row r="53" spans="1:22" ht="24.9" customHeight="1" x14ac:dyDescent="0.3">
      <c r="A53" s="20">
        <v>65822</v>
      </c>
      <c r="B53" s="24" t="s">
        <v>18</v>
      </c>
      <c r="C53" s="1"/>
      <c r="D53" s="25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23"/>
      <c r="Q53" s="9"/>
      <c r="R53" s="9"/>
      <c r="S53" s="9"/>
      <c r="T53" s="56">
        <v>198000</v>
      </c>
      <c r="U53" s="28" t="s">
        <v>57</v>
      </c>
      <c r="V53" s="56"/>
    </row>
    <row r="54" spans="1:22" ht="24.9" customHeight="1" x14ac:dyDescent="0.3">
      <c r="A54" s="20">
        <v>65822</v>
      </c>
      <c r="B54" s="24"/>
      <c r="C54" s="1"/>
      <c r="D54" s="25" t="s">
        <v>72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23"/>
      <c r="Q54" s="9"/>
      <c r="R54" s="9"/>
      <c r="S54" s="9"/>
      <c r="T54" s="56">
        <v>148500</v>
      </c>
      <c r="U54" s="28" t="s">
        <v>63</v>
      </c>
      <c r="V54" s="56"/>
    </row>
    <row r="55" spans="1:22" ht="24.9" customHeight="1" x14ac:dyDescent="0.3">
      <c r="A55" s="20">
        <v>65822</v>
      </c>
      <c r="B55" s="24"/>
      <c r="C55" s="1"/>
      <c r="D55" s="25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23"/>
      <c r="Q55" s="9"/>
      <c r="R55" s="9"/>
      <c r="S55" s="9"/>
      <c r="T55" s="56">
        <v>396000</v>
      </c>
      <c r="U55" s="28" t="s">
        <v>71</v>
      </c>
      <c r="V55" s="56"/>
    </row>
    <row r="56" spans="1:22" ht="24.9" customHeight="1" x14ac:dyDescent="0.3">
      <c r="A56" s="20">
        <v>65822</v>
      </c>
      <c r="B56" s="65"/>
      <c r="C56" s="66"/>
      <c r="D56" s="67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9"/>
      <c r="Q56" s="68"/>
      <c r="R56" s="68"/>
      <c r="S56" s="68"/>
      <c r="T56" s="70">
        <v>100000</v>
      </c>
      <c r="U56" s="28" t="s">
        <v>74</v>
      </c>
      <c r="V56" s="71"/>
    </row>
    <row r="57" spans="1:22" ht="24.9" customHeight="1" thickBot="1" x14ac:dyDescent="0.35">
      <c r="A57" s="20">
        <v>65822</v>
      </c>
      <c r="B57" s="65"/>
      <c r="C57" s="66"/>
      <c r="D57" s="67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9"/>
      <c r="Q57" s="68"/>
      <c r="R57" s="68"/>
      <c r="S57" s="68"/>
      <c r="T57" s="70">
        <v>396000</v>
      </c>
      <c r="U57" s="28" t="s">
        <v>75</v>
      </c>
      <c r="V57" s="71"/>
    </row>
    <row r="58" spans="1:22" ht="24.9" customHeight="1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2">
        <f t="shared" ref="K58:N58" si="31">SUM(K6:K56)</f>
        <v>403921.45000000007</v>
      </c>
      <c r="L58" s="42">
        <f t="shared" si="31"/>
        <v>0</v>
      </c>
      <c r="M58" s="42">
        <f t="shared" si="31"/>
        <v>264024.66399999999</v>
      </c>
      <c r="N58" s="42">
        <f t="shared" si="31"/>
        <v>1454116.8399999999</v>
      </c>
      <c r="O58" s="42">
        <f>SUM(O6:O56)</f>
        <v>8530891.6799999997</v>
      </c>
      <c r="P58" s="42"/>
      <c r="Q58" s="42" t="s">
        <v>4</v>
      </c>
      <c r="R58" s="42"/>
      <c r="S58" s="42"/>
      <c r="T58" s="58">
        <f>SUM(T6:T57)</f>
        <v>9295281</v>
      </c>
      <c r="U58" s="41"/>
      <c r="V58" s="58">
        <f>SUM(V6:V54)</f>
        <v>-764389.31999999983</v>
      </c>
    </row>
    <row r="59" spans="1:22" ht="24.9" customHeight="1" thickBot="1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36" t="s">
        <v>3</v>
      </c>
      <c r="R59" s="10"/>
      <c r="S59" s="10"/>
      <c r="T59" s="59">
        <f>O58-T58</f>
        <v>-764389.3200000003</v>
      </c>
      <c r="U59" s="10"/>
      <c r="V59" s="59"/>
    </row>
    <row r="61" spans="1:22" ht="24.9" customHeight="1" thickBot="1" x14ac:dyDescent="0.35"/>
    <row r="62" spans="1:22" ht="24.9" customHeight="1" thickBot="1" x14ac:dyDescent="0.35">
      <c r="I62" s="85" t="s">
        <v>49</v>
      </c>
      <c r="J62" s="86"/>
      <c r="K62" s="87"/>
    </row>
    <row r="63" spans="1:22" ht="24.9" customHeight="1" thickBot="1" x14ac:dyDescent="0.25">
      <c r="B63" s="72"/>
      <c r="I63" s="90">
        <v>45794</v>
      </c>
      <c r="J63" s="91"/>
      <c r="K63" s="92"/>
    </row>
    <row r="64" spans="1:22" ht="24.9" customHeight="1" thickBot="1" x14ac:dyDescent="0.25">
      <c r="B64" s="72"/>
      <c r="I64" s="88" t="s">
        <v>46</v>
      </c>
      <c r="J64" s="89"/>
      <c r="K64" s="17">
        <f>K58+L58+M58</f>
        <v>667946.11400000006</v>
      </c>
    </row>
    <row r="65" spans="2:13" ht="24.9" customHeight="1" thickBot="1" x14ac:dyDescent="0.25">
      <c r="B65" s="72"/>
      <c r="I65" s="83" t="s">
        <v>32</v>
      </c>
      <c r="J65" s="84"/>
      <c r="K65" s="18">
        <f>T59</f>
        <v>-764389.3200000003</v>
      </c>
    </row>
    <row r="66" spans="2:13" ht="24.9" customHeight="1" thickBot="1" x14ac:dyDescent="0.25">
      <c r="B66" s="72"/>
      <c r="I66" s="83" t="s">
        <v>47</v>
      </c>
      <c r="J66" s="84"/>
      <c r="K66" s="62">
        <f>N52</f>
        <v>262304</v>
      </c>
    </row>
    <row r="67" spans="2:13" ht="24.9" customHeight="1" thickBot="1" x14ac:dyDescent="0.25">
      <c r="B67" s="72"/>
      <c r="I67" s="83" t="s">
        <v>66</v>
      </c>
      <c r="J67" s="84"/>
      <c r="K67" s="62" t="s">
        <v>68</v>
      </c>
      <c r="L67" s="64">
        <f>K65+K64</f>
        <v>-96443.206000000238</v>
      </c>
      <c r="M67" s="2">
        <v>187000</v>
      </c>
    </row>
    <row r="68" spans="2:13" ht="24.9" customHeight="1" x14ac:dyDescent="0.2">
      <c r="B68" s="72"/>
      <c r="L68" s="64">
        <f>M67+L67</f>
        <v>90556.793999999762</v>
      </c>
    </row>
    <row r="69" spans="2:13" ht="24.9" customHeight="1" x14ac:dyDescent="0.2">
      <c r="B69" s="72"/>
    </row>
    <row r="70" spans="2:13" ht="24.9" customHeight="1" x14ac:dyDescent="0.2">
      <c r="B70" s="72"/>
    </row>
    <row r="71" spans="2:13" ht="24.9" customHeight="1" x14ac:dyDescent="0.2">
      <c r="B71" s="72"/>
    </row>
  </sheetData>
  <mergeCells count="6">
    <mergeCell ref="I66:J66"/>
    <mergeCell ref="I67:J67"/>
    <mergeCell ref="I65:J65"/>
    <mergeCell ref="I62:K62"/>
    <mergeCell ref="I64:J64"/>
    <mergeCell ref="I63:K63"/>
  </mergeCells>
  <phoneticPr fontId="11" type="noConversion"/>
  <pageMargins left="0.7" right="0.7" top="0.75" bottom="0.75" header="0.3" footer="0.3"/>
  <pageSetup orientation="portrait" r:id="rId1"/>
  <ignoredErrors>
    <ignoredError sqref="D24" twoDigitTextYear="1"/>
    <ignoredError sqref="G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2025-05-30T06:17:27Z</dcterms:modified>
</cp:coreProperties>
</file>