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Admin\Music\New folder\"/>
    </mc:Choice>
  </mc:AlternateContent>
  <xr:revisionPtr revIDLastSave="0" documentId="13_ncr:1_{251D2D34-85E4-4149-8C32-58E4EB99334E}" xr6:coauthVersionLast="47" xr6:coauthVersionMax="47" xr10:uidLastSave="{00000000-0000-0000-0000-000000000000}"/>
  <bookViews>
    <workbookView xWindow="0" yWindow="1152" windowWidth="23040" windowHeight="11256" xr2:uid="{00000000-000D-0000-FFFF-FFFF00000000}"/>
  </bookViews>
  <sheets>
    <sheet name="Sheet1" sheetId="1" r:id="rId1"/>
  </sheets>
  <definedNames>
    <definedName name="_xlnm._FilterDatabase" localSheetId="0" hidden="1">Sheet1!$B$1:$B$115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6" i="1" l="1"/>
  <c r="G66" i="1" s="1"/>
  <c r="P105" i="1" l="1"/>
  <c r="G40" i="1"/>
  <c r="J40" i="1" s="1"/>
  <c r="G38" i="1"/>
  <c r="H38" i="1" s="1"/>
  <c r="Q65" i="1"/>
  <c r="Q45" i="1"/>
  <c r="G9" i="1"/>
  <c r="H9" i="1" s="1"/>
  <c r="E37" i="1"/>
  <c r="J38" i="1" l="1"/>
  <c r="N38" i="1"/>
  <c r="E39" i="1" s="1"/>
  <c r="Q39" i="1" s="1"/>
  <c r="I38" i="1"/>
  <c r="Q38" i="1" s="1"/>
  <c r="H40" i="1"/>
  <c r="N40" i="1" s="1"/>
  <c r="M9" i="1"/>
  <c r="K9" i="1"/>
  <c r="J9" i="1"/>
  <c r="I9" i="1"/>
  <c r="N9" i="1"/>
  <c r="I40" i="1" l="1"/>
  <c r="Q40" i="1" s="1"/>
  <c r="Q9" i="1"/>
  <c r="G52" i="1"/>
  <c r="G8" i="1"/>
  <c r="M8" i="1" s="1"/>
  <c r="G56" i="1"/>
  <c r="K56" i="1" s="1"/>
  <c r="G97" i="1"/>
  <c r="H97" i="1" s="1"/>
  <c r="G99" i="1"/>
  <c r="H99" i="1" s="1"/>
  <c r="V97" i="1"/>
  <c r="U98" i="1"/>
  <c r="V98" i="1" s="1"/>
  <c r="U99" i="1"/>
  <c r="V99" i="1" s="1"/>
  <c r="V89" i="1"/>
  <c r="V90" i="1"/>
  <c r="R94" i="1"/>
  <c r="R86" i="1"/>
  <c r="R81" i="1"/>
  <c r="R73" i="1"/>
  <c r="V61" i="1"/>
  <c r="U60" i="1"/>
  <c r="V60" i="1" s="1"/>
  <c r="U59" i="1"/>
  <c r="V59" i="1" s="1"/>
  <c r="R58" i="1"/>
  <c r="R55" i="1"/>
  <c r="V52" i="1"/>
  <c r="U54" i="1"/>
  <c r="V54" i="1" s="1"/>
  <c r="U53" i="1"/>
  <c r="V53" i="1" s="1"/>
  <c r="R43" i="1"/>
  <c r="V17" i="1"/>
  <c r="V18" i="1"/>
  <c r="V20" i="1"/>
  <c r="U19" i="1"/>
  <c r="V19" i="1" s="1"/>
  <c r="Q37" i="1"/>
  <c r="G12" i="1"/>
  <c r="U9" i="1"/>
  <c r="V9" i="1" s="1"/>
  <c r="U8" i="1"/>
  <c r="X21" i="1" l="1"/>
  <c r="J56" i="1"/>
  <c r="N56" i="1"/>
  <c r="H56" i="1"/>
  <c r="I56" i="1" s="1"/>
  <c r="M56" i="1"/>
  <c r="H66" i="1"/>
  <c r="I66" i="1" s="1"/>
  <c r="K8" i="1"/>
  <c r="H8" i="1"/>
  <c r="I8" i="1" s="1"/>
  <c r="J8" i="1"/>
  <c r="J99" i="1"/>
  <c r="K66" i="1"/>
  <c r="J66" i="1"/>
  <c r="I97" i="1"/>
  <c r="N97" i="1"/>
  <c r="E98" i="1" s="1"/>
  <c r="Q98" i="1" s="1"/>
  <c r="J97" i="1"/>
  <c r="K97" i="1"/>
  <c r="I99" i="1"/>
  <c r="N99" i="1"/>
  <c r="K99" i="1"/>
  <c r="M12" i="1"/>
  <c r="K12" i="1"/>
  <c r="H12" i="1"/>
  <c r="N12" i="1" s="1"/>
  <c r="J12" i="1"/>
  <c r="K52" i="1"/>
  <c r="J52" i="1"/>
  <c r="H52" i="1"/>
  <c r="E83" i="1"/>
  <c r="Q83" i="1" s="1"/>
  <c r="X86" i="1" s="1"/>
  <c r="E60" i="1"/>
  <c r="Q60" i="1" s="1"/>
  <c r="X63" i="1" s="1"/>
  <c r="Q56" i="1" l="1"/>
  <c r="X59" i="1" s="1"/>
  <c r="N66" i="1"/>
  <c r="E67" i="1" s="1"/>
  <c r="Q67" i="1" s="1"/>
  <c r="Q8" i="1"/>
  <c r="Q52" i="1"/>
  <c r="I52" i="1"/>
  <c r="N52" i="1"/>
  <c r="N8" i="1"/>
  <c r="Q66" i="1"/>
  <c r="Q97" i="1"/>
  <c r="Q99" i="1"/>
  <c r="I12" i="1"/>
  <c r="Q12" i="1"/>
  <c r="X16" i="1" s="1"/>
  <c r="R16" i="1"/>
  <c r="R11" i="1"/>
  <c r="R7" i="1"/>
  <c r="G78" i="1"/>
  <c r="K78" i="1" l="1"/>
  <c r="J78" i="1"/>
  <c r="H78" i="1"/>
  <c r="N78" i="1" s="1"/>
  <c r="I78" i="1" l="1"/>
  <c r="Q78" i="1" s="1"/>
  <c r="V46" i="1" l="1"/>
  <c r="X48" i="1" s="1"/>
  <c r="V76" i="1" l="1"/>
  <c r="V78" i="1"/>
  <c r="R48" i="1"/>
  <c r="E51" i="1" l="1"/>
  <c r="E50" i="1"/>
  <c r="H50" i="1"/>
  <c r="V50" i="1"/>
  <c r="U49" i="1"/>
  <c r="V49" i="1" s="1"/>
  <c r="U51" i="1"/>
  <c r="V51" i="1" s="1"/>
  <c r="V67" i="1"/>
  <c r="G51" i="1"/>
  <c r="R63" i="1"/>
  <c r="U68" i="1"/>
  <c r="V68" i="1" s="1"/>
  <c r="U69" i="1"/>
  <c r="V69" i="1" s="1"/>
  <c r="V70" i="1"/>
  <c r="U66" i="1"/>
  <c r="V66" i="1" s="1"/>
  <c r="G68" i="1"/>
  <c r="H68" i="1" s="1"/>
  <c r="G70" i="1"/>
  <c r="J70" i="1" s="1"/>
  <c r="J50" i="1" l="1"/>
  <c r="Q50" i="1" s="1"/>
  <c r="J68" i="1"/>
  <c r="I68" i="1"/>
  <c r="N68" i="1"/>
  <c r="E69" i="1" s="1"/>
  <c r="Q69" i="1" s="1"/>
  <c r="K68" i="1"/>
  <c r="K70" i="1"/>
  <c r="H70" i="1"/>
  <c r="H51" i="1"/>
  <c r="J51" i="1"/>
  <c r="K51" i="1"/>
  <c r="U77" i="1"/>
  <c r="V77" i="1" s="1"/>
  <c r="U75" i="1"/>
  <c r="V75" i="1" s="1"/>
  <c r="U74" i="1"/>
  <c r="V74" i="1" s="1"/>
  <c r="G77" i="1"/>
  <c r="I77" i="1" s="1"/>
  <c r="Q77" i="1" s="1"/>
  <c r="Q68" i="1" l="1"/>
  <c r="I70" i="1"/>
  <c r="N70" i="1"/>
  <c r="E71" i="1" s="1"/>
  <c r="Q71" i="1" s="1"/>
  <c r="Q51" i="1"/>
  <c r="X55" i="1" s="1"/>
  <c r="N51" i="1"/>
  <c r="E53" i="1" s="1"/>
  <c r="Q53" i="1" s="1"/>
  <c r="I51" i="1"/>
  <c r="Q70" i="1" l="1"/>
  <c r="U96" i="1"/>
  <c r="V96" i="1" s="1"/>
  <c r="U95" i="1"/>
  <c r="V95" i="1" s="1"/>
  <c r="G95" i="1"/>
  <c r="K95" i="1" l="1"/>
  <c r="J95" i="1"/>
  <c r="H95" i="1"/>
  <c r="N95" i="1" s="1"/>
  <c r="E96" i="1" s="1"/>
  <c r="Q96" i="1" s="1"/>
  <c r="I95" i="1" l="1"/>
  <c r="Q95" i="1" s="1"/>
  <c r="X100" i="1" s="1"/>
  <c r="G89" i="1"/>
  <c r="K89" i="1" s="1"/>
  <c r="U88" i="1"/>
  <c r="V88" i="1" s="1"/>
  <c r="U87" i="1"/>
  <c r="V87" i="1" s="1"/>
  <c r="G87" i="1"/>
  <c r="K87" i="1" l="1"/>
  <c r="J87" i="1"/>
  <c r="H89" i="1"/>
  <c r="N89" i="1" s="1"/>
  <c r="E90" i="1" s="1"/>
  <c r="Q90" i="1" s="1"/>
  <c r="J89" i="1"/>
  <c r="L89" i="1"/>
  <c r="M89" i="1"/>
  <c r="L87" i="1"/>
  <c r="M87" i="1"/>
  <c r="H87" i="1"/>
  <c r="N87" i="1" s="1"/>
  <c r="U65" i="1"/>
  <c r="V65" i="1" s="1"/>
  <c r="U64" i="1"/>
  <c r="V64" i="1" s="1"/>
  <c r="H64" i="1"/>
  <c r="K64" i="1" l="1"/>
  <c r="E88" i="1"/>
  <c r="Q88" i="1" s="1"/>
  <c r="N107" i="1"/>
  <c r="I89" i="1"/>
  <c r="Q89" i="1" s="1"/>
  <c r="I87" i="1"/>
  <c r="Q87" i="1" s="1"/>
  <c r="L64" i="1"/>
  <c r="L105" i="1" s="1"/>
  <c r="D112" i="1" s="1"/>
  <c r="I64" i="1"/>
  <c r="N64" i="1"/>
  <c r="F76" i="1"/>
  <c r="F105" i="1" s="1"/>
  <c r="E76" i="1"/>
  <c r="G75" i="1"/>
  <c r="I75" i="1" s="1"/>
  <c r="Q75" i="1" s="1"/>
  <c r="G74" i="1"/>
  <c r="N59" i="1"/>
  <c r="X94" i="1" l="1"/>
  <c r="O64" i="1"/>
  <c r="O105" i="1" s="1"/>
  <c r="J74" i="1"/>
  <c r="G105" i="1"/>
  <c r="J64" i="1"/>
  <c r="G76" i="1"/>
  <c r="H76" i="1" s="1"/>
  <c r="N76" i="1" s="1"/>
  <c r="H74" i="1"/>
  <c r="M74" i="1"/>
  <c r="M105" i="1" s="1"/>
  <c r="D113" i="1" s="1"/>
  <c r="K74" i="1"/>
  <c r="V8" i="1"/>
  <c r="X11" i="1" s="1"/>
  <c r="D114" i="1" l="1"/>
  <c r="R113" i="1"/>
  <c r="Q64" i="1"/>
  <c r="X73" i="1" s="1"/>
  <c r="N74" i="1"/>
  <c r="N105" i="1" s="1"/>
  <c r="E105" i="1" s="1"/>
  <c r="G111" i="1" s="1"/>
  <c r="H105" i="1"/>
  <c r="J76" i="1"/>
  <c r="K76" i="1"/>
  <c r="K105" i="1" s="1"/>
  <c r="I76" i="1"/>
  <c r="I74" i="1"/>
  <c r="D111" i="1" l="1"/>
  <c r="R112" i="1"/>
  <c r="Q74" i="1"/>
  <c r="I105" i="1"/>
  <c r="Q76" i="1"/>
  <c r="Q105" i="1" l="1"/>
  <c r="X81" i="1"/>
  <c r="X105" i="1" s="1"/>
  <c r="U16" i="1"/>
  <c r="V16" i="1" l="1"/>
  <c r="V105" i="1" s="1"/>
  <c r="V107" i="1" s="1"/>
  <c r="R114" i="1" s="1"/>
</calcChain>
</file>

<file path=xl/sharedStrings.xml><?xml version="1.0" encoding="utf-8"?>
<sst xmlns="http://schemas.openxmlformats.org/spreadsheetml/2006/main" count="193" uniqueCount="164">
  <si>
    <t>Amount</t>
  </si>
  <si>
    <t>PAYMENT NOTE No.</t>
  </si>
  <si>
    <t>UTR</t>
  </si>
  <si>
    <t>SD (5%)</t>
  </si>
  <si>
    <t>On Commissioning</t>
  </si>
  <si>
    <t>Hydro Testing</t>
  </si>
  <si>
    <t>Balance Payable Amount Rs. -</t>
  </si>
  <si>
    <t>Total Paid Amount Rs. -</t>
  </si>
  <si>
    <t>Vayom GC PVT LTD</t>
  </si>
  <si>
    <t>Departmentaly OHT Construction Work</t>
  </si>
  <si>
    <t>05-06-2023 NEFT/AXISP00395669173/RIUP23/524/VAYOM GC PRIVATE 196000.00</t>
  </si>
  <si>
    <t>RIUP23/524</t>
  </si>
  <si>
    <t>RIUP23/523</t>
  </si>
  <si>
    <t>05-06-2023 NEFT/AXISP00395669173/RIUP23/523/VAYOM GC PRIVATE 196000.00</t>
  </si>
  <si>
    <t>RIUP23/364</t>
  </si>
  <si>
    <t>24-05-2023 NEFT/AXISP00392230457/RIUP23/364/VAYOM GC PRIVATE 588000.00</t>
  </si>
  <si>
    <t>RIUP23/854</t>
  </si>
  <si>
    <t>26-06-2023 NEFT/AXISP00400739622/RIUP23/854/VAYOM GC PRIVATE 287356.00</t>
  </si>
  <si>
    <t>RIUP23/885</t>
  </si>
  <si>
    <t>26-06-2023 NEFT/AXISP00400897265/RIUP23/885/VAYOM GC PRIVATE 294000.00</t>
  </si>
  <si>
    <t>RIUP23/175</t>
  </si>
  <si>
    <t>09-05-2023 NEFT/AXISP00388893042/RIUP23/175/VAYOM GC PRIVATE ₹ 2,94,000.00</t>
  </si>
  <si>
    <t>RIUP23/758</t>
  </si>
  <si>
    <t>21-06-2023 NEFT/AXISP00399842967/RIUP23/758/VAYOM GC PRIVATE 147000.00</t>
  </si>
  <si>
    <t>RIUP23/174</t>
  </si>
  <si>
    <t>09-05-2023 NEFT/AXISP00388893041/RIUP23/174/VAYOM GC PRIVATE ₹ 1,96,000.00</t>
  </si>
  <si>
    <t>RIUP23/530</t>
  </si>
  <si>
    <t>05-06-2023 NEFT/AXISP00395803921/RIUP23/530/VAYOM GC PRIVATE ₹ 2,94,000.00</t>
  </si>
  <si>
    <t>RIUP23/173</t>
  </si>
  <si>
    <t>09-05-2023 NEFT/AXISP00388893043/RIUP23/173/VAYOM GC PRIVATE ₹ 98,000.00</t>
  </si>
  <si>
    <t>RIUP23/621</t>
  </si>
  <si>
    <t>13-06-2023 NEFT/AXISP00398036689/RIUP23/621/VAYOM GC PRIVATE 42811.00</t>
  </si>
  <si>
    <t>Hold Amount</t>
  </si>
  <si>
    <t>Painting and Finishing</t>
  </si>
  <si>
    <t>RIUP23/118</t>
  </si>
  <si>
    <t>06-05-2023 NEFT/AXISP00388090050/RIUP23/118/VAYOM GC PRIVATE 196000.00</t>
  </si>
  <si>
    <t>RIUP23/811</t>
  </si>
  <si>
    <t>27-06-2023 NEFT/AXISP00401014826/RIUP23/811/VAYOM GC PRIVATE 84149.00</t>
  </si>
  <si>
    <t>SPUP23/0146</t>
  </si>
  <si>
    <t>17-04-2023 NEFT/AXISP00382434002/SPUP23/0146/VAYOM GC PRIVAT 196000.00</t>
  </si>
  <si>
    <t>SPUP23/0132</t>
  </si>
  <si>
    <t>17-04-2023 NEFT/AXISP00382452432/SPUP23/0132/VAYOM GC PRIVAT 196000.00</t>
  </si>
  <si>
    <t>RIUP23/529</t>
  </si>
  <si>
    <t>05-06-2023 NEFT/AXISP00395803922/RIUP23/529/VAYOM GC PRIVATE ₹ 2,94,000.00</t>
  </si>
  <si>
    <t>SPUP23/0133</t>
  </si>
  <si>
    <t>17-04-2023 NEFT/AXISP00382434001/SPUP23/0133/VAYOM GC PRIVAT 196000.00</t>
  </si>
  <si>
    <t>RIUP23/528</t>
  </si>
  <si>
    <t>05-06-2023 NEFT/AXISP00395803920/RIUP23/528/VAYOM GC PRIVATE ₹ 2,94,000.00</t>
  </si>
  <si>
    <t>GST Release note</t>
  </si>
  <si>
    <t>RIUP23/1179</t>
  </si>
  <si>
    <t>24-07-2023 NEFT/AXISP00408923305/RIUP23/1179/VAYOM GC PRIVAT 76545.00</t>
  </si>
  <si>
    <t>RIUP23/1665</t>
  </si>
  <si>
    <t>22-08-2023 NEFT/AXISP00417520215/RIUP23/1665/VAYOM GC PRIVATEL 294000.00</t>
  </si>
  <si>
    <t>RIUP23/1078</t>
  </si>
  <si>
    <t>14-07-2023 NEFT/AXISP00406960913/RIUP23/1078/VAYOM GC PRIVAT 245000.00</t>
  </si>
  <si>
    <t>RIUP23/1178</t>
  </si>
  <si>
    <t>24-07-2023 NEFT/AXISP00408923306/RIUP23/1178/VAYOM GC PRIVAT 46722.00</t>
  </si>
  <si>
    <t>RIUP23/1845</t>
  </si>
  <si>
    <t>05-09-2023 NEFT/AXISP00421730169/RIUP23/1845/VAYOM GC PRIVATE L/HDFC0001257 ₹ 1,96,000.00</t>
  </si>
  <si>
    <t>Bhikki Majara Village Pipe Laying Work</t>
  </si>
  <si>
    <t>24-07-2023 NEFT/AXISP00408847570/RIUP23/1183/VAYOM GC PRIVAT 20011.00</t>
  </si>
  <si>
    <t>15-07-2023 NEFT/AXISP00407207177/RIUP23/1061/VAYOM GC PRIVAT 81158.00</t>
  </si>
  <si>
    <t>04-08-2023 NEFT/AXISP00412597812/RIUP23/1367/VAYOM GC PRIVAT ₹ 4,90,000.00</t>
  </si>
  <si>
    <t>RIKUP23/1367</t>
  </si>
  <si>
    <t>05-09-2023 NEFT/AXISP00421730168/RIUP23/1844/VAYOM GC PRIVATE L/HDFC0001257 ₹ 2,45,000.00</t>
  </si>
  <si>
    <t>RIUP23/1844</t>
  </si>
  <si>
    <t>22-09-2023 NEFT/AXISP00426907964/RIUP23/2185/VAYOM GC PRIVATE L/HDFC0001257 38271.00</t>
  </si>
  <si>
    <t>RIUP23/2185</t>
  </si>
  <si>
    <t>GST release note</t>
  </si>
  <si>
    <t>RIUP23/1184</t>
  </si>
  <si>
    <t>24-07-2023 NEFT/AXISP00408847571/RIUP23/1184/VAYOM GC PRIVAT 30020.00</t>
  </si>
  <si>
    <t>RIUP23/2186</t>
  </si>
  <si>
    <t>22-09-2023 NEFT/AXISP00426907965/RIUP23/2186/VAYOM GC PRIVATE L/HDFC0001257 10592.00</t>
  </si>
  <si>
    <t>22-09-2023 NEFT/AXISP00426907962/RIUP23/2183/VAYOM GC PRIVATE L/HDFC0001257 42148.00</t>
  </si>
  <si>
    <t>RIUP23/2183</t>
  </si>
  <si>
    <t>22-08-2023 NEFT/AXISP00417520228/RIUP23/1666/VAYOM GC PRIVATEL 294000.00</t>
  </si>
  <si>
    <t>RIUP23/1666</t>
  </si>
  <si>
    <t>10-07-2023 NEFT/AXISP00405573518/RIUP23/1044/VAYOM GC PRIVAT 294000.00</t>
  </si>
  <si>
    <t>24-07-2023 NEFT/AXISP00408847569/RIUP23/1181/VAYOM GC PRIVAT 60755.00</t>
  </si>
  <si>
    <t>RIUP23/1044</t>
  </si>
  <si>
    <t>RIUP23/1181</t>
  </si>
  <si>
    <t>03-10-2023 NEFT/AXISP00429778924/RIUP23/2445/VAYOM GC PRIVATE L/HDFC0001257 245000.00</t>
  </si>
  <si>
    <t>RIUP23/2445</t>
  </si>
  <si>
    <t>23-10-2023 NEFT/AXISP00436449474/RIUP23/2825/VAYOM GC PRIVATEL/HDFC0001257 294000.00</t>
  </si>
  <si>
    <t>RIUP23/2825</t>
  </si>
  <si>
    <t>24-07-2023 NEFT/AXISP00408935249/RIUP23/1182/VAYOM GC PRIVAT 160779.00</t>
  </si>
  <si>
    <t>RIUP23/1182</t>
  </si>
  <si>
    <t>Deposit</t>
  </si>
  <si>
    <t>10-08-2023 NEFT/AXISP00414696947/RIUP23/1180/VAYOM GC PRIVAT 43810.00</t>
  </si>
  <si>
    <t>RIUP23/1952</t>
  </si>
  <si>
    <t>11-09-2023 NEFT/AXISP00423685735/RIUP23/1952/VAYOM GC PRIVATE L/HDFC0001257 104419.00</t>
  </si>
  <si>
    <t>RIUP23/2824</t>
  </si>
  <si>
    <t>23-10-2023 NEFT/AXISP00436449475/RIUP23/2824/VAYOM GC PRIVATEL/HDFC0001257 294000.00</t>
  </si>
  <si>
    <t>07-11-2023 NEFT/AXISP00441165819/RIUP23/3083/VAYOM GC PRIVATE L/HDFC0001257 294000.00</t>
  </si>
  <si>
    <t>RIUP23/3083</t>
  </si>
  <si>
    <t>22-09-2023 NEFT/AXISP00426907963/RIUP23/2184/VAYOM GC PRIVATE L/HDFC0001257 39146.00</t>
  </si>
  <si>
    <t>RIUP23/2184</t>
  </si>
  <si>
    <t>RIUP23/2444</t>
  </si>
  <si>
    <t>03-10-2023 NEFT/AXISP00429778925/RIUP23/2444/VAYOM GC PRIVATE L/HDFC0001257 245000.00</t>
  </si>
  <si>
    <t>09-11-2023 NEFT/AXISP00442779045/RIUP23/3190/VAYOM GC PRIVATE L/HDFC0001257 98000.00</t>
  </si>
  <si>
    <t>RIUP23/3190</t>
  </si>
  <si>
    <t>09-11-2023 NEFT/AXISP00442779047/RIUP23/3191/VAYOM GC PRIVATEL/HDFC0001257 98000.00</t>
  </si>
  <si>
    <t>RIUP23/3191</t>
  </si>
  <si>
    <t>29-11-2023 NEFT/AXISP00447355232/RIUP23/3470/VAYOM GC PRIVATEL/HDFC0001257 25747.00</t>
  </si>
  <si>
    <t>RIUP23/3470</t>
  </si>
  <si>
    <t>09-11-2023 NEFT/AXISP00442779049/RIUP23/3192/VAYOM GC PRIVATEL/HDFC0001257 98000.00</t>
  </si>
  <si>
    <t>RIUP23/3192</t>
  </si>
  <si>
    <t>Vayom GC Pvt. Ltd.</t>
  </si>
  <si>
    <t>hold amount</t>
  </si>
  <si>
    <t>other hold</t>
  </si>
  <si>
    <t>advance/surplus</t>
  </si>
  <si>
    <t>Payment_Amount</t>
  </si>
  <si>
    <t>TDS_Payment_Amount</t>
  </si>
  <si>
    <t>Total_Amount</t>
  </si>
  <si>
    <t>Final_Amount</t>
  </si>
  <si>
    <t>GST_SD_Amount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</si>
  <si>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</si>
  <si>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</si>
  <si>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</si>
  <si>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</si>
  <si>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</si>
  <si>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</si>
  <si>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</si>
  <si>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</si>
  <si>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</si>
  <si>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</si>
  <si>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</si>
  <si>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</si>
  <si>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Subcontractor:</t>
  </si>
  <si>
    <t>State:</t>
  </si>
  <si>
    <t>Uttar Pradesh</t>
  </si>
  <si>
    <t>District:</t>
  </si>
  <si>
    <t>Shamli</t>
  </si>
  <si>
    <t>Block:</t>
  </si>
  <si>
    <t>ALLVIAL VILLAGE OHT work</t>
  </si>
  <si>
    <t xml:space="preserve">Jhangeri Village OHT Construction work </t>
  </si>
  <si>
    <t xml:space="preserve">sakaut village Excavation work </t>
  </si>
  <si>
    <t xml:space="preserve">Kamalpur village Excavation work </t>
  </si>
  <si>
    <t>Chhatela urf jainpur village Excavation work</t>
  </si>
  <si>
    <t xml:space="preserve">Gujjarpur Ramnagar village Excavation work </t>
  </si>
  <si>
    <t xml:space="preserve">Bhogi Mazra village Excavation work </t>
  </si>
  <si>
    <t xml:space="preserve">Ballamazra vilage Excavation work </t>
  </si>
  <si>
    <t xml:space="preserve">lawadaudpur village Excavation work </t>
  </si>
  <si>
    <t xml:space="preserve">sanpla village Excavation work </t>
  </si>
  <si>
    <t xml:space="preserve">Ullani bila mazra village Excavation work </t>
  </si>
  <si>
    <t xml:space="preserve">Dullakheri vilage Excavation work </t>
  </si>
  <si>
    <t xml:space="preserve">marchauli vilage Excavation work </t>
  </si>
  <si>
    <t xml:space="preserve">Peerkhera village Excavation work </t>
  </si>
  <si>
    <t xml:space="preserve">ambetha ridan village Excavation work </t>
  </si>
  <si>
    <t xml:space="preserve">Tisang dabheri buzurg village Excavation work </t>
  </si>
  <si>
    <t>Mandawar VILLAGE OHT work</t>
  </si>
  <si>
    <t>GANDRAV Village OHT work</t>
  </si>
  <si>
    <t>TEEL Village OHT work</t>
  </si>
  <si>
    <t>panjokher Village OHT work</t>
  </si>
  <si>
    <t xml:space="preserve">Bharsi village OHT Construction work </t>
  </si>
  <si>
    <t>UNCHAGAON VILLAGE OHT work</t>
  </si>
  <si>
    <t>Khera kurtan village OHT Work</t>
  </si>
  <si>
    <t xml:space="preserve">Erti village Excavation , leveling , PCC work </t>
  </si>
  <si>
    <t xml:space="preserve">Hasanpur village Excavation , leveling , PCC work </t>
  </si>
  <si>
    <t xml:space="preserve">Harsana village Excavation , leveling , PCC work </t>
  </si>
  <si>
    <t xml:space="preserve">kherki village Excavation , leveling , PCC work </t>
  </si>
  <si>
    <t xml:space="preserve">Subri village Excavation work </t>
  </si>
  <si>
    <t xml:space="preserve">sikandarpur village Excavation , leveling , PCC work </t>
  </si>
  <si>
    <t xml:space="preserve">TANA VILLAGE Boundary Wall Work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</si>
</sst>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d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7"/>
      <color rgb="FF333333"/>
      <name val="Verdana"/>
      <family val="2"/>
    </font>
    <font>
      <sz val="9"/>
      <color rgb="FF333333"/>
      <name val="Verdana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4"/>
      <color theme="3" tint="0.39997558519241921"/>
      <name val="Times New Roman"/>
      <family val="1"/>
    </font>
    <font>
      <sz val="10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4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64" fontId="8" fillId="2" borderId="6" xfId="1" applyNumberFormat="1" applyFont="1" applyFill="1" applyBorder="1" applyAlignment="1">
      <alignment vertical="center"/>
    </xf>
    <xf numFmtId="164" fontId="8" fillId="2" borderId="8" xfId="1" applyNumberFormat="1" applyFont="1" applyFill="1" applyBorder="1" applyAlignment="1">
      <alignment vertical="center"/>
    </xf>
    <xf numFmtId="164" fontId="8" fillId="2" borderId="7" xfId="1" applyNumberFormat="1" applyFont="1" applyFill="1" applyBorder="1" applyAlignment="1">
      <alignment vertical="center"/>
    </xf>
    <xf numFmtId="0" fontId="0" fillId="2" borderId="0" xfId="0" applyFill="1" applyAlignment="1">
      <alignment vertical="center" wrapText="1"/>
    </xf>
    <xf numFmtId="0" fontId="0" fillId="3" borderId="0" xfId="0" applyFill="1" applyAlignment="1">
      <alignment vertical="center"/>
    </xf>
    <xf numFmtId="164" fontId="8" fillId="3" borderId="3" xfId="1" applyNumberFormat="1" applyFont="1" applyFill="1" applyBorder="1" applyAlignment="1">
      <alignment vertical="center"/>
    </xf>
    <xf numFmtId="164" fontId="8" fillId="2" borderId="9" xfId="1" applyNumberFormat="1" applyFont="1" applyFill="1" applyBorder="1" applyAlignment="1">
      <alignment vertical="center"/>
    </xf>
    <xf numFmtId="164" fontId="8" fillId="2" borderId="0" xfId="1" applyNumberFormat="1" applyFont="1" applyFill="1" applyBorder="1" applyAlignment="1">
      <alignment vertical="center"/>
    </xf>
    <xf numFmtId="164" fontId="8" fillId="2" borderId="5" xfId="1" applyNumberFormat="1" applyFon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164" fontId="8" fillId="3" borderId="6" xfId="1" applyNumberFormat="1" applyFont="1" applyFill="1" applyBorder="1" applyAlignment="1">
      <alignment vertical="center"/>
    </xf>
    <xf numFmtId="9" fontId="8" fillId="3" borderId="3" xfId="1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/>
    </xf>
    <xf numFmtId="0" fontId="7" fillId="2" borderId="6" xfId="0" applyFont="1" applyFill="1" applyBorder="1" applyAlignment="1">
      <alignment horizontal="center" vertical="center" wrapText="1"/>
    </xf>
    <xf numFmtId="0" fontId="0" fillId="3" borderId="6" xfId="0" applyFill="1" applyBorder="1" applyAlignment="1">
      <alignment vertical="center"/>
    </xf>
    <xf numFmtId="9" fontId="8" fillId="3" borderId="6" xfId="1" applyNumberFormat="1" applyFont="1" applyFill="1" applyBorder="1" applyAlignment="1">
      <alignment vertical="center"/>
    </xf>
    <xf numFmtId="0" fontId="7" fillId="4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/>
    </xf>
    <xf numFmtId="43" fontId="8" fillId="2" borderId="6" xfId="1" applyFont="1" applyFill="1" applyBorder="1" applyAlignment="1">
      <alignment vertical="center"/>
    </xf>
    <xf numFmtId="0" fontId="8" fillId="3" borderId="6" xfId="0" applyFont="1" applyFill="1" applyBorder="1" applyAlignment="1">
      <alignment horizontal="center" vertical="center" wrapText="1"/>
    </xf>
    <xf numFmtId="0" fontId="11" fillId="0" borderId="6" xfId="0" applyFont="1" applyBorder="1"/>
    <xf numFmtId="0" fontId="6" fillId="2" borderId="6" xfId="0" applyFont="1" applyFill="1" applyBorder="1" applyAlignment="1">
      <alignment vertical="center"/>
    </xf>
    <xf numFmtId="0" fontId="7" fillId="3" borderId="6" xfId="0" applyFont="1" applyFill="1" applyBorder="1" applyAlignment="1">
      <alignment horizontal="center" vertical="center" wrapText="1"/>
    </xf>
    <xf numFmtId="164" fontId="8" fillId="2" borderId="6" xfId="1" applyNumberFormat="1" applyFont="1" applyFill="1" applyBorder="1" applyAlignment="1">
      <alignment vertical="center" wrapText="1"/>
    </xf>
    <xf numFmtId="164" fontId="0" fillId="2" borderId="6" xfId="0" applyNumberFormat="1" applyFill="1" applyBorder="1" applyAlignment="1">
      <alignment vertical="center"/>
    </xf>
    <xf numFmtId="0" fontId="10" fillId="0" borderId="6" xfId="0" applyFont="1" applyBorder="1"/>
    <xf numFmtId="164" fontId="8" fillId="2" borderId="6" xfId="1" applyNumberFormat="1" applyFont="1" applyFill="1" applyBorder="1" applyAlignment="1">
      <alignment horizontal="right" vertical="center"/>
    </xf>
    <xf numFmtId="164" fontId="3" fillId="2" borderId="6" xfId="1" applyNumberFormat="1" applyFont="1" applyFill="1" applyBorder="1" applyAlignment="1">
      <alignment vertical="center"/>
    </xf>
    <xf numFmtId="164" fontId="7" fillId="2" borderId="6" xfId="1" applyNumberFormat="1" applyFont="1" applyFill="1" applyBorder="1" applyAlignment="1">
      <alignment vertical="center"/>
    </xf>
    <xf numFmtId="164" fontId="3" fillId="2" borderId="11" xfId="1" applyNumberFormat="1" applyFont="1" applyFill="1" applyBorder="1" applyAlignment="1">
      <alignment vertical="center"/>
    </xf>
    <xf numFmtId="164" fontId="8" fillId="2" borderId="11" xfId="1" applyNumberFormat="1" applyFont="1" applyFill="1" applyBorder="1" applyAlignment="1">
      <alignment vertical="center"/>
    </xf>
    <xf numFmtId="164" fontId="3" fillId="2" borderId="9" xfId="1" applyNumberFormat="1" applyFont="1" applyFill="1" applyBorder="1" applyAlignment="1">
      <alignment vertical="center"/>
    </xf>
    <xf numFmtId="164" fontId="3" fillId="2" borderId="10" xfId="1" applyNumberFormat="1" applyFont="1" applyFill="1" applyBorder="1" applyAlignment="1">
      <alignment vertical="center"/>
    </xf>
    <xf numFmtId="164" fontId="8" fillId="2" borderId="10" xfId="1" applyNumberFormat="1" applyFont="1" applyFill="1" applyBorder="1" applyAlignment="1">
      <alignment vertical="center"/>
    </xf>
    <xf numFmtId="164" fontId="7" fillId="2" borderId="10" xfId="1" applyNumberFormat="1" applyFont="1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vertical="center"/>
    </xf>
    <xf numFmtId="9" fontId="8" fillId="2" borderId="11" xfId="1" applyNumberFormat="1" applyFont="1" applyFill="1" applyBorder="1" applyAlignment="1">
      <alignment vertical="center"/>
    </xf>
    <xf numFmtId="0" fontId="7" fillId="2" borderId="1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164" fontId="8" fillId="5" borderId="6" xfId="1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1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8" fillId="2" borderId="11" xfId="1" applyNumberFormat="1" applyFont="1" applyFill="1" applyBorder="1" applyAlignment="1">
      <alignment horizontal="center" vertical="center"/>
    </xf>
    <xf numFmtId="0" fontId="8" fillId="3" borderId="3" xfId="1" applyNumberFormat="1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2" borderId="6" xfId="1" applyNumberFormat="1" applyFont="1" applyFill="1" applyBorder="1" applyAlignment="1">
      <alignment horizontal="center" vertical="center"/>
    </xf>
    <xf numFmtId="0" fontId="8" fillId="3" borderId="6" xfId="1" applyNumberFormat="1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8" fillId="2" borderId="9" xfId="1" applyNumberFormat="1" applyFont="1" applyFill="1" applyBorder="1" applyAlignment="1">
      <alignment horizontal="center" vertical="center"/>
    </xf>
    <xf numFmtId="0" fontId="8" fillId="2" borderId="10" xfId="1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64" fontId="0" fillId="2" borderId="0" xfId="0" applyNumberFormat="1" applyFill="1" applyAlignment="1">
      <alignment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vertical="center"/>
    </xf>
    <xf numFmtId="0" fontId="6" fillId="2" borderId="10" xfId="0" applyFont="1" applyFill="1" applyBorder="1" applyAlignment="1">
      <alignment horizontal="center" vertical="center"/>
    </xf>
    <xf numFmtId="43" fontId="14" fillId="2" borderId="10" xfId="1" applyFont="1" applyFill="1" applyBorder="1" applyAlignment="1">
      <alignment horizontal="center" vertical="center"/>
    </xf>
    <xf numFmtId="43" fontId="6" fillId="2" borderId="10" xfId="1" applyFont="1" applyFill="1" applyBorder="1" applyAlignment="1">
      <alignment horizontal="center" vertical="center"/>
    </xf>
    <xf numFmtId="0" fontId="6" fillId="0" borderId="0" xfId="0" applyFont="1"/>
    <xf numFmtId="164" fontId="15" fillId="2" borderId="1" xfId="2" applyFont="1" applyFill="1" applyBorder="1" applyAlignment="1">
      <alignment vertical="center"/>
    </xf>
    <xf numFmtId="164" fontId="15" fillId="2" borderId="2" xfId="2" applyFont="1" applyFill="1" applyBorder="1" applyAlignment="1">
      <alignment vertical="center"/>
    </xf>
    <xf numFmtId="0" fontId="16" fillId="2" borderId="2" xfId="0" applyFont="1" applyFill="1" applyBorder="1" applyAlignment="1">
      <alignment vertical="center"/>
    </xf>
    <xf numFmtId="165" fontId="0" fillId="2" borderId="0" xfId="0" applyNumberFormat="1" applyFill="1" applyAlignment="1">
      <alignment vertical="center"/>
    </xf>
    <xf numFmtId="165" fontId="2" fillId="2" borderId="0" xfId="1" applyNumberFormat="1" applyFont="1" applyFill="1" applyBorder="1" applyAlignment="1">
      <alignment vertical="center"/>
    </xf>
    <xf numFmtId="165" fontId="3" fillId="2" borderId="2" xfId="0" applyNumberFormat="1" applyFont="1" applyFill="1" applyBorder="1" applyAlignment="1">
      <alignment vertical="center"/>
    </xf>
    <xf numFmtId="165" fontId="6" fillId="2" borderId="10" xfId="0" applyNumberFormat="1" applyFont="1" applyFill="1" applyBorder="1" applyAlignment="1">
      <alignment horizontal="center" vertical="center"/>
    </xf>
    <xf numFmtId="165" fontId="8" fillId="2" borderId="11" xfId="1" applyNumberFormat="1" applyFont="1" applyFill="1" applyBorder="1" applyAlignment="1">
      <alignment vertical="center"/>
    </xf>
    <xf numFmtId="165" fontId="8" fillId="3" borderId="3" xfId="1" applyNumberFormat="1" applyFont="1" applyFill="1" applyBorder="1" applyAlignment="1">
      <alignment vertical="center"/>
    </xf>
    <xf numFmtId="165" fontId="8" fillId="2" borderId="6" xfId="0" applyNumberFormat="1" applyFont="1" applyFill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 vertical="center"/>
    </xf>
    <xf numFmtId="165" fontId="8" fillId="2" borderId="6" xfId="1" applyNumberFormat="1" applyFont="1" applyFill="1" applyBorder="1" applyAlignment="1">
      <alignment vertical="center"/>
    </xf>
    <xf numFmtId="165" fontId="8" fillId="3" borderId="6" xfId="1" applyNumberFormat="1" applyFon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165" fontId="8" fillId="2" borderId="9" xfId="1" applyNumberFormat="1" applyFont="1" applyFill="1" applyBorder="1" applyAlignment="1">
      <alignment vertical="center"/>
    </xf>
    <xf numFmtId="165" fontId="8" fillId="2" borderId="10" xfId="1" applyNumberFormat="1" applyFont="1" applyFill="1" applyBorder="1" applyAlignment="1">
      <alignment vertical="center"/>
    </xf>
    <xf numFmtId="165" fontId="0" fillId="2" borderId="4" xfId="0" applyNumberFormat="1" applyFill="1" applyBorder="1" applyAlignment="1">
      <alignment vertical="center"/>
    </xf>
    <xf numFmtId="165" fontId="7" fillId="2" borderId="4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Comma 2" xfId="2" xr:uid="{4B551580-2D79-4C77-A227-662CEDFDF2D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114"/>
  <sheetViews>
    <sheetView tabSelected="1" zoomScale="80" zoomScaleNormal="80" workbookViewId="0">
      <pane ySplit="5" topLeftCell="A6" activePane="bottomLeft" state="frozen"/>
      <selection pane="bottomLeft" activeCell="F3" sqref="F3"/>
    </sheetView>
  </sheetViews>
  <sheetFormatPr defaultColWidth="9" defaultRowHeight="14.4" x14ac:dyDescent="0.3"/>
  <cols>
    <col min="1" max="1" width="9" style="1"/>
    <col min="2" max="2" width="30" style="1" customWidth="1"/>
    <col min="3" max="3" width="13.44140625" style="79" bestFit="1" customWidth="1"/>
    <col min="4" max="4" width="11.6640625" style="56" bestFit="1" customWidth="1"/>
    <col min="5" max="5" width="19.44140625" style="1" bestFit="1" customWidth="1"/>
    <col min="6" max="7" width="17.109375" style="1" bestFit="1" customWidth="1"/>
    <col min="8" max="8" width="41.5546875" style="9" bestFit="1" customWidth="1"/>
    <col min="9" max="9" width="17.109375" style="9" bestFit="1" customWidth="1"/>
    <col min="10" max="10" width="14.109375" style="1" customWidth="1"/>
    <col min="11" max="11" width="15.88671875" style="1" bestFit="1" customWidth="1"/>
    <col min="12" max="12" width="13.6640625" style="1" bestFit="1" customWidth="1"/>
    <col min="13" max="14" width="16.6640625" style="1" customWidth="1"/>
    <col min="15" max="16" width="14.88671875" style="1" customWidth="1"/>
    <col min="17" max="17" width="17.109375" style="1" bestFit="1" customWidth="1"/>
    <col min="18" max="18" width="14.44140625" style="1" bestFit="1" customWidth="1"/>
    <col min="19" max="19" width="21.6640625" style="1" bestFit="1" customWidth="1"/>
    <col min="20" max="20" width="13.88671875" style="1" customWidth="1"/>
    <col min="21" max="21" width="14.5546875" style="1" bestFit="1" customWidth="1"/>
    <col min="22" max="22" width="18.109375" style="1" bestFit="1" customWidth="1"/>
    <col min="23" max="23" width="100.88671875" style="1" customWidth="1"/>
    <col min="24" max="24" width="18.44140625" style="1" bestFit="1" customWidth="1"/>
    <col min="25" max="16384" width="9" style="1"/>
  </cols>
  <sheetData>
    <row r="1" spans="1:70" ht="20.399999999999999" thickBot="1" x14ac:dyDescent="0.35">
      <c r="A1" s="75" t="s">
        <v>128</v>
      </c>
      <c r="B1" s="57" t="s">
        <v>8</v>
      </c>
      <c r="E1" s="2"/>
      <c r="F1" s="2"/>
      <c r="G1" s="2"/>
      <c r="H1" s="3"/>
      <c r="I1" s="3"/>
    </row>
    <row r="2" spans="1:70" ht="20.399999999999999" thickBot="1" x14ac:dyDescent="0.35">
      <c r="A2" s="75" t="s">
        <v>129</v>
      </c>
      <c r="B2" s="76" t="s">
        <v>130</v>
      </c>
      <c r="C2" s="80"/>
      <c r="D2" s="57"/>
      <c r="H2" s="10" t="s">
        <v>9</v>
      </c>
      <c r="I2" s="4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70" ht="20.399999999999999" thickBot="1" x14ac:dyDescent="0.35">
      <c r="A3" s="75" t="s">
        <v>131</v>
      </c>
      <c r="B3" s="77" t="s">
        <v>132</v>
      </c>
      <c r="C3" s="80"/>
      <c r="D3" s="57"/>
      <c r="H3" s="10"/>
      <c r="I3" s="4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70" ht="15" thickBot="1" x14ac:dyDescent="0.35">
      <c r="A4" s="75" t="s">
        <v>133</v>
      </c>
      <c r="B4" s="78" t="s">
        <v>132</v>
      </c>
      <c r="C4" s="81"/>
      <c r="D4" s="58"/>
      <c r="E4" s="6"/>
      <c r="F4" s="5"/>
      <c r="G4" s="5"/>
      <c r="H4" s="7"/>
      <c r="I4" s="7"/>
      <c r="J4" s="5"/>
      <c r="K4" s="5"/>
      <c r="L4" s="5"/>
      <c r="M4" s="5"/>
      <c r="S4" s="5"/>
      <c r="T4" s="8"/>
      <c r="U4" s="8"/>
      <c r="V4" s="8"/>
      <c r="W4" s="8"/>
    </row>
    <row r="5" spans="1:70" s="14" customFormat="1" ht="69.75" customHeight="1" x14ac:dyDescent="0.3">
      <c r="A5" s="71" t="s">
        <v>116</v>
      </c>
      <c r="B5" s="70" t="s">
        <v>117</v>
      </c>
      <c r="C5" s="82" t="s">
        <v>118</v>
      </c>
      <c r="D5" s="72" t="s">
        <v>119</v>
      </c>
      <c r="E5" s="70" t="s">
        <v>120</v>
      </c>
      <c r="F5" s="70" t="s">
        <v>121</v>
      </c>
      <c r="G5" s="72" t="s">
        <v>122</v>
      </c>
      <c r="H5" s="73" t="s">
        <v>123</v>
      </c>
      <c r="I5" s="74" t="s">
        <v>0</v>
      </c>
      <c r="J5" s="70" t="s">
        <v>124</v>
      </c>
      <c r="K5" s="70" t="s">
        <v>125</v>
      </c>
      <c r="L5" s="70" t="s">
        <v>126</v>
      </c>
      <c r="M5" s="70" t="s">
        <v>127</v>
      </c>
      <c r="N5" s="70" t="s">
        <v>115</v>
      </c>
      <c r="O5" s="23" t="s">
        <v>33</v>
      </c>
      <c r="P5" s="23" t="s">
        <v>32</v>
      </c>
      <c r="Q5" s="70" t="s">
        <v>114</v>
      </c>
      <c r="R5" s="23"/>
      <c r="S5" s="23" t="s">
        <v>1</v>
      </c>
      <c r="T5" s="70" t="s">
        <v>111</v>
      </c>
      <c r="U5" s="70" t="s">
        <v>112</v>
      </c>
      <c r="V5" s="70" t="s">
        <v>113</v>
      </c>
      <c r="W5" s="70" t="s">
        <v>2</v>
      </c>
    </row>
    <row r="6" spans="1:70" ht="17.399999999999999" thickBot="1" x14ac:dyDescent="0.35">
      <c r="A6" s="50"/>
      <c r="B6" s="43"/>
      <c r="C6" s="83"/>
      <c r="D6" s="59"/>
      <c r="E6" s="43"/>
      <c r="F6" s="43"/>
      <c r="G6" s="43"/>
      <c r="H6" s="43"/>
      <c r="I6" s="43"/>
      <c r="J6" s="51">
        <v>0.02</v>
      </c>
      <c r="K6" s="51">
        <v>0.05</v>
      </c>
      <c r="L6" s="51">
        <v>0.1</v>
      </c>
      <c r="M6" s="51">
        <v>0.1</v>
      </c>
      <c r="N6" s="43"/>
      <c r="O6" s="43"/>
      <c r="P6" s="43"/>
      <c r="Q6" s="43"/>
      <c r="R6" s="52"/>
      <c r="S6" s="43"/>
      <c r="T6" s="43"/>
      <c r="U6" s="51">
        <v>0.02</v>
      </c>
      <c r="V6" s="43"/>
      <c r="W6" s="43"/>
    </row>
    <row r="7" spans="1:70" s="15" customFormat="1" ht="16.8" x14ac:dyDescent="0.3">
      <c r="A7" s="48"/>
      <c r="B7" s="16"/>
      <c r="C7" s="84"/>
      <c r="D7" s="60"/>
      <c r="E7" s="16"/>
      <c r="F7" s="16"/>
      <c r="G7" s="16"/>
      <c r="H7" s="16"/>
      <c r="I7" s="16"/>
      <c r="J7" s="22"/>
      <c r="K7" s="22"/>
      <c r="L7" s="22"/>
      <c r="M7" s="22"/>
      <c r="N7" s="16"/>
      <c r="O7" s="16"/>
      <c r="P7" s="16"/>
      <c r="Q7" s="16"/>
      <c r="R7" s="49">
        <f>A8</f>
        <v>57716</v>
      </c>
      <c r="S7" s="16"/>
      <c r="T7" s="16"/>
      <c r="U7" s="22"/>
      <c r="V7" s="16"/>
      <c r="W7" s="16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</row>
    <row r="8" spans="1:70" ht="16.8" x14ac:dyDescent="0.3">
      <c r="A8" s="24">
        <v>57716</v>
      </c>
      <c r="B8" s="29" t="s">
        <v>134</v>
      </c>
      <c r="C8" s="85">
        <v>45276</v>
      </c>
      <c r="D8" s="30">
        <v>23</v>
      </c>
      <c r="E8" s="11">
        <v>175000</v>
      </c>
      <c r="F8" s="11">
        <v>47688</v>
      </c>
      <c r="G8" s="11">
        <f>E8-F8</f>
        <v>127312</v>
      </c>
      <c r="H8" s="11">
        <f>G8*18%</f>
        <v>22916.16</v>
      </c>
      <c r="I8" s="11">
        <f>G8+H8</f>
        <v>150228.16</v>
      </c>
      <c r="J8" s="11">
        <f>G8*2%</f>
        <v>2546.2400000000002</v>
      </c>
      <c r="K8" s="11">
        <f>G8*5%</f>
        <v>6365.6</v>
      </c>
      <c r="L8" s="11"/>
      <c r="M8" s="11">
        <f>G8*10%</f>
        <v>12731.2</v>
      </c>
      <c r="N8" s="11">
        <f>H8</f>
        <v>22916.16</v>
      </c>
      <c r="O8" s="11"/>
      <c r="P8" s="11"/>
      <c r="Q8" s="11">
        <f>G8-J8-K8-L8-M8</f>
        <v>105668.95999999999</v>
      </c>
      <c r="R8" s="25"/>
      <c r="S8" s="11" t="s">
        <v>11</v>
      </c>
      <c r="T8" s="11">
        <v>200000</v>
      </c>
      <c r="U8" s="31">
        <f>T8*U6</f>
        <v>4000</v>
      </c>
      <c r="V8" s="11">
        <f>T8-U8</f>
        <v>196000</v>
      </c>
      <c r="W8" s="11" t="s">
        <v>10</v>
      </c>
    </row>
    <row r="9" spans="1:70" ht="16.8" x14ac:dyDescent="0.3">
      <c r="A9" s="24">
        <v>57716</v>
      </c>
      <c r="B9" s="29"/>
      <c r="C9" s="85">
        <v>45306</v>
      </c>
      <c r="D9" s="30">
        <v>26</v>
      </c>
      <c r="E9" s="11">
        <v>350000</v>
      </c>
      <c r="F9" s="11">
        <v>349878</v>
      </c>
      <c r="G9" s="11">
        <f>E9-F9</f>
        <v>122</v>
      </c>
      <c r="H9" s="11">
        <f>G9*18%</f>
        <v>21.96</v>
      </c>
      <c r="I9" s="11">
        <f>G9+H9</f>
        <v>143.96</v>
      </c>
      <c r="J9" s="11">
        <f>G9*2%</f>
        <v>2.44</v>
      </c>
      <c r="K9" s="11">
        <f>G9*5%</f>
        <v>6.1000000000000005</v>
      </c>
      <c r="L9" s="11"/>
      <c r="M9" s="11">
        <f>G9*10%</f>
        <v>12.200000000000001</v>
      </c>
      <c r="N9" s="11">
        <f>H9</f>
        <v>21.96</v>
      </c>
      <c r="O9" s="11"/>
      <c r="P9" s="11"/>
      <c r="Q9" s="11">
        <f>G9-J9-K9-L9-M9</f>
        <v>101.26</v>
      </c>
      <c r="R9" s="25"/>
      <c r="S9" s="11" t="s">
        <v>100</v>
      </c>
      <c r="T9" s="11">
        <v>100000</v>
      </c>
      <c r="U9" s="31">
        <f>T9*U6</f>
        <v>2000</v>
      </c>
      <c r="V9" s="11">
        <f t="shared" ref="V9" si="0">T9-U9</f>
        <v>98000</v>
      </c>
      <c r="W9" s="11" t="s">
        <v>99</v>
      </c>
    </row>
    <row r="10" spans="1:70" ht="16.8" x14ac:dyDescent="0.3">
      <c r="A10" s="24">
        <v>57716</v>
      </c>
      <c r="B10" s="29"/>
      <c r="C10" s="85"/>
      <c r="D10" s="30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25"/>
      <c r="S10" s="11"/>
      <c r="T10" s="11"/>
      <c r="U10" s="31"/>
      <c r="V10" s="11"/>
      <c r="W10" s="11"/>
    </row>
    <row r="11" spans="1:70" s="15" customFormat="1" ht="16.8" x14ac:dyDescent="0.3">
      <c r="A11" s="26"/>
      <c r="B11" s="32"/>
      <c r="C11" s="86"/>
      <c r="D11" s="6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8">
        <f>A12</f>
        <v>57715</v>
      </c>
      <c r="S11" s="21"/>
      <c r="T11" s="21"/>
      <c r="U11" s="27"/>
      <c r="V11" s="21"/>
      <c r="W11" s="21"/>
      <c r="X11" s="18">
        <f>SUM(Q8:Q9)-SUM(V8:V9)</f>
        <v>-188229.78000000003</v>
      </c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</row>
    <row r="12" spans="1:70" ht="36.6" customHeight="1" x14ac:dyDescent="0.2">
      <c r="A12" s="24">
        <v>57715</v>
      </c>
      <c r="B12" s="29" t="s">
        <v>135</v>
      </c>
      <c r="C12" s="85">
        <v>45214</v>
      </c>
      <c r="D12" s="30">
        <v>18</v>
      </c>
      <c r="E12" s="11">
        <v>912000</v>
      </c>
      <c r="F12" s="11">
        <v>523773</v>
      </c>
      <c r="G12" s="11">
        <f>E12-F12</f>
        <v>388227</v>
      </c>
      <c r="H12" s="11">
        <f>G12*18%</f>
        <v>69880.86</v>
      </c>
      <c r="I12" s="11">
        <f>G12+H12</f>
        <v>458107.86</v>
      </c>
      <c r="J12" s="11">
        <f>G12*2%</f>
        <v>7764.54</v>
      </c>
      <c r="K12" s="11">
        <f>G12*5%</f>
        <v>19411.350000000002</v>
      </c>
      <c r="L12" s="11"/>
      <c r="M12" s="11">
        <f>G12*10%</f>
        <v>38822.700000000004</v>
      </c>
      <c r="N12" s="11">
        <f>H12</f>
        <v>69880.86</v>
      </c>
      <c r="O12" s="11"/>
      <c r="P12" s="11"/>
      <c r="Q12" s="11">
        <f>G12-J12-K12-L12-M12</f>
        <v>322228.41000000003</v>
      </c>
      <c r="R12" s="25"/>
      <c r="S12" s="11" t="s">
        <v>82</v>
      </c>
      <c r="T12" s="11">
        <v>245000</v>
      </c>
      <c r="U12" s="11"/>
      <c r="V12" s="11">
        <v>245000</v>
      </c>
      <c r="W12" s="33" t="s">
        <v>81</v>
      </c>
    </row>
    <row r="13" spans="1:70" ht="36.6" customHeight="1" x14ac:dyDescent="0.3">
      <c r="A13" s="24">
        <v>57715</v>
      </c>
      <c r="B13" s="29"/>
      <c r="C13" s="85"/>
      <c r="D13" s="30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25"/>
      <c r="S13" s="11" t="s">
        <v>12</v>
      </c>
      <c r="T13" s="11">
        <v>196000</v>
      </c>
      <c r="U13" s="11">
        <v>0</v>
      </c>
      <c r="V13" s="11">
        <v>196000</v>
      </c>
      <c r="W13" s="11" t="s">
        <v>13</v>
      </c>
    </row>
    <row r="14" spans="1:70" ht="36.6" customHeight="1" x14ac:dyDescent="0.3">
      <c r="A14" s="24">
        <v>57715</v>
      </c>
      <c r="B14" s="29"/>
      <c r="C14" s="85"/>
      <c r="D14" s="30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25"/>
      <c r="S14" s="11" t="s">
        <v>84</v>
      </c>
      <c r="T14" s="11">
        <v>294000</v>
      </c>
      <c r="U14" s="11"/>
      <c r="V14" s="11">
        <v>294000</v>
      </c>
      <c r="W14" s="11" t="s">
        <v>83</v>
      </c>
    </row>
    <row r="15" spans="1:70" ht="36.6" customHeight="1" x14ac:dyDescent="0.3">
      <c r="A15" s="24"/>
      <c r="B15" s="29"/>
      <c r="C15" s="85"/>
      <c r="D15" s="30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25"/>
      <c r="S15" s="11"/>
      <c r="T15" s="11"/>
      <c r="U15" s="11"/>
      <c r="V15" s="11"/>
      <c r="W15" s="11"/>
    </row>
    <row r="16" spans="1:70" s="15" customFormat="1" ht="16.8" x14ac:dyDescent="0.3">
      <c r="A16" s="26"/>
      <c r="B16" s="32"/>
      <c r="C16" s="86"/>
      <c r="D16" s="6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8">
        <f>A17</f>
        <v>57466</v>
      </c>
      <c r="S16" s="21"/>
      <c r="T16" s="21"/>
      <c r="U16" s="21">
        <f>T16*U6</f>
        <v>0</v>
      </c>
      <c r="V16" s="21">
        <f t="shared" ref="V16:V18" si="1">T16-U16</f>
        <v>0</v>
      </c>
      <c r="W16" s="21"/>
      <c r="X16" s="18">
        <f>SUM(Q12:Q13)-SUM(V12:V14)</f>
        <v>-412771.58999999997</v>
      </c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</row>
    <row r="17" spans="1:24" ht="32.4" x14ac:dyDescent="0.3">
      <c r="A17" s="24">
        <v>57466</v>
      </c>
      <c r="B17" s="29" t="s">
        <v>157</v>
      </c>
      <c r="C17" s="85">
        <v>45099</v>
      </c>
      <c r="D17" s="30">
        <v>6</v>
      </c>
      <c r="E17" s="11">
        <v>66481.25</v>
      </c>
      <c r="F17" s="11">
        <v>0</v>
      </c>
      <c r="G17" s="11">
        <v>66481.25</v>
      </c>
      <c r="H17" s="11">
        <v>11967</v>
      </c>
      <c r="I17" s="11">
        <v>78448.25</v>
      </c>
      <c r="J17" s="11">
        <v>1330</v>
      </c>
      <c r="K17" s="11">
        <v>0</v>
      </c>
      <c r="L17" s="11"/>
      <c r="M17" s="11">
        <v>0</v>
      </c>
      <c r="N17" s="55">
        <v>11967</v>
      </c>
      <c r="O17" s="11"/>
      <c r="P17" s="11"/>
      <c r="Q17" s="11">
        <v>65151.25</v>
      </c>
      <c r="R17" s="25"/>
      <c r="S17" s="11" t="s">
        <v>14</v>
      </c>
      <c r="T17" s="11">
        <v>600000</v>
      </c>
      <c r="U17" s="11">
        <v>12000</v>
      </c>
      <c r="V17" s="11">
        <f t="shared" si="1"/>
        <v>588000</v>
      </c>
      <c r="W17" s="11" t="s">
        <v>15</v>
      </c>
    </row>
    <row r="18" spans="1:24" ht="32.4" x14ac:dyDescent="0.3">
      <c r="A18" s="24">
        <v>57466</v>
      </c>
      <c r="B18" s="29" t="s">
        <v>159</v>
      </c>
      <c r="C18" s="85">
        <v>45099</v>
      </c>
      <c r="D18" s="30">
        <v>7</v>
      </c>
      <c r="E18" s="11">
        <v>87215.8</v>
      </c>
      <c r="F18" s="11">
        <v>0</v>
      </c>
      <c r="G18" s="11">
        <v>87215.8</v>
      </c>
      <c r="H18" s="11">
        <v>15699</v>
      </c>
      <c r="I18" s="11">
        <v>102914.8</v>
      </c>
      <c r="J18" s="11">
        <v>1744</v>
      </c>
      <c r="K18" s="11">
        <v>0</v>
      </c>
      <c r="L18" s="11"/>
      <c r="M18" s="11">
        <v>0</v>
      </c>
      <c r="N18" s="55">
        <v>15699</v>
      </c>
      <c r="O18" s="11"/>
      <c r="P18" s="11"/>
      <c r="Q18" s="11">
        <v>85471.8</v>
      </c>
      <c r="R18" s="25"/>
      <c r="S18" s="11" t="s">
        <v>16</v>
      </c>
      <c r="T18" s="11">
        <v>287356</v>
      </c>
      <c r="U18" s="11"/>
      <c r="V18" s="11">
        <f t="shared" si="1"/>
        <v>287356</v>
      </c>
      <c r="W18" s="11" t="s">
        <v>17</v>
      </c>
    </row>
    <row r="19" spans="1:24" ht="32.4" x14ac:dyDescent="0.3">
      <c r="A19" s="24">
        <v>57466</v>
      </c>
      <c r="B19" s="29" t="s">
        <v>158</v>
      </c>
      <c r="C19" s="85">
        <v>45099</v>
      </c>
      <c r="D19" s="30">
        <v>8</v>
      </c>
      <c r="E19" s="11">
        <v>66481.259999999995</v>
      </c>
      <c r="F19" s="11">
        <v>0</v>
      </c>
      <c r="G19" s="11">
        <v>66481.259999999995</v>
      </c>
      <c r="H19" s="11">
        <v>11967</v>
      </c>
      <c r="I19" s="11">
        <v>78448.259999999995</v>
      </c>
      <c r="J19" s="11">
        <v>1330</v>
      </c>
      <c r="K19" s="11">
        <v>0</v>
      </c>
      <c r="L19" s="11"/>
      <c r="M19" s="11">
        <v>0</v>
      </c>
      <c r="N19" s="55">
        <v>11967</v>
      </c>
      <c r="O19" s="11"/>
      <c r="P19" s="11"/>
      <c r="Q19" s="11">
        <v>65151.259999999995</v>
      </c>
      <c r="R19" s="25"/>
      <c r="S19" s="11" t="s">
        <v>18</v>
      </c>
      <c r="T19" s="11">
        <v>300000</v>
      </c>
      <c r="U19" s="11">
        <f>T19*2%</f>
        <v>6000</v>
      </c>
      <c r="V19" s="11">
        <f>T19-U19</f>
        <v>294000</v>
      </c>
      <c r="W19" s="11" t="s">
        <v>19</v>
      </c>
    </row>
    <row r="20" spans="1:24" ht="32.4" x14ac:dyDescent="0.3">
      <c r="A20" s="24">
        <v>57466</v>
      </c>
      <c r="B20" s="29" t="s">
        <v>160</v>
      </c>
      <c r="C20" s="85">
        <v>45099</v>
      </c>
      <c r="D20" s="30">
        <v>9</v>
      </c>
      <c r="E20" s="11">
        <v>66481.25</v>
      </c>
      <c r="F20" s="11">
        <v>0</v>
      </c>
      <c r="G20" s="11">
        <v>66481.25</v>
      </c>
      <c r="H20" s="11">
        <v>11967</v>
      </c>
      <c r="I20" s="11">
        <v>78448.25</v>
      </c>
      <c r="J20" s="11">
        <v>1330</v>
      </c>
      <c r="K20" s="11">
        <v>0</v>
      </c>
      <c r="L20" s="11"/>
      <c r="M20" s="11">
        <v>0</v>
      </c>
      <c r="N20" s="55">
        <v>11967</v>
      </c>
      <c r="O20" s="11"/>
      <c r="P20" s="11"/>
      <c r="Q20" s="11">
        <v>65151.25</v>
      </c>
      <c r="R20" s="25"/>
      <c r="S20" s="11" t="s">
        <v>86</v>
      </c>
      <c r="T20" s="11">
        <v>160779</v>
      </c>
      <c r="U20" s="11"/>
      <c r="V20" s="11">
        <f>T20-U20</f>
        <v>160779</v>
      </c>
      <c r="W20" s="11" t="s">
        <v>85</v>
      </c>
    </row>
    <row r="21" spans="1:24" ht="16.8" x14ac:dyDescent="0.3">
      <c r="A21" s="24">
        <v>57466</v>
      </c>
      <c r="B21" s="29" t="s">
        <v>136</v>
      </c>
      <c r="C21" s="85">
        <v>45099</v>
      </c>
      <c r="D21" s="30">
        <v>10</v>
      </c>
      <c r="E21" s="11">
        <v>33240.629999999997</v>
      </c>
      <c r="F21" s="11">
        <v>0</v>
      </c>
      <c r="G21" s="11">
        <v>33240.629999999997</v>
      </c>
      <c r="H21" s="11">
        <v>5983</v>
      </c>
      <c r="I21" s="11">
        <v>39223.629999999997</v>
      </c>
      <c r="J21" s="11">
        <v>665</v>
      </c>
      <c r="K21" s="11">
        <v>0</v>
      </c>
      <c r="L21" s="11"/>
      <c r="M21" s="11">
        <v>0</v>
      </c>
      <c r="N21" s="55">
        <v>5983</v>
      </c>
      <c r="O21" s="11"/>
      <c r="P21" s="11"/>
      <c r="Q21" s="11">
        <v>32575.629999999997</v>
      </c>
      <c r="R21" s="25"/>
      <c r="S21" s="11"/>
      <c r="T21" s="11"/>
      <c r="U21" s="11"/>
      <c r="V21" s="11"/>
      <c r="W21" s="11"/>
      <c r="X21" s="18">
        <f>SUM(Q17:Q41)-SUM(V17:V20)</f>
        <v>836364.62470000004</v>
      </c>
    </row>
    <row r="22" spans="1:24" ht="32.4" x14ac:dyDescent="0.3">
      <c r="A22" s="24">
        <v>57466</v>
      </c>
      <c r="B22" s="29" t="s">
        <v>137</v>
      </c>
      <c r="C22" s="85">
        <v>45099</v>
      </c>
      <c r="D22" s="30">
        <v>11</v>
      </c>
      <c r="E22" s="11">
        <v>33240.629999999997</v>
      </c>
      <c r="F22" s="11">
        <v>0</v>
      </c>
      <c r="G22" s="11">
        <v>33240.629999999997</v>
      </c>
      <c r="H22" s="11">
        <v>5983</v>
      </c>
      <c r="I22" s="11">
        <v>39223.629999999997</v>
      </c>
      <c r="J22" s="11">
        <v>665</v>
      </c>
      <c r="K22" s="11">
        <v>0</v>
      </c>
      <c r="L22" s="11"/>
      <c r="M22" s="11">
        <v>0</v>
      </c>
      <c r="N22" s="55">
        <v>5983</v>
      </c>
      <c r="O22" s="11"/>
      <c r="P22" s="11"/>
      <c r="Q22" s="11">
        <v>32575.629999999997</v>
      </c>
      <c r="R22" s="25"/>
      <c r="S22" s="11"/>
      <c r="T22" s="11"/>
      <c r="U22" s="11"/>
      <c r="V22" s="11"/>
      <c r="W22" s="11"/>
    </row>
    <row r="23" spans="1:24" ht="32.4" x14ac:dyDescent="0.3">
      <c r="A23" s="24">
        <v>57466</v>
      </c>
      <c r="B23" s="29" t="s">
        <v>138</v>
      </c>
      <c r="C23" s="85">
        <v>45099</v>
      </c>
      <c r="D23" s="30">
        <v>12</v>
      </c>
      <c r="E23" s="11">
        <v>33240.629999999997</v>
      </c>
      <c r="F23" s="11">
        <v>0</v>
      </c>
      <c r="G23" s="11">
        <v>33240.629999999997</v>
      </c>
      <c r="H23" s="11">
        <v>5983</v>
      </c>
      <c r="I23" s="11">
        <v>39223.629999999997</v>
      </c>
      <c r="J23" s="11">
        <v>665</v>
      </c>
      <c r="K23" s="11">
        <v>0</v>
      </c>
      <c r="L23" s="11"/>
      <c r="M23" s="11">
        <v>0</v>
      </c>
      <c r="N23" s="55">
        <v>5983</v>
      </c>
      <c r="O23" s="11"/>
      <c r="P23" s="11"/>
      <c r="Q23" s="11">
        <v>32575.629999999997</v>
      </c>
      <c r="R23" s="25"/>
      <c r="S23" s="11"/>
      <c r="T23" s="11"/>
      <c r="U23" s="11"/>
      <c r="V23" s="11"/>
      <c r="W23" s="11"/>
      <c r="X23" s="18"/>
    </row>
    <row r="24" spans="1:24" ht="32.4" x14ac:dyDescent="0.3">
      <c r="A24" s="24">
        <v>57466</v>
      </c>
      <c r="B24" s="29" t="s">
        <v>139</v>
      </c>
      <c r="C24" s="85">
        <v>45099</v>
      </c>
      <c r="D24" s="30">
        <v>13</v>
      </c>
      <c r="E24" s="11">
        <v>33240.629999999997</v>
      </c>
      <c r="F24" s="11">
        <v>0</v>
      </c>
      <c r="G24" s="11">
        <v>33240.629999999997</v>
      </c>
      <c r="H24" s="11">
        <v>5983</v>
      </c>
      <c r="I24" s="11">
        <v>39223.629999999997</v>
      </c>
      <c r="J24" s="11">
        <v>665</v>
      </c>
      <c r="K24" s="11">
        <v>0</v>
      </c>
      <c r="L24" s="11"/>
      <c r="M24" s="11">
        <v>0</v>
      </c>
      <c r="N24" s="55">
        <v>5983</v>
      </c>
      <c r="O24" s="11"/>
      <c r="P24" s="11"/>
      <c r="Q24" s="11">
        <v>32575.629999999997</v>
      </c>
      <c r="R24" s="25"/>
      <c r="S24" s="11"/>
      <c r="T24" s="11"/>
      <c r="U24" s="11"/>
      <c r="V24" s="11"/>
      <c r="W24" s="11"/>
    </row>
    <row r="25" spans="1:24" ht="16.8" x14ac:dyDescent="0.3">
      <c r="A25" s="24">
        <v>57466</v>
      </c>
      <c r="B25" s="29" t="s">
        <v>161</v>
      </c>
      <c r="C25" s="85">
        <v>45099</v>
      </c>
      <c r="D25" s="30">
        <v>14</v>
      </c>
      <c r="E25" s="11">
        <v>33240.629999999997</v>
      </c>
      <c r="F25" s="11">
        <v>0</v>
      </c>
      <c r="G25" s="11">
        <v>33240.629999999997</v>
      </c>
      <c r="H25" s="11">
        <v>5983</v>
      </c>
      <c r="I25" s="11">
        <v>39223.629999999997</v>
      </c>
      <c r="J25" s="11">
        <v>665</v>
      </c>
      <c r="K25" s="11">
        <v>0</v>
      </c>
      <c r="L25" s="11"/>
      <c r="M25" s="11">
        <v>0</v>
      </c>
      <c r="N25" s="55">
        <v>5983</v>
      </c>
      <c r="O25" s="11"/>
      <c r="P25" s="11"/>
      <c r="Q25" s="11">
        <v>32575.629999999997</v>
      </c>
      <c r="R25" s="25"/>
      <c r="S25" s="11"/>
      <c r="T25" s="11"/>
      <c r="U25" s="11"/>
      <c r="V25" s="11"/>
      <c r="W25" s="11"/>
    </row>
    <row r="26" spans="1:24" ht="32.4" x14ac:dyDescent="0.3">
      <c r="A26" s="24">
        <v>57466</v>
      </c>
      <c r="B26" s="29" t="s">
        <v>162</v>
      </c>
      <c r="C26" s="85">
        <v>45099</v>
      </c>
      <c r="D26" s="30">
        <v>15</v>
      </c>
      <c r="E26" s="11">
        <v>66481.259999999995</v>
      </c>
      <c r="F26" s="11">
        <v>0</v>
      </c>
      <c r="G26" s="11">
        <v>66481.259999999995</v>
      </c>
      <c r="H26" s="11">
        <v>11967</v>
      </c>
      <c r="I26" s="11">
        <v>78448.259999999995</v>
      </c>
      <c r="J26" s="11">
        <v>1330</v>
      </c>
      <c r="K26" s="11">
        <v>0</v>
      </c>
      <c r="L26" s="11"/>
      <c r="M26" s="11">
        <v>0</v>
      </c>
      <c r="N26" s="55">
        <v>11967</v>
      </c>
      <c r="O26" s="11"/>
      <c r="P26" s="11"/>
      <c r="Q26" s="11">
        <v>65151.259999999995</v>
      </c>
      <c r="R26" s="25"/>
      <c r="S26" s="11"/>
      <c r="T26" s="11"/>
      <c r="U26" s="11"/>
      <c r="V26" s="11"/>
      <c r="W26" s="11"/>
    </row>
    <row r="27" spans="1:24" ht="32.4" x14ac:dyDescent="0.3">
      <c r="A27" s="24">
        <v>57466</v>
      </c>
      <c r="B27" s="29" t="s">
        <v>140</v>
      </c>
      <c r="C27" s="85">
        <v>45099</v>
      </c>
      <c r="D27" s="30">
        <v>16</v>
      </c>
      <c r="E27" s="11">
        <v>33240.629999999997</v>
      </c>
      <c r="F27" s="11">
        <v>0</v>
      </c>
      <c r="G27" s="11">
        <v>33240.629999999997</v>
      </c>
      <c r="H27" s="11">
        <v>5983</v>
      </c>
      <c r="I27" s="11">
        <v>39223.629999999997</v>
      </c>
      <c r="J27" s="11">
        <v>665</v>
      </c>
      <c r="K27" s="11">
        <v>0</v>
      </c>
      <c r="L27" s="11"/>
      <c r="M27" s="11">
        <v>0</v>
      </c>
      <c r="N27" s="55">
        <v>5983</v>
      </c>
      <c r="O27" s="11"/>
      <c r="P27" s="11"/>
      <c r="Q27" s="11">
        <v>32575.629999999997</v>
      </c>
      <c r="R27" s="25"/>
      <c r="S27" s="11"/>
      <c r="T27" s="11"/>
      <c r="U27" s="11"/>
      <c r="V27" s="11"/>
      <c r="W27" s="11"/>
    </row>
    <row r="28" spans="1:24" ht="32.4" x14ac:dyDescent="0.3">
      <c r="A28" s="24">
        <v>57466</v>
      </c>
      <c r="B28" s="29" t="s">
        <v>141</v>
      </c>
      <c r="C28" s="85">
        <v>45099</v>
      </c>
      <c r="D28" s="30">
        <v>17</v>
      </c>
      <c r="E28" s="11">
        <v>43607.9</v>
      </c>
      <c r="F28" s="11">
        <v>0</v>
      </c>
      <c r="G28" s="11">
        <v>43607.9</v>
      </c>
      <c r="H28" s="11">
        <v>7849</v>
      </c>
      <c r="I28" s="11">
        <v>51456.9</v>
      </c>
      <c r="J28" s="11">
        <v>872</v>
      </c>
      <c r="K28" s="11">
        <v>0</v>
      </c>
      <c r="L28" s="11"/>
      <c r="M28" s="11">
        <v>0</v>
      </c>
      <c r="N28" s="55">
        <v>7849</v>
      </c>
      <c r="O28" s="11"/>
      <c r="P28" s="11"/>
      <c r="Q28" s="11">
        <v>42735.9</v>
      </c>
      <c r="R28" s="25"/>
      <c r="S28" s="11"/>
      <c r="T28" s="11"/>
      <c r="U28" s="11"/>
      <c r="V28" s="11"/>
      <c r="W28" s="11"/>
    </row>
    <row r="29" spans="1:24" ht="32.4" x14ac:dyDescent="0.3">
      <c r="A29" s="24">
        <v>57466</v>
      </c>
      <c r="B29" s="29" t="s">
        <v>142</v>
      </c>
      <c r="C29" s="85">
        <v>45099</v>
      </c>
      <c r="D29" s="30">
        <v>18</v>
      </c>
      <c r="E29" s="11">
        <v>33240.629999999997</v>
      </c>
      <c r="F29" s="11">
        <v>0</v>
      </c>
      <c r="G29" s="11">
        <v>33240.629999999997</v>
      </c>
      <c r="H29" s="11">
        <v>5983</v>
      </c>
      <c r="I29" s="11">
        <v>39223.629999999997</v>
      </c>
      <c r="J29" s="11">
        <v>665</v>
      </c>
      <c r="K29" s="11">
        <v>0</v>
      </c>
      <c r="L29" s="11"/>
      <c r="M29" s="11">
        <v>0</v>
      </c>
      <c r="N29" s="55">
        <v>5983</v>
      </c>
      <c r="O29" s="11"/>
      <c r="P29" s="11"/>
      <c r="Q29" s="11">
        <v>32575.629999999997</v>
      </c>
      <c r="R29" s="25"/>
      <c r="S29" s="11"/>
      <c r="T29" s="11"/>
      <c r="U29" s="11"/>
      <c r="V29" s="11"/>
      <c r="W29" s="11"/>
    </row>
    <row r="30" spans="1:24" ht="16.8" x14ac:dyDescent="0.3">
      <c r="A30" s="24">
        <v>57466</v>
      </c>
      <c r="B30" s="29" t="s">
        <v>143</v>
      </c>
      <c r="C30" s="85">
        <v>45099</v>
      </c>
      <c r="D30" s="30">
        <v>19</v>
      </c>
      <c r="E30" s="11">
        <v>33240.629999999997</v>
      </c>
      <c r="F30" s="11">
        <v>0</v>
      </c>
      <c r="G30" s="11">
        <v>33240.629999999997</v>
      </c>
      <c r="H30" s="11">
        <v>5983</v>
      </c>
      <c r="I30" s="11">
        <v>39223.629999999997</v>
      </c>
      <c r="J30" s="11">
        <v>665</v>
      </c>
      <c r="K30" s="11">
        <v>0</v>
      </c>
      <c r="L30" s="11"/>
      <c r="M30" s="11">
        <v>0</v>
      </c>
      <c r="N30" s="55">
        <v>5983</v>
      </c>
      <c r="O30" s="11"/>
      <c r="P30" s="11"/>
      <c r="Q30" s="11">
        <v>32575.629999999997</v>
      </c>
      <c r="R30" s="25"/>
      <c r="S30" s="11"/>
      <c r="T30" s="11"/>
      <c r="U30" s="11"/>
      <c r="V30" s="11"/>
      <c r="W30" s="11"/>
    </row>
    <row r="31" spans="1:24" ht="32.4" x14ac:dyDescent="0.3">
      <c r="A31" s="24">
        <v>57466</v>
      </c>
      <c r="B31" s="29" t="s">
        <v>145</v>
      </c>
      <c r="C31" s="85">
        <v>45099</v>
      </c>
      <c r="D31" s="30">
        <v>20</v>
      </c>
      <c r="E31" s="11">
        <v>43607.9</v>
      </c>
      <c r="F31" s="11">
        <v>0</v>
      </c>
      <c r="G31" s="11">
        <v>43607.9</v>
      </c>
      <c r="H31" s="11">
        <v>7849</v>
      </c>
      <c r="I31" s="11">
        <v>51456.9</v>
      </c>
      <c r="J31" s="11">
        <v>872</v>
      </c>
      <c r="K31" s="11">
        <v>0</v>
      </c>
      <c r="L31" s="11"/>
      <c r="M31" s="11">
        <v>0</v>
      </c>
      <c r="N31" s="55">
        <v>7849</v>
      </c>
      <c r="O31" s="11"/>
      <c r="P31" s="11"/>
      <c r="Q31" s="11">
        <v>42735.9</v>
      </c>
      <c r="R31" s="25"/>
      <c r="S31" s="11"/>
      <c r="T31" s="11"/>
      <c r="U31" s="11"/>
      <c r="V31" s="11"/>
      <c r="W31" s="11"/>
    </row>
    <row r="32" spans="1:24" ht="32.4" x14ac:dyDescent="0.3">
      <c r="A32" s="24">
        <v>57466</v>
      </c>
      <c r="B32" s="29" t="s">
        <v>144</v>
      </c>
      <c r="C32" s="85">
        <v>45099</v>
      </c>
      <c r="D32" s="30">
        <v>21</v>
      </c>
      <c r="E32" s="11">
        <v>43607.9</v>
      </c>
      <c r="F32" s="11">
        <v>0</v>
      </c>
      <c r="G32" s="11">
        <v>43607.9</v>
      </c>
      <c r="H32" s="11">
        <v>7849</v>
      </c>
      <c r="I32" s="11">
        <v>51456.9</v>
      </c>
      <c r="J32" s="11">
        <v>872</v>
      </c>
      <c r="K32" s="11">
        <v>0</v>
      </c>
      <c r="L32" s="11"/>
      <c r="M32" s="11">
        <v>0</v>
      </c>
      <c r="N32" s="55">
        <v>7849</v>
      </c>
      <c r="O32" s="11"/>
      <c r="P32" s="11"/>
      <c r="Q32" s="11">
        <v>42735.9</v>
      </c>
      <c r="R32" s="25"/>
      <c r="S32" s="11"/>
      <c r="T32" s="11"/>
      <c r="U32" s="11"/>
      <c r="V32" s="11"/>
      <c r="W32" s="11"/>
    </row>
    <row r="33" spans="1:70" ht="32.4" x14ac:dyDescent="0.3">
      <c r="A33" s="24">
        <v>57466</v>
      </c>
      <c r="B33" s="29" t="s">
        <v>146</v>
      </c>
      <c r="C33" s="85">
        <v>45099</v>
      </c>
      <c r="D33" s="30">
        <v>22</v>
      </c>
      <c r="E33" s="11">
        <v>33240.629999999997</v>
      </c>
      <c r="F33" s="11">
        <v>0</v>
      </c>
      <c r="G33" s="11">
        <v>33240.629999999997</v>
      </c>
      <c r="H33" s="11">
        <v>5983</v>
      </c>
      <c r="I33" s="11">
        <v>39223.629999999997</v>
      </c>
      <c r="J33" s="11">
        <v>665</v>
      </c>
      <c r="K33" s="11">
        <v>0</v>
      </c>
      <c r="L33" s="11"/>
      <c r="M33" s="11">
        <v>0</v>
      </c>
      <c r="N33" s="55">
        <v>5983</v>
      </c>
      <c r="O33" s="11"/>
      <c r="P33" s="11"/>
      <c r="Q33" s="11">
        <v>32575.629999999997</v>
      </c>
      <c r="R33" s="25"/>
      <c r="S33" s="11"/>
      <c r="T33" s="11"/>
      <c r="U33" s="11"/>
      <c r="V33" s="11"/>
      <c r="W33" s="11"/>
    </row>
    <row r="34" spans="1:70" ht="32.4" x14ac:dyDescent="0.3">
      <c r="A34" s="24">
        <v>57466</v>
      </c>
      <c r="B34" s="29" t="s">
        <v>147</v>
      </c>
      <c r="C34" s="85">
        <v>45099</v>
      </c>
      <c r="D34" s="30">
        <v>23</v>
      </c>
      <c r="E34" s="11">
        <v>33240.629999999997</v>
      </c>
      <c r="F34" s="11">
        <v>0</v>
      </c>
      <c r="G34" s="11">
        <v>33240.629999999997</v>
      </c>
      <c r="H34" s="11">
        <v>5983</v>
      </c>
      <c r="I34" s="11">
        <v>39223.629999999997</v>
      </c>
      <c r="J34" s="11">
        <v>665</v>
      </c>
      <c r="K34" s="11">
        <v>0</v>
      </c>
      <c r="L34" s="11"/>
      <c r="M34" s="11">
        <v>0</v>
      </c>
      <c r="N34" s="55">
        <v>5983</v>
      </c>
      <c r="O34" s="11"/>
      <c r="P34" s="11"/>
      <c r="Q34" s="11">
        <v>32575.629999999997</v>
      </c>
      <c r="R34" s="25"/>
      <c r="S34" s="11"/>
      <c r="T34" s="11"/>
      <c r="U34" s="11"/>
      <c r="V34" s="11"/>
      <c r="W34" s="11"/>
    </row>
    <row r="35" spans="1:70" ht="32.4" x14ac:dyDescent="0.3">
      <c r="A35" s="24">
        <v>57466</v>
      </c>
      <c r="B35" s="29" t="s">
        <v>148</v>
      </c>
      <c r="C35" s="85">
        <v>45099</v>
      </c>
      <c r="D35" s="30">
        <v>24</v>
      </c>
      <c r="E35" s="11">
        <v>43607.9</v>
      </c>
      <c r="F35" s="11">
        <v>0</v>
      </c>
      <c r="G35" s="11">
        <v>43607.9</v>
      </c>
      <c r="H35" s="11">
        <v>7849</v>
      </c>
      <c r="I35" s="11">
        <v>51456.9</v>
      </c>
      <c r="J35" s="11">
        <v>872</v>
      </c>
      <c r="K35" s="11">
        <v>0</v>
      </c>
      <c r="L35" s="11"/>
      <c r="M35" s="11">
        <v>0</v>
      </c>
      <c r="N35" s="55">
        <v>7849</v>
      </c>
      <c r="O35" s="11"/>
      <c r="P35" s="11"/>
      <c r="Q35" s="11">
        <v>42735.9</v>
      </c>
      <c r="R35" s="25"/>
      <c r="S35" s="11"/>
      <c r="T35" s="11"/>
      <c r="U35" s="11"/>
      <c r="V35" s="11"/>
      <c r="W35" s="11"/>
    </row>
    <row r="36" spans="1:70" ht="32.4" x14ac:dyDescent="0.3">
      <c r="A36" s="24">
        <v>57466</v>
      </c>
      <c r="B36" s="29" t="s">
        <v>149</v>
      </c>
      <c r="C36" s="85">
        <v>45099</v>
      </c>
      <c r="D36" s="30">
        <v>25</v>
      </c>
      <c r="E36" s="11">
        <v>33240.629999999997</v>
      </c>
      <c r="F36" s="11">
        <v>0</v>
      </c>
      <c r="G36" s="11">
        <v>33240.629999999997</v>
      </c>
      <c r="H36" s="11">
        <v>5983</v>
      </c>
      <c r="I36" s="11">
        <v>39223.629999999997</v>
      </c>
      <c r="J36" s="11">
        <v>665</v>
      </c>
      <c r="K36" s="11">
        <v>0</v>
      </c>
      <c r="L36" s="11"/>
      <c r="M36" s="11">
        <v>0</v>
      </c>
      <c r="N36" s="55">
        <v>5983</v>
      </c>
      <c r="O36" s="11"/>
      <c r="P36" s="11"/>
      <c r="Q36" s="11">
        <v>32575.629999999997</v>
      </c>
      <c r="R36" s="25"/>
      <c r="S36" s="11"/>
      <c r="T36" s="11"/>
      <c r="U36" s="11"/>
      <c r="V36" s="11"/>
      <c r="W36" s="11"/>
    </row>
    <row r="37" spans="1:70" ht="16.8" x14ac:dyDescent="0.3">
      <c r="A37" s="24">
        <v>57466</v>
      </c>
      <c r="B37" s="29" t="s">
        <v>48</v>
      </c>
      <c r="C37" s="85">
        <v>45099</v>
      </c>
      <c r="D37" s="30"/>
      <c r="E37" s="11">
        <f>SUM(N17:N36)</f>
        <v>160776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>
        <f>E37-SUM(L37:P37)</f>
        <v>160776</v>
      </c>
      <c r="R37" s="25"/>
      <c r="S37" s="11"/>
      <c r="T37" s="11"/>
      <c r="U37" s="11"/>
      <c r="V37" s="11"/>
      <c r="W37" s="11"/>
    </row>
    <row r="38" spans="1:70" ht="16.8" x14ac:dyDescent="0.3">
      <c r="A38" s="24">
        <v>57466</v>
      </c>
      <c r="B38" s="29"/>
      <c r="C38" s="85">
        <v>45099</v>
      </c>
      <c r="D38" s="30">
        <v>6</v>
      </c>
      <c r="E38" s="11">
        <v>893219.34</v>
      </c>
      <c r="F38" s="11"/>
      <c r="G38" s="11">
        <f>E38-F38</f>
        <v>893219.34</v>
      </c>
      <c r="H38" s="11">
        <f>G38*18%</f>
        <v>160779.48119999998</v>
      </c>
      <c r="I38" s="11">
        <f>G38+H38</f>
        <v>1053998.8211999999</v>
      </c>
      <c r="J38" s="11">
        <f>G38*1%</f>
        <v>8932.1934000000001</v>
      </c>
      <c r="K38" s="11">
        <v>0</v>
      </c>
      <c r="L38" s="11"/>
      <c r="M38" s="11">
        <v>0</v>
      </c>
      <c r="N38" s="55">
        <f>H38</f>
        <v>160779.48119999998</v>
      </c>
      <c r="O38" s="11"/>
      <c r="P38" s="11"/>
      <c r="Q38" s="11">
        <f>I38-J38-N38</f>
        <v>884287.14659999986</v>
      </c>
      <c r="R38" s="25"/>
      <c r="S38" s="11"/>
      <c r="T38" s="11"/>
      <c r="U38" s="11"/>
      <c r="V38" s="11"/>
      <c r="W38" s="11"/>
    </row>
    <row r="39" spans="1:70" ht="16.8" x14ac:dyDescent="0.3">
      <c r="A39" s="24">
        <v>57466</v>
      </c>
      <c r="B39" s="29"/>
      <c r="C39" s="85"/>
      <c r="D39" s="30">
        <v>6</v>
      </c>
      <c r="E39" s="11">
        <f>N38</f>
        <v>160779.48119999998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>
        <f>E39</f>
        <v>160779.48119999998</v>
      </c>
      <c r="R39" s="25"/>
      <c r="S39" s="11"/>
      <c r="T39" s="11"/>
      <c r="U39" s="11"/>
      <c r="V39" s="11"/>
      <c r="W39" s="11"/>
    </row>
    <row r="40" spans="1:70" ht="16.8" x14ac:dyDescent="0.3">
      <c r="A40" s="24">
        <v>57466</v>
      </c>
      <c r="B40" s="29"/>
      <c r="C40" s="85">
        <v>45306</v>
      </c>
      <c r="D40" s="30">
        <v>25</v>
      </c>
      <c r="E40" s="11">
        <v>86166.31</v>
      </c>
      <c r="F40" s="11"/>
      <c r="G40" s="11">
        <f>E40-F40</f>
        <v>86166.31</v>
      </c>
      <c r="H40" s="11">
        <f>G40*18%</f>
        <v>15509.935799999999</v>
      </c>
      <c r="I40" s="11">
        <f>G40+H40</f>
        <v>101676.2458</v>
      </c>
      <c r="J40" s="11">
        <f>G40*1%</f>
        <v>861.66309999999999</v>
      </c>
      <c r="K40" s="11">
        <v>0</v>
      </c>
      <c r="L40" s="11"/>
      <c r="M40" s="11">
        <v>0</v>
      </c>
      <c r="N40" s="11">
        <f>H40</f>
        <v>15509.935799999999</v>
      </c>
      <c r="O40" s="11"/>
      <c r="P40" s="11"/>
      <c r="Q40" s="11">
        <f>I40-J40-N40</f>
        <v>85304.646899999992</v>
      </c>
      <c r="R40" s="25"/>
      <c r="S40" s="11"/>
      <c r="T40" s="11"/>
      <c r="U40" s="11"/>
      <c r="V40" s="11"/>
      <c r="W40" s="11"/>
    </row>
    <row r="41" spans="1:70" ht="16.8" x14ac:dyDescent="0.3">
      <c r="A41" s="24">
        <v>57466</v>
      </c>
      <c r="B41" s="29"/>
      <c r="C41" s="85"/>
      <c r="D41" s="3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25"/>
      <c r="S41" s="11"/>
      <c r="T41" s="11"/>
      <c r="U41" s="11"/>
      <c r="V41" s="11"/>
      <c r="W41" s="11"/>
    </row>
    <row r="42" spans="1:70" ht="16.8" x14ac:dyDescent="0.3">
      <c r="A42" s="24">
        <v>57466</v>
      </c>
      <c r="B42" s="29"/>
      <c r="C42" s="85"/>
      <c r="D42" s="3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25"/>
      <c r="S42" s="11"/>
      <c r="T42" s="11"/>
      <c r="U42" s="11"/>
      <c r="V42" s="11"/>
      <c r="W42" s="11"/>
    </row>
    <row r="43" spans="1:70" s="15" customFormat="1" ht="16.8" x14ac:dyDescent="0.3">
      <c r="A43" s="26"/>
      <c r="B43" s="32"/>
      <c r="C43" s="86"/>
      <c r="D43" s="6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8">
        <f>A44</f>
        <v>57189</v>
      </c>
      <c r="S43" s="21"/>
      <c r="T43" s="21"/>
      <c r="U43" s="21"/>
      <c r="V43" s="21"/>
      <c r="W43" s="2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</row>
    <row r="44" spans="1:70" ht="32.4" x14ac:dyDescent="0.3">
      <c r="A44" s="34">
        <v>57189</v>
      </c>
      <c r="B44" s="29" t="s">
        <v>163</v>
      </c>
      <c r="C44" s="85">
        <v>45080</v>
      </c>
      <c r="D44" s="30">
        <v>1</v>
      </c>
      <c r="E44" s="11">
        <v>204925</v>
      </c>
      <c r="F44" s="11">
        <v>38150</v>
      </c>
      <c r="G44" s="11">
        <v>166775</v>
      </c>
      <c r="H44" s="11">
        <v>30020</v>
      </c>
      <c r="I44" s="11">
        <v>196795</v>
      </c>
      <c r="J44" s="11">
        <v>3336</v>
      </c>
      <c r="K44" s="11">
        <v>8338.75</v>
      </c>
      <c r="L44" s="11"/>
      <c r="M44" s="11">
        <v>0</v>
      </c>
      <c r="N44" s="55">
        <v>30020</v>
      </c>
      <c r="O44" s="11">
        <v>8338.75</v>
      </c>
      <c r="P44" s="11">
        <v>5950</v>
      </c>
      <c r="Q44" s="11">
        <v>140811.5</v>
      </c>
      <c r="R44" s="11"/>
      <c r="S44" s="11" t="s">
        <v>28</v>
      </c>
      <c r="T44" s="11">
        <v>98000</v>
      </c>
      <c r="U44" s="11">
        <v>0</v>
      </c>
      <c r="V44" s="11">
        <v>98000</v>
      </c>
      <c r="W44" s="11" t="s">
        <v>29</v>
      </c>
      <c r="X44" s="12"/>
    </row>
    <row r="45" spans="1:70" ht="16.2" x14ac:dyDescent="0.3">
      <c r="A45" s="34">
        <v>57189</v>
      </c>
      <c r="B45" s="29" t="s">
        <v>68</v>
      </c>
      <c r="C45" s="85"/>
      <c r="D45" s="30">
        <v>1</v>
      </c>
      <c r="E45" s="11">
        <v>30020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>
        <f>E45</f>
        <v>30020</v>
      </c>
      <c r="R45" s="11"/>
      <c r="S45" s="11" t="s">
        <v>30</v>
      </c>
      <c r="T45" s="11">
        <v>42811</v>
      </c>
      <c r="U45" s="11"/>
      <c r="V45" s="11">
        <v>42811</v>
      </c>
      <c r="W45" s="11" t="s">
        <v>31</v>
      </c>
      <c r="X45" s="12"/>
    </row>
    <row r="46" spans="1:70" ht="16.8" x14ac:dyDescent="0.3">
      <c r="A46" s="34">
        <v>57189</v>
      </c>
      <c r="B46" s="29"/>
      <c r="C46" s="85"/>
      <c r="D46" s="3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25"/>
      <c r="S46" s="11" t="s">
        <v>69</v>
      </c>
      <c r="T46" s="11">
        <v>30020</v>
      </c>
      <c r="U46" s="11"/>
      <c r="V46" s="11">
        <f>T46-U46</f>
        <v>30020</v>
      </c>
      <c r="W46" s="11" t="s">
        <v>70</v>
      </c>
    </row>
    <row r="47" spans="1:70" ht="16.8" x14ac:dyDescent="0.3">
      <c r="A47" s="34">
        <v>57189</v>
      </c>
      <c r="B47" s="29"/>
      <c r="C47" s="85"/>
      <c r="D47" s="3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25"/>
      <c r="S47" s="11"/>
      <c r="T47" s="11"/>
      <c r="U47" s="11"/>
      <c r="V47" s="11"/>
      <c r="W47" s="11"/>
    </row>
    <row r="48" spans="1:70" s="15" customFormat="1" ht="16.8" x14ac:dyDescent="0.3">
      <c r="A48" s="26"/>
      <c r="B48" s="32"/>
      <c r="C48" s="86"/>
      <c r="D48" s="6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8">
        <f>A49</f>
        <v>57187</v>
      </c>
      <c r="S48" s="21"/>
      <c r="T48" s="21"/>
      <c r="U48" s="21"/>
      <c r="V48" s="21"/>
      <c r="W48" s="21"/>
      <c r="X48" s="18">
        <f>SUM(Q44:Q45)-SUM(V44:V46)</f>
        <v>0.5</v>
      </c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</row>
    <row r="49" spans="1:70" ht="16.8" x14ac:dyDescent="0.3">
      <c r="A49" s="24">
        <v>57187</v>
      </c>
      <c r="B49" s="29" t="s">
        <v>150</v>
      </c>
      <c r="C49" s="85">
        <v>45081</v>
      </c>
      <c r="D49" s="30">
        <v>5</v>
      </c>
      <c r="E49" s="11">
        <v>512665.65</v>
      </c>
      <c r="F49" s="11">
        <v>175136</v>
      </c>
      <c r="G49" s="11">
        <v>337529.65</v>
      </c>
      <c r="H49" s="11">
        <v>60755</v>
      </c>
      <c r="I49" s="11">
        <v>398284.65</v>
      </c>
      <c r="J49" s="11">
        <v>6751</v>
      </c>
      <c r="K49" s="11">
        <v>16876.482500000002</v>
      </c>
      <c r="L49" s="11"/>
      <c r="M49" s="11">
        <v>33752.965000000004</v>
      </c>
      <c r="N49" s="55">
        <v>60755</v>
      </c>
      <c r="O49" s="11">
        <v>0</v>
      </c>
      <c r="P49" s="11">
        <v>0</v>
      </c>
      <c r="Q49" s="11">
        <v>280149.20250000001</v>
      </c>
      <c r="R49" s="25"/>
      <c r="S49" s="11" t="s">
        <v>34</v>
      </c>
      <c r="T49" s="11">
        <v>200000</v>
      </c>
      <c r="U49" s="31">
        <f>T49*2%</f>
        <v>4000</v>
      </c>
      <c r="V49" s="11">
        <f>T49-U49</f>
        <v>196000</v>
      </c>
      <c r="W49" s="11" t="s">
        <v>35</v>
      </c>
    </row>
    <row r="50" spans="1:70" ht="16.8" x14ac:dyDescent="0.3">
      <c r="A50" s="24">
        <v>57187</v>
      </c>
      <c r="B50" s="29" t="s">
        <v>48</v>
      </c>
      <c r="C50" s="85">
        <v>45082</v>
      </c>
      <c r="D50" s="30">
        <v>5</v>
      </c>
      <c r="E50" s="11">
        <f>H49</f>
        <v>60755</v>
      </c>
      <c r="F50" s="11"/>
      <c r="G50" s="11"/>
      <c r="H50" s="11">
        <f>E50-F50+G50</f>
        <v>60755</v>
      </c>
      <c r="I50" s="11">
        <v>0</v>
      </c>
      <c r="J50" s="11">
        <f>H50+I50</f>
        <v>60755</v>
      </c>
      <c r="K50" s="11"/>
      <c r="L50" s="11"/>
      <c r="M50" s="11"/>
      <c r="N50" s="11"/>
      <c r="O50" s="11"/>
      <c r="P50" s="24"/>
      <c r="Q50" s="11">
        <f>J50-SUM(K50:O50)</f>
        <v>60755</v>
      </c>
      <c r="R50" s="25"/>
      <c r="S50" s="11" t="s">
        <v>36</v>
      </c>
      <c r="T50" s="11">
        <v>84149</v>
      </c>
      <c r="U50" s="11"/>
      <c r="V50" s="11">
        <f t="shared" ref="V50" si="2">T50-U50</f>
        <v>84149</v>
      </c>
      <c r="W50" s="11" t="s">
        <v>37</v>
      </c>
    </row>
    <row r="51" spans="1:70" ht="16.8" x14ac:dyDescent="0.3">
      <c r="A51" s="24">
        <v>57187</v>
      </c>
      <c r="B51" s="29" t="s">
        <v>150</v>
      </c>
      <c r="C51" s="85">
        <v>45214</v>
      </c>
      <c r="D51" s="30">
        <v>17</v>
      </c>
      <c r="E51" s="11">
        <f>525000+12334</f>
        <v>537334</v>
      </c>
      <c r="F51" s="11">
        <v>422227</v>
      </c>
      <c r="G51" s="11">
        <f>E51-F51</f>
        <v>115107</v>
      </c>
      <c r="H51" s="11">
        <f>G51*18%</f>
        <v>20719.259999999998</v>
      </c>
      <c r="I51" s="11">
        <f>H51+G51</f>
        <v>135826.26</v>
      </c>
      <c r="J51" s="11">
        <f>G51*2%</f>
        <v>2302.14</v>
      </c>
      <c r="K51" s="11">
        <f>G51*5%</f>
        <v>5755.35</v>
      </c>
      <c r="L51" s="11"/>
      <c r="M51" s="11">
        <v>0</v>
      </c>
      <c r="N51" s="55">
        <f>H51</f>
        <v>20719.259999999998</v>
      </c>
      <c r="O51" s="11">
        <v>0</v>
      </c>
      <c r="P51" s="11">
        <v>0</v>
      </c>
      <c r="Q51" s="11">
        <f>G51-J51-K51-P51</f>
        <v>107049.51</v>
      </c>
      <c r="R51" s="25"/>
      <c r="S51" s="11" t="s">
        <v>79</v>
      </c>
      <c r="T51" s="11">
        <v>300000</v>
      </c>
      <c r="U51" s="31">
        <f>T51*2%</f>
        <v>6000</v>
      </c>
      <c r="V51" s="11">
        <f>T51-U51</f>
        <v>294000</v>
      </c>
      <c r="W51" s="11" t="s">
        <v>77</v>
      </c>
    </row>
    <row r="52" spans="1:70" ht="16.8" x14ac:dyDescent="0.3">
      <c r="A52" s="24">
        <v>57187</v>
      </c>
      <c r="B52" s="29" t="s">
        <v>150</v>
      </c>
      <c r="C52" s="85">
        <v>45233</v>
      </c>
      <c r="D52" s="30">
        <v>20</v>
      </c>
      <c r="E52" s="11">
        <v>525000</v>
      </c>
      <c r="F52" s="11">
        <v>57225</v>
      </c>
      <c r="G52" s="11">
        <f>E52-F52</f>
        <v>467775</v>
      </c>
      <c r="H52" s="11">
        <f>G52*18%</f>
        <v>84199.5</v>
      </c>
      <c r="I52" s="11">
        <f>H52+G52</f>
        <v>551974.5</v>
      </c>
      <c r="J52" s="11">
        <f>G52*2%</f>
        <v>9355.5</v>
      </c>
      <c r="K52" s="11">
        <f>G52*5%</f>
        <v>23388.75</v>
      </c>
      <c r="L52" s="11"/>
      <c r="M52" s="11"/>
      <c r="N52" s="11">
        <f>H52</f>
        <v>84199.5</v>
      </c>
      <c r="O52" s="11">
        <v>0</v>
      </c>
      <c r="P52" s="11">
        <v>12870</v>
      </c>
      <c r="Q52" s="11">
        <f>G52-J52-K52-P52</f>
        <v>422160.75</v>
      </c>
      <c r="R52" s="25"/>
      <c r="S52" s="11" t="s">
        <v>80</v>
      </c>
      <c r="T52" s="11">
        <v>60755</v>
      </c>
      <c r="U52" s="11"/>
      <c r="V52" s="11">
        <f t="shared" ref="V52:V54" si="3">T52-U52</f>
        <v>60755</v>
      </c>
      <c r="W52" s="11" t="s">
        <v>78</v>
      </c>
    </row>
    <row r="53" spans="1:70" ht="16.8" x14ac:dyDescent="0.3">
      <c r="A53" s="24">
        <v>57187</v>
      </c>
      <c r="B53" s="29"/>
      <c r="C53" s="85"/>
      <c r="D53" s="30">
        <v>17</v>
      </c>
      <c r="E53" s="11">
        <f>N51</f>
        <v>20719.259999999998</v>
      </c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>
        <f>E53</f>
        <v>20719.259999999998</v>
      </c>
      <c r="R53" s="25"/>
      <c r="S53" s="11" t="s">
        <v>91</v>
      </c>
      <c r="T53" s="11">
        <v>300000</v>
      </c>
      <c r="U53" s="31">
        <f>T53*2%</f>
        <v>6000</v>
      </c>
      <c r="V53" s="11">
        <f t="shared" si="3"/>
        <v>294000</v>
      </c>
      <c r="W53" s="11" t="s">
        <v>92</v>
      </c>
    </row>
    <row r="54" spans="1:70" ht="16.8" x14ac:dyDescent="0.3">
      <c r="A54" s="24"/>
      <c r="B54" s="29"/>
      <c r="C54" s="85"/>
      <c r="D54" s="3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25"/>
      <c r="S54" s="11" t="s">
        <v>102</v>
      </c>
      <c r="T54" s="11">
        <v>100000</v>
      </c>
      <c r="U54" s="31">
        <f>T54*2%</f>
        <v>2000</v>
      </c>
      <c r="V54" s="11">
        <f t="shared" si="3"/>
        <v>98000</v>
      </c>
      <c r="W54" s="11" t="s">
        <v>101</v>
      </c>
    </row>
    <row r="55" spans="1:70" s="15" customFormat="1" ht="16.8" x14ac:dyDescent="0.3">
      <c r="A55" s="26"/>
      <c r="B55" s="32"/>
      <c r="C55" s="86"/>
      <c r="D55" s="6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8">
        <f>A56</f>
        <v>56511</v>
      </c>
      <c r="S55" s="21"/>
      <c r="T55" s="21"/>
      <c r="U55" s="21"/>
      <c r="V55" s="21"/>
      <c r="W55" s="21"/>
      <c r="X55" s="18">
        <f>SUM(Q48:Q53)-SUM(V48:V54)</f>
        <v>-136070.27749999997</v>
      </c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</row>
    <row r="56" spans="1:70" ht="28.5" customHeight="1" x14ac:dyDescent="0.3">
      <c r="A56" s="24">
        <v>56511</v>
      </c>
      <c r="B56" s="29" t="s">
        <v>151</v>
      </c>
      <c r="C56" s="85">
        <v>45273</v>
      </c>
      <c r="D56" s="30">
        <v>22</v>
      </c>
      <c r="E56" s="11">
        <v>183750</v>
      </c>
      <c r="F56" s="11">
        <v>183014</v>
      </c>
      <c r="G56" s="11">
        <f>E56-F56</f>
        <v>736</v>
      </c>
      <c r="H56" s="11">
        <f>G56*18%</f>
        <v>132.47999999999999</v>
      </c>
      <c r="I56" s="11">
        <f>G56+H56</f>
        <v>868.48</v>
      </c>
      <c r="J56" s="11">
        <f>G56*2%</f>
        <v>14.72</v>
      </c>
      <c r="K56" s="11">
        <f>ROUND(G56*5%,)</f>
        <v>37</v>
      </c>
      <c r="L56" s="11"/>
      <c r="M56" s="11">
        <f>+G56*10%</f>
        <v>73.600000000000009</v>
      </c>
      <c r="N56" s="11">
        <f>G56*18%</f>
        <v>132.47999999999999</v>
      </c>
      <c r="O56" s="11"/>
      <c r="P56" s="24"/>
      <c r="Q56" s="11">
        <f>I56-SUM(J56:O56)</f>
        <v>610.68000000000006</v>
      </c>
      <c r="R56" s="25"/>
      <c r="S56" s="11" t="s">
        <v>38</v>
      </c>
      <c r="T56" s="11">
        <v>196000</v>
      </c>
      <c r="U56" s="11">
        <v>0</v>
      </c>
      <c r="V56" s="11">
        <v>196000</v>
      </c>
      <c r="W56" s="11" t="s">
        <v>39</v>
      </c>
    </row>
    <row r="57" spans="1:70" ht="16.8" x14ac:dyDescent="0.3">
      <c r="A57" s="24">
        <v>56511</v>
      </c>
      <c r="B57" s="29"/>
      <c r="C57" s="85"/>
      <c r="D57" s="3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25"/>
      <c r="S57" s="11"/>
      <c r="T57" s="11"/>
      <c r="U57" s="11"/>
      <c r="V57" s="11"/>
      <c r="W57" s="11"/>
    </row>
    <row r="58" spans="1:70" s="15" customFormat="1" ht="16.8" x14ac:dyDescent="0.3">
      <c r="A58" s="26"/>
      <c r="B58" s="32"/>
      <c r="C58" s="86"/>
      <c r="D58" s="6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8">
        <f>A59</f>
        <v>56510</v>
      </c>
      <c r="S58" s="21"/>
      <c r="T58" s="21"/>
      <c r="U58" s="21"/>
      <c r="V58" s="21"/>
      <c r="W58" s="2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</row>
    <row r="59" spans="1:70" ht="16.8" x14ac:dyDescent="0.3">
      <c r="A59" s="24">
        <v>56510</v>
      </c>
      <c r="B59" s="29" t="s">
        <v>152</v>
      </c>
      <c r="C59" s="85">
        <v>45081</v>
      </c>
      <c r="D59" s="30">
        <v>4</v>
      </c>
      <c r="E59" s="11">
        <v>507269.4</v>
      </c>
      <c r="F59" s="11">
        <v>263879.51</v>
      </c>
      <c r="G59" s="11">
        <v>243389.89</v>
      </c>
      <c r="H59" s="11">
        <v>43810</v>
      </c>
      <c r="I59" s="11">
        <v>287199.89</v>
      </c>
      <c r="J59" s="11">
        <v>4868</v>
      </c>
      <c r="K59" s="11">
        <v>12169.494500000001</v>
      </c>
      <c r="L59" s="11"/>
      <c r="M59" s="11">
        <v>24338.989000000001</v>
      </c>
      <c r="N59" s="55">
        <f>+H59</f>
        <v>43810</v>
      </c>
      <c r="O59" s="11"/>
      <c r="P59" s="11"/>
      <c r="Q59" s="11">
        <v>202013.40650000001</v>
      </c>
      <c r="R59" s="25"/>
      <c r="S59" s="11" t="s">
        <v>40</v>
      </c>
      <c r="T59" s="11">
        <v>200000</v>
      </c>
      <c r="U59" s="31">
        <f>T59*2%</f>
        <v>4000</v>
      </c>
      <c r="V59" s="11">
        <f t="shared" ref="V59:V61" si="4">T59-U59</f>
        <v>196000</v>
      </c>
      <c r="W59" s="11" t="s">
        <v>41</v>
      </c>
      <c r="X59" s="18">
        <f>SUM(Q56)-SUM(V56:V57)</f>
        <v>-195389.32</v>
      </c>
    </row>
    <row r="60" spans="1:70" ht="16.8" x14ac:dyDescent="0.3">
      <c r="A60" s="24">
        <v>56510</v>
      </c>
      <c r="B60" s="29" t="s">
        <v>48</v>
      </c>
      <c r="C60" s="85">
        <v>45082</v>
      </c>
      <c r="D60" s="30">
        <v>4</v>
      </c>
      <c r="E60" s="11">
        <f>H59</f>
        <v>43810</v>
      </c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24"/>
      <c r="Q60" s="11">
        <f>E60</f>
        <v>43810</v>
      </c>
      <c r="R60" s="25"/>
      <c r="S60" s="11" t="s">
        <v>42</v>
      </c>
      <c r="T60" s="11">
        <v>300000</v>
      </c>
      <c r="U60" s="31">
        <f>T60*2%</f>
        <v>6000</v>
      </c>
      <c r="V60" s="11">
        <f t="shared" si="4"/>
        <v>294000</v>
      </c>
      <c r="W60" s="11" t="s">
        <v>43</v>
      </c>
    </row>
    <row r="61" spans="1:70" ht="16.8" x14ac:dyDescent="0.3">
      <c r="A61" s="24">
        <v>56510</v>
      </c>
      <c r="B61" s="29"/>
      <c r="C61" s="85"/>
      <c r="D61" s="3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25"/>
      <c r="S61" s="11" t="s">
        <v>26</v>
      </c>
      <c r="T61" s="11">
        <v>43810</v>
      </c>
      <c r="U61" s="11"/>
      <c r="V61" s="11">
        <f t="shared" si="4"/>
        <v>43810</v>
      </c>
      <c r="W61" s="11" t="s">
        <v>88</v>
      </c>
    </row>
    <row r="62" spans="1:70" ht="16.8" x14ac:dyDescent="0.3">
      <c r="A62" s="24">
        <v>56510</v>
      </c>
      <c r="B62" s="29"/>
      <c r="C62" s="85"/>
      <c r="D62" s="3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25"/>
      <c r="S62" s="11"/>
      <c r="T62" s="11"/>
      <c r="U62" s="11"/>
      <c r="V62" s="11"/>
      <c r="W62" s="11"/>
    </row>
    <row r="63" spans="1:70" s="15" customFormat="1" ht="16.8" x14ac:dyDescent="0.3">
      <c r="A63" s="26"/>
      <c r="B63" s="32"/>
      <c r="C63" s="86"/>
      <c r="D63" s="6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8">
        <f>A64</f>
        <v>56509</v>
      </c>
      <c r="S63" s="21"/>
      <c r="T63" s="21"/>
      <c r="U63" s="21"/>
      <c r="V63" s="21"/>
      <c r="W63" s="21"/>
      <c r="X63" s="18">
        <f>SUM(Q59:Q60)-SUM(V59:V61)</f>
        <v>-287986.59349999996</v>
      </c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</row>
    <row r="64" spans="1:70" ht="16.2" x14ac:dyDescent="0.3">
      <c r="A64" s="24">
        <v>56509</v>
      </c>
      <c r="B64" s="29" t="s">
        <v>152</v>
      </c>
      <c r="C64" s="85">
        <v>45081</v>
      </c>
      <c r="D64" s="30">
        <v>2</v>
      </c>
      <c r="E64" s="11">
        <v>515896</v>
      </c>
      <c r="F64" s="11">
        <v>256326</v>
      </c>
      <c r="G64" s="11"/>
      <c r="H64" s="11">
        <f t="shared" ref="H64" si="5">E64-F64</f>
        <v>259570</v>
      </c>
      <c r="I64" s="11">
        <f t="shared" ref="I64" si="6">ROUND(H64*18%,)</f>
        <v>46723</v>
      </c>
      <c r="J64" s="11">
        <f t="shared" ref="J64" si="7">H64+I64</f>
        <v>306293</v>
      </c>
      <c r="K64" s="11">
        <f>ROUND(H64*2%,)</f>
        <v>5191</v>
      </c>
      <c r="L64" s="11">
        <f>+H64*5%</f>
        <v>12978.5</v>
      </c>
      <c r="M64" s="11"/>
      <c r="N64" s="55">
        <f>H64*10%</f>
        <v>25957</v>
      </c>
      <c r="O64" s="11">
        <f>I64</f>
        <v>46723</v>
      </c>
      <c r="P64" s="24"/>
      <c r="Q64" s="11">
        <f>J64-SUM(K64:O64)</f>
        <v>215443.5</v>
      </c>
      <c r="R64" s="24"/>
      <c r="S64" s="11" t="s">
        <v>44</v>
      </c>
      <c r="T64" s="11">
        <v>200000</v>
      </c>
      <c r="U64" s="31">
        <f>T64*2%</f>
        <v>4000</v>
      </c>
      <c r="V64" s="11">
        <f>T64-U64</f>
        <v>196000</v>
      </c>
      <c r="W64" s="11" t="s">
        <v>45</v>
      </c>
    </row>
    <row r="65" spans="1:70" ht="16.2" x14ac:dyDescent="0.3">
      <c r="A65" s="24">
        <v>56509</v>
      </c>
      <c r="B65" s="29" t="s">
        <v>48</v>
      </c>
      <c r="C65" s="85">
        <v>45127</v>
      </c>
      <c r="D65" s="30">
        <v>2</v>
      </c>
      <c r="E65" s="11">
        <v>46722</v>
      </c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24"/>
      <c r="Q65" s="11">
        <f>E65</f>
        <v>46722</v>
      </c>
      <c r="R65" s="24"/>
      <c r="S65" s="11" t="s">
        <v>46</v>
      </c>
      <c r="T65" s="11">
        <v>300000</v>
      </c>
      <c r="U65" s="31">
        <f t="shared" ref="U65" si="8">T65*2%</f>
        <v>6000</v>
      </c>
      <c r="V65" s="11">
        <f>T65-U65</f>
        <v>294000</v>
      </c>
      <c r="W65" s="11" t="s">
        <v>47</v>
      </c>
    </row>
    <row r="66" spans="1:70" ht="16.2" x14ac:dyDescent="0.3">
      <c r="A66" s="24">
        <v>56509</v>
      </c>
      <c r="B66" s="29" t="s">
        <v>152</v>
      </c>
      <c r="C66" s="85">
        <v>45139</v>
      </c>
      <c r="D66" s="30">
        <v>8</v>
      </c>
      <c r="E66" s="11">
        <f>712500+54104</f>
        <v>766604</v>
      </c>
      <c r="F66" s="11">
        <v>532450</v>
      </c>
      <c r="G66" s="11">
        <f>E66-F66</f>
        <v>234154</v>
      </c>
      <c r="H66" s="11">
        <f>G66*18%</f>
        <v>42147.72</v>
      </c>
      <c r="I66" s="11">
        <f>G66+H66</f>
        <v>276301.71999999997</v>
      </c>
      <c r="J66" s="11">
        <f>G66*2%</f>
        <v>4683.08</v>
      </c>
      <c r="K66" s="11">
        <f>ROUND(G66*5%,)</f>
        <v>11708</v>
      </c>
      <c r="L66" s="11"/>
      <c r="M66" s="11"/>
      <c r="N66" s="55">
        <f>H66</f>
        <v>42147.72</v>
      </c>
      <c r="O66" s="11"/>
      <c r="P66" s="24"/>
      <c r="Q66" s="11">
        <f>I66-SUM(J66:P66)</f>
        <v>217762.91999999998</v>
      </c>
      <c r="R66" s="24"/>
      <c r="S66" s="11" t="s">
        <v>53</v>
      </c>
      <c r="T66" s="11">
        <v>250000</v>
      </c>
      <c r="U66" s="31">
        <f t="shared" ref="U66" si="9">T66*2%</f>
        <v>5000</v>
      </c>
      <c r="V66" s="11">
        <f t="shared" ref="V66:V68" si="10">T66-U66</f>
        <v>245000</v>
      </c>
      <c r="W66" s="11" t="s">
        <v>54</v>
      </c>
    </row>
    <row r="67" spans="1:70" ht="16.2" x14ac:dyDescent="0.3">
      <c r="A67" s="24">
        <v>56509</v>
      </c>
      <c r="B67" s="29" t="s">
        <v>48</v>
      </c>
      <c r="C67" s="85">
        <v>45140</v>
      </c>
      <c r="D67" s="30">
        <v>8</v>
      </c>
      <c r="E67" s="11">
        <f>N66</f>
        <v>42147.72</v>
      </c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24"/>
      <c r="Q67" s="11">
        <f>E67</f>
        <v>42147.72</v>
      </c>
      <c r="R67" s="24"/>
      <c r="S67" s="11" t="s">
        <v>55</v>
      </c>
      <c r="T67" s="11">
        <v>46722</v>
      </c>
      <c r="U67" s="31">
        <v>0</v>
      </c>
      <c r="V67" s="11">
        <f t="shared" si="10"/>
        <v>46722</v>
      </c>
      <c r="W67" s="11" t="s">
        <v>56</v>
      </c>
    </row>
    <row r="68" spans="1:70" ht="16.2" x14ac:dyDescent="0.3">
      <c r="A68" s="24">
        <v>56509</v>
      </c>
      <c r="B68" s="29" t="s">
        <v>153</v>
      </c>
      <c r="C68" s="85">
        <v>45191</v>
      </c>
      <c r="D68" s="30">
        <v>14</v>
      </c>
      <c r="E68" s="11">
        <v>285000</v>
      </c>
      <c r="F68" s="11">
        <v>225417</v>
      </c>
      <c r="G68" s="11">
        <f>E68-F68</f>
        <v>59583</v>
      </c>
      <c r="H68" s="11">
        <f>G68*18%</f>
        <v>10724.94</v>
      </c>
      <c r="I68" s="11">
        <f>G68+H68</f>
        <v>70307.94</v>
      </c>
      <c r="J68" s="11">
        <f>G68*2%</f>
        <v>1191.6600000000001</v>
      </c>
      <c r="K68" s="11">
        <f>G68*5%</f>
        <v>2979.15</v>
      </c>
      <c r="L68" s="11">
        <v>0</v>
      </c>
      <c r="M68" s="11"/>
      <c r="N68" s="55">
        <f>H68</f>
        <v>10724.94</v>
      </c>
      <c r="O68" s="11">
        <v>0</v>
      </c>
      <c r="P68" s="24"/>
      <c r="Q68" s="11">
        <f>I68-O68-N68-M68-L68-K68-J68</f>
        <v>55412.189999999995</v>
      </c>
      <c r="R68" s="24"/>
      <c r="S68" s="11" t="s">
        <v>76</v>
      </c>
      <c r="T68" s="11">
        <v>300000</v>
      </c>
      <c r="U68" s="31">
        <f t="shared" ref="U68:U69" si="11">T68*2%</f>
        <v>6000</v>
      </c>
      <c r="V68" s="11">
        <f t="shared" si="10"/>
        <v>294000</v>
      </c>
      <c r="W68" s="11" t="s">
        <v>75</v>
      </c>
    </row>
    <row r="69" spans="1:70" ht="16.2" x14ac:dyDescent="0.3">
      <c r="A69" s="24">
        <v>56509</v>
      </c>
      <c r="B69" s="29" t="s">
        <v>48</v>
      </c>
      <c r="C69" s="85"/>
      <c r="D69" s="30">
        <v>14</v>
      </c>
      <c r="E69" s="11">
        <f>N68</f>
        <v>10724.94</v>
      </c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24"/>
      <c r="Q69" s="11">
        <f>E69</f>
        <v>10724.94</v>
      </c>
      <c r="R69" s="24"/>
      <c r="S69" s="11" t="s">
        <v>57</v>
      </c>
      <c r="T69" s="11">
        <v>200000</v>
      </c>
      <c r="U69" s="31">
        <f t="shared" si="11"/>
        <v>4000</v>
      </c>
      <c r="V69" s="11">
        <f>T69-U69</f>
        <v>196000</v>
      </c>
      <c r="W69" s="11" t="s">
        <v>58</v>
      </c>
    </row>
    <row r="70" spans="1:70" ht="23.25" customHeight="1" x14ac:dyDescent="0.3">
      <c r="A70" s="24">
        <v>56509</v>
      </c>
      <c r="B70" s="29" t="s">
        <v>153</v>
      </c>
      <c r="C70" s="85">
        <v>45214</v>
      </c>
      <c r="D70" s="30">
        <v>16</v>
      </c>
      <c r="E70" s="11">
        <v>570000</v>
      </c>
      <c r="F70" s="11">
        <v>49976</v>
      </c>
      <c r="G70" s="11">
        <f>E70-F70</f>
        <v>520024</v>
      </c>
      <c r="H70" s="11">
        <f>G70*18%</f>
        <v>93604.319999999992</v>
      </c>
      <c r="I70" s="11">
        <f>G70+H70</f>
        <v>613628.31999999995</v>
      </c>
      <c r="J70" s="11">
        <f>G70*2%</f>
        <v>10400.48</v>
      </c>
      <c r="K70" s="11">
        <f>G70*5%</f>
        <v>26001.200000000001</v>
      </c>
      <c r="L70" s="11">
        <v>0</v>
      </c>
      <c r="M70" s="11"/>
      <c r="N70" s="55">
        <f>H70</f>
        <v>93604.319999999992</v>
      </c>
      <c r="O70" s="11">
        <v>0</v>
      </c>
      <c r="P70" s="11">
        <v>0</v>
      </c>
      <c r="Q70" s="11">
        <f>I70-O70-N70-M70-L70-K70-J70-P70</f>
        <v>483622.31999999995</v>
      </c>
      <c r="R70" s="25"/>
      <c r="S70" s="11" t="s">
        <v>74</v>
      </c>
      <c r="T70" s="11">
        <v>42148</v>
      </c>
      <c r="U70" s="31">
        <v>0</v>
      </c>
      <c r="V70" s="11">
        <f>T70-U70</f>
        <v>42148</v>
      </c>
      <c r="W70" s="11" t="s">
        <v>73</v>
      </c>
    </row>
    <row r="71" spans="1:70" ht="16.8" x14ac:dyDescent="0.3">
      <c r="A71" s="24">
        <v>56509</v>
      </c>
      <c r="B71" s="29" t="s">
        <v>48</v>
      </c>
      <c r="C71" s="85"/>
      <c r="D71" s="30">
        <v>16</v>
      </c>
      <c r="E71" s="11">
        <f>N70</f>
        <v>93604.319999999992</v>
      </c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>
        <f>E71</f>
        <v>93604.319999999992</v>
      </c>
      <c r="R71" s="25"/>
      <c r="S71" s="11"/>
      <c r="T71" s="11"/>
      <c r="U71" s="31"/>
      <c r="V71" s="11"/>
      <c r="W71" s="11"/>
    </row>
    <row r="72" spans="1:70" ht="16.8" x14ac:dyDescent="0.3">
      <c r="A72" s="24">
        <v>56509</v>
      </c>
      <c r="B72" s="29"/>
      <c r="C72" s="85"/>
      <c r="D72" s="3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25"/>
      <c r="S72" s="11"/>
      <c r="T72" s="11"/>
      <c r="U72" s="11"/>
      <c r="V72" s="11"/>
      <c r="W72" s="11"/>
    </row>
    <row r="73" spans="1:70" s="15" customFormat="1" ht="16.8" x14ac:dyDescent="0.3">
      <c r="A73" s="26"/>
      <c r="B73" s="32"/>
      <c r="C73" s="86"/>
      <c r="D73" s="6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8">
        <f>A74</f>
        <v>57247</v>
      </c>
      <c r="S73" s="21"/>
      <c r="T73" s="21"/>
      <c r="U73" s="21"/>
      <c r="V73" s="21"/>
      <c r="W73" s="21"/>
      <c r="X73" s="18">
        <f>SUM(Q64:Q71)-SUM(V64:V71)</f>
        <v>-148430.09000000008</v>
      </c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</row>
    <row r="74" spans="1:70" ht="32.4" x14ac:dyDescent="0.3">
      <c r="A74" s="24">
        <v>57247</v>
      </c>
      <c r="B74" s="29" t="s">
        <v>154</v>
      </c>
      <c r="C74" s="85">
        <v>45081</v>
      </c>
      <c r="D74" s="30">
        <v>3</v>
      </c>
      <c r="E74" s="11">
        <v>676359.2</v>
      </c>
      <c r="F74" s="11">
        <v>251104</v>
      </c>
      <c r="G74" s="11">
        <f t="shared" ref="G74:G75" si="12">E74-F74</f>
        <v>425255.19999999995</v>
      </c>
      <c r="H74" s="11">
        <f t="shared" ref="H74" si="13">ROUND(G74*18%,)</f>
        <v>76546</v>
      </c>
      <c r="I74" s="11">
        <f t="shared" ref="I74:I75" si="14">G74+H74</f>
        <v>501801.19999999995</v>
      </c>
      <c r="J74" s="11">
        <f>ROUND(G74*2%,)</f>
        <v>8505</v>
      </c>
      <c r="K74" s="11">
        <f>+G74*5%</f>
        <v>21262.76</v>
      </c>
      <c r="L74" s="11"/>
      <c r="M74" s="11">
        <f>+G74*10%</f>
        <v>42525.52</v>
      </c>
      <c r="N74" s="55">
        <f t="shared" ref="N74" si="15">H74</f>
        <v>76546</v>
      </c>
      <c r="O74" s="24"/>
      <c r="P74" s="25"/>
      <c r="Q74" s="11">
        <f>I74-SUM(J74:P74)</f>
        <v>352961.91999999993</v>
      </c>
      <c r="R74" s="24"/>
      <c r="S74" s="11" t="s">
        <v>24</v>
      </c>
      <c r="T74" s="11">
        <v>200000</v>
      </c>
      <c r="U74" s="11">
        <f>T74*2%</f>
        <v>4000</v>
      </c>
      <c r="V74" s="11">
        <f>T74-U74</f>
        <v>196000</v>
      </c>
      <c r="W74" s="11" t="s">
        <v>25</v>
      </c>
      <c r="X74" s="19"/>
      <c r="Y74" s="53"/>
    </row>
    <row r="75" spans="1:70" ht="16.8" x14ac:dyDescent="0.3">
      <c r="A75" s="24">
        <v>57247</v>
      </c>
      <c r="B75" s="29" t="s">
        <v>48</v>
      </c>
      <c r="C75" s="85">
        <v>45127</v>
      </c>
      <c r="D75" s="30">
        <v>3</v>
      </c>
      <c r="E75" s="11">
        <v>76546</v>
      </c>
      <c r="F75" s="11"/>
      <c r="G75" s="11">
        <f t="shared" si="12"/>
        <v>76546</v>
      </c>
      <c r="H75" s="11"/>
      <c r="I75" s="11">
        <f t="shared" si="14"/>
        <v>76546</v>
      </c>
      <c r="J75" s="11"/>
      <c r="K75" s="11"/>
      <c r="L75" s="11"/>
      <c r="M75" s="11"/>
      <c r="N75" s="11"/>
      <c r="O75" s="24"/>
      <c r="P75" s="25"/>
      <c r="Q75" s="11">
        <f>I75-SUM(J75:P75)</f>
        <v>76546</v>
      </c>
      <c r="R75" s="24"/>
      <c r="S75" s="11" t="s">
        <v>26</v>
      </c>
      <c r="T75" s="11">
        <v>300000</v>
      </c>
      <c r="U75" s="11">
        <f>T75*2%</f>
        <v>6000</v>
      </c>
      <c r="V75" s="11">
        <f t="shared" ref="V75:V78" si="16">T75-U75</f>
        <v>294000</v>
      </c>
      <c r="W75" s="11" t="s">
        <v>27</v>
      </c>
      <c r="X75" s="13"/>
      <c r="Y75" s="53"/>
    </row>
    <row r="76" spans="1:70" ht="32.4" x14ac:dyDescent="0.3">
      <c r="A76" s="24">
        <v>57247</v>
      </c>
      <c r="B76" s="29" t="s">
        <v>154</v>
      </c>
      <c r="C76" s="85">
        <v>45139</v>
      </c>
      <c r="D76" s="30">
        <v>11</v>
      </c>
      <c r="E76" s="11">
        <f>367500+58640.8</f>
        <v>426140.8</v>
      </c>
      <c r="F76" s="11">
        <f>316145+51150</f>
        <v>367295</v>
      </c>
      <c r="G76" s="11">
        <f>E76-F76</f>
        <v>58845.799999999988</v>
      </c>
      <c r="H76" s="11">
        <f t="shared" ref="H76" si="17">ROUND(G76*18%,)</f>
        <v>10592</v>
      </c>
      <c r="I76" s="11">
        <f>G76+H76</f>
        <v>69437.799999999988</v>
      </c>
      <c r="J76" s="11">
        <f>ROUND(G76*2%,)</f>
        <v>1177</v>
      </c>
      <c r="K76" s="11">
        <f>+G76*5%</f>
        <v>2942.2899999999995</v>
      </c>
      <c r="L76" s="11"/>
      <c r="M76" s="11">
        <v>0</v>
      </c>
      <c r="N76" s="55">
        <f>H76</f>
        <v>10592</v>
      </c>
      <c r="O76" s="24"/>
      <c r="P76" s="25"/>
      <c r="Q76" s="11">
        <f>I76-SUM(J76:P76)</f>
        <v>54726.509999999987</v>
      </c>
      <c r="R76" s="24"/>
      <c r="S76" s="11" t="s">
        <v>49</v>
      </c>
      <c r="T76" s="11">
        <v>76545</v>
      </c>
      <c r="U76" s="11">
        <v>0</v>
      </c>
      <c r="V76" s="11">
        <f t="shared" si="16"/>
        <v>76545</v>
      </c>
      <c r="W76" s="11" t="s">
        <v>50</v>
      </c>
      <c r="X76" s="13"/>
      <c r="Y76" s="53"/>
    </row>
    <row r="77" spans="1:70" ht="16.8" x14ac:dyDescent="0.3">
      <c r="A77" s="24">
        <v>57247</v>
      </c>
      <c r="B77" s="29" t="s">
        <v>48</v>
      </c>
      <c r="C77" s="85"/>
      <c r="D77" s="30">
        <v>11</v>
      </c>
      <c r="E77" s="11">
        <v>10592</v>
      </c>
      <c r="F77" s="11"/>
      <c r="G77" s="11">
        <f t="shared" ref="G77" si="18">E77-F77</f>
        <v>10592</v>
      </c>
      <c r="H77" s="11"/>
      <c r="I77" s="11">
        <f t="shared" ref="I77" si="19">G77+H77</f>
        <v>10592</v>
      </c>
      <c r="J77" s="11"/>
      <c r="K77" s="11"/>
      <c r="L77" s="11"/>
      <c r="M77" s="11"/>
      <c r="N77" s="11"/>
      <c r="O77" s="24"/>
      <c r="P77" s="25"/>
      <c r="Q77" s="11">
        <f>I77-SUM(J77:N77)</f>
        <v>10592</v>
      </c>
      <c r="R77" s="24"/>
      <c r="S77" s="11" t="s">
        <v>51</v>
      </c>
      <c r="T77" s="11">
        <v>300000</v>
      </c>
      <c r="U77" s="11">
        <f>T77*2%</f>
        <v>6000</v>
      </c>
      <c r="V77" s="11">
        <f t="shared" si="16"/>
        <v>294000</v>
      </c>
      <c r="W77" s="11" t="s">
        <v>52</v>
      </c>
      <c r="X77" s="13"/>
      <c r="Y77" s="53"/>
    </row>
    <row r="78" spans="1:70" ht="32.4" x14ac:dyDescent="0.3">
      <c r="A78" s="24">
        <v>57247</v>
      </c>
      <c r="B78" s="29" t="s">
        <v>154</v>
      </c>
      <c r="C78" s="85">
        <v>45233</v>
      </c>
      <c r="D78" s="30">
        <v>19</v>
      </c>
      <c r="E78" s="11">
        <v>551250</v>
      </c>
      <c r="F78" s="11">
        <v>165741</v>
      </c>
      <c r="G78" s="11">
        <f>E78-F78</f>
        <v>385509</v>
      </c>
      <c r="H78" s="11">
        <f t="shared" ref="H78" si="20">ROUND(G78*18%,)</f>
        <v>69392</v>
      </c>
      <c r="I78" s="11">
        <f>G78+H78</f>
        <v>454901</v>
      </c>
      <c r="J78" s="11">
        <f>ROUND(G78*2%,)</f>
        <v>7710</v>
      </c>
      <c r="K78" s="11">
        <f>+G78*5%</f>
        <v>19275.45</v>
      </c>
      <c r="L78" s="11"/>
      <c r="M78" s="11">
        <v>0</v>
      </c>
      <c r="N78" s="11">
        <f>H78</f>
        <v>69392</v>
      </c>
      <c r="O78" s="24"/>
      <c r="P78" s="25"/>
      <c r="Q78" s="11">
        <f>I78-SUM(J78:P78)</f>
        <v>358523.55</v>
      </c>
      <c r="R78" s="24"/>
      <c r="S78" s="11" t="s">
        <v>71</v>
      </c>
      <c r="T78" s="11">
        <v>10592</v>
      </c>
      <c r="U78" s="11">
        <v>0</v>
      </c>
      <c r="V78" s="11">
        <f t="shared" si="16"/>
        <v>10592</v>
      </c>
      <c r="W78" s="11" t="s">
        <v>72</v>
      </c>
      <c r="X78" s="13"/>
      <c r="Y78" s="53"/>
    </row>
    <row r="79" spans="1:70" ht="32.4" x14ac:dyDescent="0.3">
      <c r="A79" s="24">
        <v>57247</v>
      </c>
      <c r="B79" s="29" t="s">
        <v>154</v>
      </c>
      <c r="C79" s="85"/>
      <c r="D79" s="3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24"/>
      <c r="P79" s="25"/>
      <c r="Q79" s="24"/>
      <c r="R79" s="24"/>
      <c r="S79" s="11" t="s">
        <v>94</v>
      </c>
      <c r="T79" s="11">
        <v>294000</v>
      </c>
      <c r="U79" s="11"/>
      <c r="V79" s="11">
        <v>294000</v>
      </c>
      <c r="W79" s="11" t="s">
        <v>93</v>
      </c>
      <c r="X79" s="13"/>
      <c r="Y79" s="53"/>
    </row>
    <row r="80" spans="1:70" ht="16.8" x14ac:dyDescent="0.3">
      <c r="A80" s="24"/>
      <c r="B80" s="11"/>
      <c r="C80" s="87"/>
      <c r="D80" s="62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24"/>
      <c r="P80" s="11"/>
      <c r="Q80" s="24"/>
      <c r="R80" s="24"/>
      <c r="S80" s="11"/>
      <c r="T80" s="25"/>
      <c r="U80" s="11"/>
      <c r="V80" s="11"/>
      <c r="W80" s="11"/>
      <c r="X80" s="13"/>
      <c r="Y80" s="53"/>
    </row>
    <row r="81" spans="1:70" s="15" customFormat="1" ht="16.8" x14ac:dyDescent="0.3">
      <c r="A81" s="26"/>
      <c r="B81" s="21"/>
      <c r="C81" s="88"/>
      <c r="D81" s="63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6"/>
      <c r="R81" s="28">
        <f>A82</f>
        <v>57248</v>
      </c>
      <c r="S81" s="21"/>
      <c r="T81" s="35"/>
      <c r="U81" s="21"/>
      <c r="V81" s="21"/>
      <c r="W81" s="21"/>
      <c r="X81" s="18">
        <f>SUM(Q74:Q78)-SUM(V74:V79)</f>
        <v>-311787.02</v>
      </c>
      <c r="Y81" s="54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</row>
    <row r="82" spans="1:70" ht="32.4" x14ac:dyDescent="0.3">
      <c r="A82" s="24">
        <v>57248</v>
      </c>
      <c r="B82" s="29" t="s">
        <v>155</v>
      </c>
      <c r="C82" s="85">
        <v>45139</v>
      </c>
      <c r="D82" s="30">
        <v>9</v>
      </c>
      <c r="E82" s="11">
        <v>750000</v>
      </c>
      <c r="F82" s="11">
        <v>532519.62</v>
      </c>
      <c r="G82" s="11">
        <v>217480.38</v>
      </c>
      <c r="H82" s="11">
        <v>39146</v>
      </c>
      <c r="I82" s="11">
        <v>256626.38</v>
      </c>
      <c r="J82" s="11">
        <v>2175</v>
      </c>
      <c r="K82" s="11">
        <v>10874.019</v>
      </c>
      <c r="L82" s="11"/>
      <c r="M82" s="11"/>
      <c r="N82" s="55">
        <v>39146</v>
      </c>
      <c r="O82" s="24"/>
      <c r="P82" s="25"/>
      <c r="Q82" s="11">
        <v>204431.361</v>
      </c>
      <c r="R82" s="24"/>
      <c r="S82" s="11" t="s">
        <v>20</v>
      </c>
      <c r="T82" s="11">
        <v>81158</v>
      </c>
      <c r="U82" s="11">
        <v>0</v>
      </c>
      <c r="V82" s="11">
        <v>294000</v>
      </c>
      <c r="W82" s="11" t="s">
        <v>21</v>
      </c>
      <c r="X82" s="18"/>
      <c r="Y82" s="54"/>
    </row>
    <row r="83" spans="1:70" ht="16.8" x14ac:dyDescent="0.3">
      <c r="A83" s="24">
        <v>57248</v>
      </c>
      <c r="B83" s="29" t="s">
        <v>48</v>
      </c>
      <c r="C83" s="85"/>
      <c r="D83" s="30">
        <v>9</v>
      </c>
      <c r="E83" s="11">
        <f>N82</f>
        <v>39146</v>
      </c>
      <c r="F83" s="11"/>
      <c r="G83" s="11"/>
      <c r="H83" s="11"/>
      <c r="I83" s="11"/>
      <c r="J83" s="11"/>
      <c r="K83" s="11"/>
      <c r="L83" s="11"/>
      <c r="M83" s="11"/>
      <c r="N83" s="11"/>
      <c r="O83" s="24"/>
      <c r="P83" s="25"/>
      <c r="Q83" s="11">
        <f>E83</f>
        <v>39146</v>
      </c>
      <c r="R83" s="24"/>
      <c r="S83" s="11" t="s">
        <v>22</v>
      </c>
      <c r="T83" s="11">
        <v>20011</v>
      </c>
      <c r="U83" s="11"/>
      <c r="V83" s="11">
        <v>147000</v>
      </c>
      <c r="W83" s="11" t="s">
        <v>23</v>
      </c>
      <c r="X83" s="18"/>
      <c r="Y83" s="54"/>
    </row>
    <row r="84" spans="1:70" ht="16.8" x14ac:dyDescent="0.3">
      <c r="A84" s="24">
        <v>57248</v>
      </c>
      <c r="B84" s="29"/>
      <c r="C84" s="85"/>
      <c r="D84" s="3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24"/>
      <c r="P84" s="25"/>
      <c r="Q84" s="11"/>
      <c r="R84" s="24"/>
      <c r="S84" s="11" t="s">
        <v>96</v>
      </c>
      <c r="T84" s="11">
        <v>39146</v>
      </c>
      <c r="U84" s="11"/>
      <c r="V84" s="11">
        <v>39146</v>
      </c>
      <c r="W84" s="11" t="s">
        <v>95</v>
      </c>
      <c r="X84" s="18"/>
      <c r="Y84" s="54"/>
    </row>
    <row r="85" spans="1:70" ht="16.8" x14ac:dyDescent="0.3">
      <c r="A85" s="24"/>
      <c r="B85" s="29"/>
      <c r="C85" s="85"/>
      <c r="D85" s="3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24"/>
      <c r="P85" s="25"/>
      <c r="Q85" s="11"/>
      <c r="R85" s="24"/>
      <c r="S85" s="11"/>
      <c r="T85" s="11"/>
      <c r="U85" s="11"/>
      <c r="V85" s="11"/>
      <c r="W85" s="11"/>
      <c r="X85" s="18"/>
      <c r="Y85" s="54"/>
    </row>
    <row r="86" spans="1:70" s="15" customFormat="1" ht="16.8" x14ac:dyDescent="0.3">
      <c r="A86" s="26"/>
      <c r="B86" s="21"/>
      <c r="C86" s="88"/>
      <c r="D86" s="63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6"/>
      <c r="R86" s="28">
        <f>A87</f>
        <v>55239</v>
      </c>
      <c r="S86" s="21"/>
      <c r="T86" s="35"/>
      <c r="U86" s="21"/>
      <c r="V86" s="21"/>
      <c r="W86" s="21"/>
      <c r="X86" s="18">
        <f>SUM(Q82:Q83)-SUM(V82:V84)</f>
        <v>-236568.639</v>
      </c>
      <c r="Y86" s="54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</row>
    <row r="87" spans="1:70" ht="30" customHeight="1" x14ac:dyDescent="0.3">
      <c r="A87" s="24">
        <v>55239</v>
      </c>
      <c r="B87" s="36" t="s">
        <v>59</v>
      </c>
      <c r="C87" s="87">
        <v>45168</v>
      </c>
      <c r="D87" s="62">
        <v>12</v>
      </c>
      <c r="E87" s="11">
        <v>133691</v>
      </c>
      <c r="F87" s="11">
        <v>22517</v>
      </c>
      <c r="G87" s="11">
        <f>E87-F87</f>
        <v>111174</v>
      </c>
      <c r="H87" s="11">
        <f t="shared" ref="H87" si="21">ROUND(G87*18%,)</f>
        <v>20011</v>
      </c>
      <c r="I87" s="11">
        <f>G87+H87</f>
        <v>131185</v>
      </c>
      <c r="J87" s="11">
        <f>ROUND(G87*2%,)</f>
        <v>2223</v>
      </c>
      <c r="K87" s="11">
        <f>+G87*5%</f>
        <v>5558.7000000000007</v>
      </c>
      <c r="L87" s="11">
        <f>+G87*10%</f>
        <v>11117.400000000001</v>
      </c>
      <c r="M87" s="11">
        <f>+G87*10%</f>
        <v>11117.400000000001</v>
      </c>
      <c r="N87" s="11">
        <f>H87</f>
        <v>20011</v>
      </c>
      <c r="O87" s="24"/>
      <c r="P87" s="25"/>
      <c r="Q87" s="11">
        <f>I87-SUM(J87:P87)</f>
        <v>81157.5</v>
      </c>
      <c r="R87" s="24"/>
      <c r="S87" s="11" t="s">
        <v>24</v>
      </c>
      <c r="T87" s="11">
        <v>81158</v>
      </c>
      <c r="U87" s="11">
        <f>T87*S86</f>
        <v>0</v>
      </c>
      <c r="V87" s="11">
        <f>T87-U87</f>
        <v>81158</v>
      </c>
      <c r="W87" s="11" t="s">
        <v>61</v>
      </c>
      <c r="X87" s="18"/>
      <c r="Y87" s="54"/>
    </row>
    <row r="88" spans="1:70" ht="16.2" x14ac:dyDescent="0.3">
      <c r="A88" s="24">
        <v>55239</v>
      </c>
      <c r="B88" s="36" t="s">
        <v>48</v>
      </c>
      <c r="C88" s="89">
        <v>45127</v>
      </c>
      <c r="D88" s="64">
        <v>7</v>
      </c>
      <c r="E88" s="37">
        <f>N87</f>
        <v>20011</v>
      </c>
      <c r="F88" s="24"/>
      <c r="G88" s="11"/>
      <c r="H88" s="11"/>
      <c r="I88" s="11"/>
      <c r="J88" s="11"/>
      <c r="K88" s="11"/>
      <c r="L88" s="11"/>
      <c r="M88" s="11"/>
      <c r="N88" s="11"/>
      <c r="O88" s="24"/>
      <c r="P88" s="24"/>
      <c r="Q88" s="11">
        <f>E88</f>
        <v>20011</v>
      </c>
      <c r="R88" s="24"/>
      <c r="S88" s="11" t="s">
        <v>26</v>
      </c>
      <c r="T88" s="11">
        <v>20011</v>
      </c>
      <c r="U88" s="11">
        <f>T88*S86</f>
        <v>0</v>
      </c>
      <c r="V88" s="11">
        <f t="shared" ref="V88:V90" si="22">T88-U88</f>
        <v>20011</v>
      </c>
      <c r="W88" s="11" t="s">
        <v>60</v>
      </c>
      <c r="X88" s="18"/>
      <c r="Y88" s="54"/>
    </row>
    <row r="89" spans="1:70" ht="32.4" x14ac:dyDescent="0.3">
      <c r="A89" s="24">
        <v>55239</v>
      </c>
      <c r="B89" s="36" t="s">
        <v>59</v>
      </c>
      <c r="C89" s="89">
        <v>45168</v>
      </c>
      <c r="D89" s="64">
        <v>12</v>
      </c>
      <c r="E89" s="11">
        <v>152047</v>
      </c>
      <c r="F89" s="11">
        <v>9007</v>
      </c>
      <c r="G89" s="11">
        <f>E89-F89</f>
        <v>143040</v>
      </c>
      <c r="H89" s="11">
        <f t="shared" ref="H89" si="23">ROUND(G89*18%,)</f>
        <v>25747</v>
      </c>
      <c r="I89" s="11">
        <f>G89+H89</f>
        <v>168787</v>
      </c>
      <c r="J89" s="11">
        <f>ROUND(G89*1%,)</f>
        <v>1430</v>
      </c>
      <c r="K89" s="11">
        <f>+G89*5%</f>
        <v>7152</v>
      </c>
      <c r="L89" s="11">
        <f>+G89*10%</f>
        <v>14304</v>
      </c>
      <c r="M89" s="11">
        <f>+G89*10%</f>
        <v>14304</v>
      </c>
      <c r="N89" s="55">
        <f>H89</f>
        <v>25747</v>
      </c>
      <c r="O89" s="24"/>
      <c r="P89" s="24"/>
      <c r="Q89" s="11">
        <f>I89-SUM(J89:O89)</f>
        <v>105850</v>
      </c>
      <c r="R89" s="24"/>
      <c r="S89" s="11" t="s">
        <v>89</v>
      </c>
      <c r="T89" s="11">
        <v>104419</v>
      </c>
      <c r="U89" s="11"/>
      <c r="V89" s="11">
        <f t="shared" si="22"/>
        <v>104419</v>
      </c>
      <c r="W89" s="11" t="s">
        <v>90</v>
      </c>
      <c r="X89" s="18"/>
      <c r="Y89" s="54"/>
    </row>
    <row r="90" spans="1:70" ht="16.2" x14ac:dyDescent="0.3">
      <c r="A90" s="24">
        <v>55239</v>
      </c>
      <c r="B90" s="36" t="s">
        <v>48</v>
      </c>
      <c r="C90" s="89">
        <v>45168</v>
      </c>
      <c r="D90" s="64">
        <v>12</v>
      </c>
      <c r="E90" s="37">
        <f>N89</f>
        <v>25747</v>
      </c>
      <c r="F90" s="24"/>
      <c r="G90" s="11"/>
      <c r="H90" s="11"/>
      <c r="I90" s="11"/>
      <c r="J90" s="11"/>
      <c r="K90" s="11"/>
      <c r="L90" s="11"/>
      <c r="M90" s="11"/>
      <c r="N90" s="11"/>
      <c r="O90" s="24"/>
      <c r="P90" s="24"/>
      <c r="Q90" s="11">
        <f>E90</f>
        <v>25747</v>
      </c>
      <c r="R90" s="24"/>
      <c r="S90" s="11" t="s">
        <v>104</v>
      </c>
      <c r="T90" s="11">
        <v>25747</v>
      </c>
      <c r="U90" s="11"/>
      <c r="V90" s="11">
        <f t="shared" si="22"/>
        <v>25747</v>
      </c>
      <c r="W90" s="11" t="s">
        <v>103</v>
      </c>
      <c r="X90" s="18"/>
      <c r="Y90" s="54"/>
    </row>
    <row r="91" spans="1:70" ht="16.8" x14ac:dyDescent="0.3">
      <c r="A91" s="24">
        <v>55239</v>
      </c>
      <c r="B91" s="11"/>
      <c r="C91" s="87"/>
      <c r="D91" s="62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24"/>
      <c r="Q91" s="11"/>
      <c r="R91" s="24"/>
      <c r="S91" s="11"/>
      <c r="T91" s="25"/>
      <c r="U91" s="11"/>
      <c r="V91" s="11"/>
      <c r="W91" s="11"/>
      <c r="X91" s="18"/>
      <c r="Y91" s="54"/>
    </row>
    <row r="92" spans="1:70" ht="16.8" x14ac:dyDescent="0.3">
      <c r="A92" s="24">
        <v>55239</v>
      </c>
      <c r="B92" s="11"/>
      <c r="C92" s="87"/>
      <c r="D92" s="62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24"/>
      <c r="Q92" s="11"/>
      <c r="R92" s="24"/>
      <c r="S92" s="11"/>
      <c r="T92" s="25"/>
      <c r="U92" s="11"/>
      <c r="V92" s="11"/>
      <c r="W92" s="11"/>
      <c r="X92" s="18"/>
      <c r="Y92" s="54"/>
    </row>
    <row r="93" spans="1:70" ht="16.8" x14ac:dyDescent="0.3">
      <c r="A93" s="24"/>
      <c r="B93" s="11"/>
      <c r="C93" s="87"/>
      <c r="D93" s="62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24"/>
      <c r="R93" s="24"/>
      <c r="S93" s="11"/>
      <c r="T93" s="25"/>
      <c r="U93" s="11"/>
      <c r="V93" s="11"/>
      <c r="W93" s="11"/>
      <c r="X93" s="18"/>
      <c r="Y93" s="54"/>
    </row>
    <row r="94" spans="1:70" s="15" customFormat="1" ht="16.8" x14ac:dyDescent="0.3">
      <c r="A94" s="26"/>
      <c r="B94" s="21"/>
      <c r="C94" s="88"/>
      <c r="D94" s="63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6"/>
      <c r="R94" s="28">
        <f>A95</f>
        <v>58677</v>
      </c>
      <c r="S94" s="21"/>
      <c r="T94" s="35"/>
      <c r="U94" s="21"/>
      <c r="V94" s="21"/>
      <c r="W94" s="21"/>
      <c r="X94" s="18">
        <f>SUM(Q87:Q91)-SUM(V87:V92)</f>
        <v>1430.5</v>
      </c>
      <c r="Y94" s="54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</row>
    <row r="95" spans="1:70" ht="16.2" x14ac:dyDescent="0.3">
      <c r="A95" s="24">
        <v>58677</v>
      </c>
      <c r="B95" s="29" t="s">
        <v>156</v>
      </c>
      <c r="C95" s="85">
        <v>45139</v>
      </c>
      <c r="D95" s="30">
        <v>10</v>
      </c>
      <c r="E95" s="11">
        <v>550687.5</v>
      </c>
      <c r="F95" s="11">
        <v>338072.47</v>
      </c>
      <c r="G95" s="11">
        <f>E95-F95</f>
        <v>212615.03000000003</v>
      </c>
      <c r="H95" s="11">
        <f>G95*18%</f>
        <v>38270.705400000006</v>
      </c>
      <c r="I95" s="11">
        <f>H95+G95</f>
        <v>250885.73540000003</v>
      </c>
      <c r="J95" s="11">
        <f>G95*2%</f>
        <v>4252.3006000000005</v>
      </c>
      <c r="K95" s="11">
        <f>G95*5%</f>
        <v>10630.751500000002</v>
      </c>
      <c r="L95" s="11"/>
      <c r="M95" s="11"/>
      <c r="N95" s="55">
        <f>H95</f>
        <v>38270.705400000006</v>
      </c>
      <c r="O95" s="11"/>
      <c r="P95" s="11"/>
      <c r="Q95" s="37">
        <f>I95-J95-K95-L95-M95-N95-O95-P12-P95</f>
        <v>197731.97790000003</v>
      </c>
      <c r="R95" s="24"/>
      <c r="S95" s="11" t="s">
        <v>63</v>
      </c>
      <c r="T95" s="11">
        <v>500000</v>
      </c>
      <c r="U95" s="11">
        <f>T95*2%</f>
        <v>10000</v>
      </c>
      <c r="V95" s="11">
        <f>T95-U95</f>
        <v>490000</v>
      </c>
      <c r="W95" s="11" t="s">
        <v>62</v>
      </c>
      <c r="X95" s="18"/>
      <c r="Y95" s="54"/>
    </row>
    <row r="96" spans="1:70" ht="16.8" x14ac:dyDescent="0.3">
      <c r="A96" s="24">
        <v>58677</v>
      </c>
      <c r="B96" s="36" t="s">
        <v>48</v>
      </c>
      <c r="C96" s="85">
        <v>45140</v>
      </c>
      <c r="D96" s="64">
        <v>10</v>
      </c>
      <c r="E96" s="37">
        <f>N95</f>
        <v>38270.705400000006</v>
      </c>
      <c r="F96" s="24"/>
      <c r="G96" s="11"/>
      <c r="H96" s="11"/>
      <c r="I96" s="11"/>
      <c r="J96" s="11"/>
      <c r="K96" s="11"/>
      <c r="L96" s="11"/>
      <c r="M96" s="11"/>
      <c r="N96" s="11"/>
      <c r="O96" s="24"/>
      <c r="P96" s="24"/>
      <c r="Q96" s="11">
        <f>E96</f>
        <v>38270.705400000006</v>
      </c>
      <c r="R96" s="25"/>
      <c r="S96" s="11" t="s">
        <v>65</v>
      </c>
      <c r="T96" s="11">
        <v>250000</v>
      </c>
      <c r="U96" s="11">
        <f>T96*2%</f>
        <v>5000</v>
      </c>
      <c r="V96" s="11">
        <f t="shared" ref="V96:V99" si="24">T96-U96</f>
        <v>245000</v>
      </c>
      <c r="W96" s="11" t="s">
        <v>64</v>
      </c>
    </row>
    <row r="97" spans="1:24" ht="16.8" x14ac:dyDescent="0.3">
      <c r="A97" s="24">
        <v>58677</v>
      </c>
      <c r="B97" s="29" t="s">
        <v>156</v>
      </c>
      <c r="C97" s="85">
        <v>45191</v>
      </c>
      <c r="D97" s="30">
        <v>15</v>
      </c>
      <c r="E97" s="11">
        <v>734250</v>
      </c>
      <c r="F97" s="11">
        <v>157787</v>
      </c>
      <c r="G97" s="11">
        <f>E97-F97</f>
        <v>576463</v>
      </c>
      <c r="H97" s="11">
        <f>G97*18%</f>
        <v>103763.34</v>
      </c>
      <c r="I97" s="11">
        <f>H97+G97</f>
        <v>680226.34</v>
      </c>
      <c r="J97" s="11">
        <f>G97*2%</f>
        <v>11529.26</v>
      </c>
      <c r="K97" s="11">
        <f>G97*5%</f>
        <v>28823.15</v>
      </c>
      <c r="L97" s="11"/>
      <c r="M97" s="11"/>
      <c r="N97" s="55">
        <f>H97</f>
        <v>103763.34</v>
      </c>
      <c r="O97" s="11"/>
      <c r="P97" s="11"/>
      <c r="Q97" s="37">
        <f>I97-J97-K97-L97-M97-N97-O97-P14-P97</f>
        <v>536110.59</v>
      </c>
      <c r="R97" s="25"/>
      <c r="S97" s="11" t="s">
        <v>67</v>
      </c>
      <c r="T97" s="11">
        <v>38271</v>
      </c>
      <c r="U97" s="11"/>
      <c r="V97" s="11">
        <f t="shared" si="24"/>
        <v>38271</v>
      </c>
      <c r="W97" s="11" t="s">
        <v>66</v>
      </c>
    </row>
    <row r="98" spans="1:24" ht="16.8" x14ac:dyDescent="0.3">
      <c r="A98" s="24">
        <v>58677</v>
      </c>
      <c r="B98" s="36" t="s">
        <v>48</v>
      </c>
      <c r="C98" s="85">
        <v>45192</v>
      </c>
      <c r="D98" s="64">
        <v>15</v>
      </c>
      <c r="E98" s="37">
        <f>N97</f>
        <v>103763.34</v>
      </c>
      <c r="F98" s="24"/>
      <c r="G98" s="11"/>
      <c r="H98" s="11"/>
      <c r="I98" s="11"/>
      <c r="J98" s="11"/>
      <c r="K98" s="11"/>
      <c r="L98" s="11"/>
      <c r="M98" s="11"/>
      <c r="N98" s="11"/>
      <c r="O98" s="24"/>
      <c r="P98" s="24"/>
      <c r="Q98" s="11">
        <f>E98</f>
        <v>103763.34</v>
      </c>
      <c r="R98" s="25"/>
      <c r="S98" s="11" t="s">
        <v>97</v>
      </c>
      <c r="T98" s="11">
        <v>250000</v>
      </c>
      <c r="U98" s="11">
        <f>T98*2%</f>
        <v>5000</v>
      </c>
      <c r="V98" s="11">
        <f t="shared" si="24"/>
        <v>245000</v>
      </c>
      <c r="W98" s="11" t="s">
        <v>98</v>
      </c>
    </row>
    <row r="99" spans="1:24" ht="16.8" x14ac:dyDescent="0.3">
      <c r="A99" s="24">
        <v>58677</v>
      </c>
      <c r="B99" s="29" t="s">
        <v>156</v>
      </c>
      <c r="C99" s="87">
        <v>45233</v>
      </c>
      <c r="D99" s="62">
        <v>21</v>
      </c>
      <c r="E99" s="11">
        <v>367125</v>
      </c>
      <c r="F99" s="11">
        <v>61040</v>
      </c>
      <c r="G99" s="11">
        <f>E99-F99</f>
        <v>306085</v>
      </c>
      <c r="H99" s="11">
        <f>G99*18%</f>
        <v>55095.299999999996</v>
      </c>
      <c r="I99" s="11">
        <f>H99+G99</f>
        <v>361180.3</v>
      </c>
      <c r="J99" s="11">
        <f>G99*2%</f>
        <v>6121.7</v>
      </c>
      <c r="K99" s="11">
        <f>G99*5%</f>
        <v>15304.25</v>
      </c>
      <c r="L99" s="11"/>
      <c r="M99" s="11"/>
      <c r="N99" s="11">
        <f>H99</f>
        <v>55095.299999999996</v>
      </c>
      <c r="O99" s="11"/>
      <c r="P99" s="11"/>
      <c r="Q99" s="37">
        <f>I99-J99-K99-L99-M99-N99-O99-P16-P99</f>
        <v>284659.05</v>
      </c>
      <c r="R99" s="25"/>
      <c r="S99" s="11" t="s">
        <v>106</v>
      </c>
      <c r="T99" s="11">
        <v>100000</v>
      </c>
      <c r="U99" s="11">
        <f>T99*2%</f>
        <v>2000</v>
      </c>
      <c r="V99" s="11">
        <f t="shared" si="24"/>
        <v>98000</v>
      </c>
      <c r="W99" s="11" t="s">
        <v>105</v>
      </c>
    </row>
    <row r="100" spans="1:24" ht="16.8" x14ac:dyDescent="0.3">
      <c r="A100" s="24">
        <v>58677</v>
      </c>
      <c r="B100" s="36"/>
      <c r="C100" s="87"/>
      <c r="D100" s="64"/>
      <c r="E100" s="37"/>
      <c r="F100" s="24"/>
      <c r="G100" s="11"/>
      <c r="H100" s="11"/>
      <c r="I100" s="11"/>
      <c r="J100" s="11"/>
      <c r="K100" s="11"/>
      <c r="L100" s="11"/>
      <c r="M100" s="11"/>
      <c r="N100" s="11"/>
      <c r="O100" s="24"/>
      <c r="P100" s="24"/>
      <c r="Q100" s="11"/>
      <c r="R100" s="25"/>
      <c r="S100" s="11"/>
      <c r="T100" s="11"/>
      <c r="U100" s="11"/>
      <c r="V100" s="11"/>
      <c r="W100" s="11"/>
      <c r="X100" s="18">
        <f>SUM(Q95:Q99)-SUM(V95:V99)</f>
        <v>44264.663299999898</v>
      </c>
    </row>
    <row r="101" spans="1:24" ht="16.8" x14ac:dyDescent="0.15">
      <c r="A101" s="24">
        <v>58677</v>
      </c>
      <c r="B101" s="11"/>
      <c r="C101" s="87"/>
      <c r="D101" s="62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25"/>
      <c r="S101" s="11"/>
      <c r="T101" s="11"/>
      <c r="U101" s="11"/>
      <c r="V101" s="11"/>
      <c r="W101" s="38"/>
    </row>
    <row r="102" spans="1:24" ht="16.8" x14ac:dyDescent="0.3">
      <c r="A102" s="24">
        <v>58677</v>
      </c>
      <c r="B102" s="30"/>
      <c r="C102" s="85"/>
      <c r="D102" s="30"/>
      <c r="E102" s="39"/>
      <c r="F102" s="39"/>
      <c r="G102" s="39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25"/>
      <c r="S102" s="11"/>
      <c r="T102" s="11"/>
      <c r="U102" s="11"/>
      <c r="V102" s="11"/>
      <c r="W102" s="11"/>
    </row>
    <row r="103" spans="1:24" ht="16.2" x14ac:dyDescent="0.3">
      <c r="A103" s="24">
        <v>58677</v>
      </c>
      <c r="B103" s="11"/>
      <c r="C103" s="87"/>
      <c r="D103" s="62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</row>
    <row r="104" spans="1:24" ht="16.8" thickBot="1" x14ac:dyDescent="0.35">
      <c r="A104" s="44"/>
      <c r="B104" s="17"/>
      <c r="C104" s="90"/>
      <c r="D104" s="65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4" ht="16.8" x14ac:dyDescent="0.3">
      <c r="A105" s="45"/>
      <c r="B105" s="46"/>
      <c r="C105" s="91"/>
      <c r="D105" s="66"/>
      <c r="E105" s="47">
        <f>SUM(E8:E102)-(N105-N107)</f>
        <v>12300375.549999999</v>
      </c>
      <c r="F105" s="47">
        <f>SUM(F8:F102)</f>
        <v>5030222.5999999996</v>
      </c>
      <c r="G105" s="47">
        <f>SUM(G8:G102)</f>
        <v>7056944.9499999993</v>
      </c>
      <c r="H105" s="47">
        <f t="shared" ref="H105:I105" si="25">SUM(H8:H102)</f>
        <v>1574885.9624000001</v>
      </c>
      <c r="I105" s="47">
        <f t="shared" si="25"/>
        <v>8358228.9123999979</v>
      </c>
      <c r="J105" s="46"/>
      <c r="K105" s="47">
        <f t="shared" ref="K105:P105" si="26">SUM(K8:K102)</f>
        <v>260051.59750000006</v>
      </c>
      <c r="L105" s="47">
        <f t="shared" si="26"/>
        <v>38399.9</v>
      </c>
      <c r="M105" s="47">
        <f t="shared" si="26"/>
        <v>177678.57399999999</v>
      </c>
      <c r="N105" s="47">
        <f t="shared" si="26"/>
        <v>1280517.9623999998</v>
      </c>
      <c r="O105" s="47">
        <f t="shared" si="26"/>
        <v>55061.75</v>
      </c>
      <c r="P105" s="47">
        <f t="shared" si="26"/>
        <v>18820</v>
      </c>
      <c r="Q105" s="47">
        <f>SUM(Q8:Q101)</f>
        <v>7558265.9779999992</v>
      </c>
      <c r="R105" s="47"/>
      <c r="S105" s="47" t="s">
        <v>7</v>
      </c>
      <c r="T105" s="47"/>
      <c r="U105" s="47"/>
      <c r="V105" s="47">
        <f>SUM(V6:V101)</f>
        <v>8593439</v>
      </c>
      <c r="W105" s="46"/>
      <c r="X105" s="47">
        <f>SUM(X6:X101)</f>
        <v>-1035173.0220000001</v>
      </c>
    </row>
    <row r="106" spans="1:24" ht="16.2" x14ac:dyDescent="0.3">
      <c r="A106" s="40"/>
      <c r="B106" s="11"/>
      <c r="C106" s="87"/>
      <c r="D106" s="62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</row>
    <row r="107" spans="1:24" ht="16.8" x14ac:dyDescent="0.3">
      <c r="A107" s="40"/>
      <c r="B107" s="11"/>
      <c r="C107" s="87"/>
      <c r="D107" s="62"/>
      <c r="E107" s="11"/>
      <c r="F107" s="11"/>
      <c r="G107" s="11"/>
      <c r="H107" s="11"/>
      <c r="I107" s="11"/>
      <c r="J107" s="11"/>
      <c r="K107" s="11"/>
      <c r="L107" s="11"/>
      <c r="M107" s="11"/>
      <c r="N107" s="55">
        <f>N8+N9+N12+N52+N56+N78+N87+N99+N40</f>
        <v>337159.19579999993</v>
      </c>
      <c r="O107" s="11"/>
      <c r="P107" s="11"/>
      <c r="Q107" s="11"/>
      <c r="R107" s="11"/>
      <c r="S107" s="41" t="s">
        <v>6</v>
      </c>
      <c r="T107" s="11"/>
      <c r="U107" s="11"/>
      <c r="V107" s="41">
        <f>Q105-V105</f>
        <v>-1035173.0220000008</v>
      </c>
      <c r="W107" s="11"/>
    </row>
    <row r="108" spans="1:24" ht="16.8" thickBot="1" x14ac:dyDescent="0.35">
      <c r="A108" s="42"/>
      <c r="B108" s="43"/>
      <c r="C108" s="83"/>
      <c r="D108" s="59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</row>
    <row r="110" spans="1:24" ht="15.6" x14ac:dyDescent="0.3">
      <c r="C110" s="92"/>
      <c r="D110" s="67" t="s">
        <v>87</v>
      </c>
      <c r="E110" s="20"/>
    </row>
    <row r="111" spans="1:24" ht="16.8" x14ac:dyDescent="0.3">
      <c r="C111" s="93" t="s">
        <v>3</v>
      </c>
      <c r="D111" s="68">
        <f>K105</f>
        <v>260051.59750000006</v>
      </c>
      <c r="E111" s="20"/>
      <c r="G111" s="69">
        <f>E105-N105+N107</f>
        <v>11357016.783399999</v>
      </c>
      <c r="Q111" s="1" t="s">
        <v>107</v>
      </c>
    </row>
    <row r="112" spans="1:24" ht="50.4" x14ac:dyDescent="0.3">
      <c r="C112" s="93" t="s">
        <v>4</v>
      </c>
      <c r="D112" s="68">
        <f>L105</f>
        <v>38399.9</v>
      </c>
      <c r="E112" s="20"/>
      <c r="Q112" s="1" t="s">
        <v>108</v>
      </c>
      <c r="R112" s="69">
        <f>K105+L105+M105</f>
        <v>476130.07150000008</v>
      </c>
    </row>
    <row r="113" spans="3:18" ht="33.6" x14ac:dyDescent="0.3">
      <c r="C113" s="93" t="s">
        <v>5</v>
      </c>
      <c r="D113" s="68">
        <f>M105</f>
        <v>177678.57399999999</v>
      </c>
      <c r="E113" s="20"/>
      <c r="Q113" s="1" t="s">
        <v>109</v>
      </c>
      <c r="R113" s="69">
        <f>O105+P105</f>
        <v>73881.75</v>
      </c>
    </row>
    <row r="114" spans="3:18" ht="33.6" x14ac:dyDescent="0.3">
      <c r="C114" s="93" t="s">
        <v>33</v>
      </c>
      <c r="D114" s="68">
        <f>O105</f>
        <v>55061.75</v>
      </c>
      <c r="E114" s="20"/>
      <c r="H114" s="1"/>
      <c r="Q114" s="1" t="s">
        <v>110</v>
      </c>
      <c r="R114" s="69">
        <f>V107</f>
        <v>-1035173.0220000008</v>
      </c>
    </row>
  </sheetData>
  <autoFilter ref="B1:B115" xr:uid="{00000000-0009-0000-0000-000000000000}"/>
  <phoneticPr fontId="13" type="noConversion"/>
  <pageMargins left="0.70866141732283472" right="0.70866141732283472" top="0.74803149606299213" bottom="0.74803149606299213" header="0.31496062992125984" footer="0.31496062992125984"/>
  <pageSetup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Laxmi Civil</cp:lastModifiedBy>
  <cp:lastPrinted>2023-11-06T11:27:10Z</cp:lastPrinted>
  <dcterms:created xsi:type="dcterms:W3CDTF">2022-06-10T14:11:52Z</dcterms:created>
  <dcterms:modified xsi:type="dcterms:W3CDTF">2025-05-30T10:20:17Z</dcterms:modified>
</cp:coreProperties>
</file>