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Vaishanvi Construction\"/>
    </mc:Choice>
  </mc:AlternateContent>
  <xr:revisionPtr revIDLastSave="0" documentId="13_ncr:1_{96D75C0A-EE5D-4C47-A1B6-50CC6D9CC96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Q17" i="1"/>
  <c r="W16" i="1" l="1"/>
  <c r="W14" i="1"/>
  <c r="W13" i="1"/>
  <c r="W12" i="1"/>
  <c r="G12" i="1"/>
  <c r="I12" i="1" s="1"/>
  <c r="P12" i="1" s="1"/>
  <c r="W11" i="1"/>
  <c r="G11" i="1"/>
  <c r="J11" i="1" s="1"/>
  <c r="T10" i="1"/>
  <c r="W10" i="1" s="1"/>
  <c r="G10" i="1"/>
  <c r="I10" i="1" s="1"/>
  <c r="P10" i="1" s="1"/>
  <c r="T9" i="1"/>
  <c r="W9" i="1" s="1"/>
  <c r="O9" i="1"/>
  <c r="O33" i="1" s="1"/>
  <c r="G9" i="1"/>
  <c r="I9" i="1" s="1"/>
  <c r="T8" i="1"/>
  <c r="W8" i="1" s="1"/>
  <c r="F8" i="1"/>
  <c r="G8" i="1" s="1"/>
  <c r="P9" i="1" l="1"/>
  <c r="L42" i="1"/>
  <c r="M8" i="1"/>
  <c r="L8" i="1"/>
  <c r="H8" i="1"/>
  <c r="N8" i="1" s="1"/>
  <c r="K8" i="1"/>
  <c r="J8" i="1"/>
  <c r="K11" i="1"/>
  <c r="H11" i="1"/>
  <c r="N11" i="1" s="1"/>
  <c r="L11" i="1"/>
  <c r="M11" i="1"/>
  <c r="P27" i="1"/>
  <c r="P26" i="1"/>
  <c r="G25" i="1"/>
  <c r="H25" i="1" s="1"/>
  <c r="G24" i="1"/>
  <c r="K24" i="1" s="1"/>
  <c r="G23" i="1"/>
  <c r="I23" i="1" s="1"/>
  <c r="P23" i="1" s="1"/>
  <c r="M25" i="1" l="1"/>
  <c r="M33" i="1" s="1"/>
  <c r="H24" i="1"/>
  <c r="I24" i="1" s="1"/>
  <c r="J25" i="1"/>
  <c r="J24" i="1"/>
  <c r="K25" i="1"/>
  <c r="K33" i="1" s="1"/>
  <c r="L25" i="1"/>
  <c r="L33" i="1" s="1"/>
  <c r="I11" i="1"/>
  <c r="P11" i="1" s="1"/>
  <c r="I8" i="1"/>
  <c r="P8" i="1" s="1"/>
  <c r="N25" i="1"/>
  <c r="I25" i="1"/>
  <c r="N24" i="1" l="1"/>
  <c r="N33" i="1" s="1"/>
  <c r="L44" i="1" s="1"/>
  <c r="L41" i="1"/>
  <c r="Y16" i="1"/>
  <c r="P24" i="1"/>
  <c r="P25" i="1"/>
  <c r="W25" i="1"/>
  <c r="Y30" i="1" l="1"/>
  <c r="W33" i="1"/>
  <c r="P33" i="1" l="1"/>
  <c r="W35" i="1" s="1"/>
  <c r="L43" i="1" s="1"/>
</calcChain>
</file>

<file path=xl/sharedStrings.xml><?xml version="1.0" encoding="utf-8"?>
<sst xmlns="http://schemas.openxmlformats.org/spreadsheetml/2006/main" count="95" uniqueCount="83">
  <si>
    <t>Amount</t>
  </si>
  <si>
    <t>PAYMENT NOTE No.</t>
  </si>
  <si>
    <t>UTR</t>
  </si>
  <si>
    <t>SD (5%)</t>
  </si>
  <si>
    <t>Advance paid</t>
  </si>
  <si>
    <t>Pipe Laying work</t>
  </si>
  <si>
    <t>Vaishanvi Construction</t>
  </si>
  <si>
    <t xml:space="preserve">Grahi Hasanpur Village Pipe laying work </t>
  </si>
  <si>
    <t>08-08-2022 NEFT/AXISP00310461062/RIUP22/471/VAISHANAVI CONST 594000.00</t>
  </si>
  <si>
    <t>RIUP22/471</t>
  </si>
  <si>
    <t>Hold Amount for quantity more than DPR</t>
  </si>
  <si>
    <t>Total Payable Amount Rs. -</t>
  </si>
  <si>
    <t>Balance Payable Amount Rs. -</t>
  </si>
  <si>
    <t>Total Paid Amount Rs. -</t>
  </si>
  <si>
    <t>17-09-2022 NEFT/AXISP00320869138/RIUP22/769/VAISHANAVI CONST 198000.00</t>
  </si>
  <si>
    <t>RIUP22/769</t>
  </si>
  <si>
    <t>21-10-2022 NEFT/AXISP00331051365/RIUP22/1105/VAISHANAVI CONS 198000.00</t>
  </si>
  <si>
    <t>22-11-2022 NEFT/AXISP00339527002/RIUP22/1264/VAISHANAVI CONS 81605.00</t>
  </si>
  <si>
    <t>12-12-2022 NEFT/AXISP00345431088/RIUP22/1479/VAISHANAVI CONS 150000.00</t>
  </si>
  <si>
    <t>RIUP22/1105</t>
  </si>
  <si>
    <t>RIUP22/1264</t>
  </si>
  <si>
    <t>RIUP22/1479</t>
  </si>
  <si>
    <t>Release Hold Amount for qty. more than DPR.</t>
  </si>
  <si>
    <t>GST Release note</t>
  </si>
  <si>
    <t>15-02-2023 NEFT/AXISP00363444173/RIUP22/2177/VAISHANAVI CONS 298632.00</t>
  </si>
  <si>
    <t>RIUP22/2177</t>
  </si>
  <si>
    <t>08-03-2023 NEFT/AXISP00369766203/RIUP22/2501/VAISHANAVI CONS 99000.00</t>
  </si>
  <si>
    <t>RIUP22/2501</t>
  </si>
  <si>
    <t>05-06-2023 NEFT/AXISP00395669162/RIUP23/505/VAISHANAVI CONST 86578.00</t>
  </si>
  <si>
    <t>RIUP23/505</t>
  </si>
  <si>
    <t>Kalamazra Village Pipeline laying work</t>
  </si>
  <si>
    <t>Hold Amount Release</t>
  </si>
  <si>
    <t>RIUP22/779</t>
  </si>
  <si>
    <t>20-09-2022 NEFT/AXISP00321260557/RIUP22/779/VAISHNAVI CONSTR ₹ 1,48,500.00</t>
  </si>
  <si>
    <t>RIUP22/1612</t>
  </si>
  <si>
    <t>23-12-2022 NEFT/AXISP00348423644/RIUP22/1612/VAISHNAVI CONST 297000.00</t>
  </si>
  <si>
    <t>RIUP22/1633</t>
  </si>
  <si>
    <t>27-12-2022 NEFT/AXISP00348925553/RIUP22/1633/VAISHNAVI CONST 31247.00</t>
  </si>
  <si>
    <t>RIUP22/1860</t>
  </si>
  <si>
    <t>13-01-2023 NEFT/AXISP00354795282/RIUP22/1860/VAISHNAVI CONST 178761.00</t>
  </si>
  <si>
    <t>RIUP22/1941</t>
  </si>
  <si>
    <t>23-01-2023 NEFT/AXISP00356620204/RIUP22/1941/VAISHNAVI CONST ₹ 24,750.00</t>
  </si>
  <si>
    <t>RIUP22/2180</t>
  </si>
  <si>
    <t>15-02-2023 NEFT/AXISP00363444172/RIUP22/2180/VAISHANAVI CONS 124195.00</t>
  </si>
  <si>
    <t>RIUP23/557</t>
  </si>
  <si>
    <t>09-06-2023 NEFT/AXISP00397387012/RIUP23/557/VAISHANAVI CONST 102245.00</t>
  </si>
  <si>
    <t>RIUP23/701</t>
  </si>
  <si>
    <t>20-06-2023 NEFT/AXISP00399675465/RIUP23/701/VAISHANAVI CONST 49911.00</t>
  </si>
  <si>
    <t>13, 14</t>
  </si>
  <si>
    <t>18-08-2023 NEFT/AXISP00416613506/RIUP23/1573/VAISHANAVI CONS 30890.00</t>
  </si>
  <si>
    <t>10-08-2023 NEFT/AXISP00414729113/RIUP23/1436/VAISHANAVI CONS 88726.00</t>
  </si>
  <si>
    <t>10-08-2023 NEFT/AXISP00414729114/RIUP23/1437/VAISHANAVI CONS 184114.00</t>
  </si>
  <si>
    <t>15-09-2023 NEFT/AXISP00425358563/RIUP23/2036/VAISHANAVI CONSTRU/BARB0KASHYA 56838.00</t>
  </si>
  <si>
    <t>RIUP23/1572</t>
  </si>
  <si>
    <t>18-08-2023 NEFT/AXISP00416613507/RIUP23/1572/VAISHANAVI CONS 47781.00</t>
  </si>
  <si>
    <t>Total Hold</t>
  </si>
  <si>
    <t>DPR Excess</t>
  </si>
  <si>
    <t>Balance payable / Adavnce</t>
  </si>
  <si>
    <t>GST Remaining</t>
  </si>
  <si>
    <t>Updated on 13-01-2024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</si>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</sst>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5" fillId="2" borderId="0" xfId="0" applyFont="1" applyFill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13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164" fontId="3" fillId="2" borderId="14" xfId="1" applyNumberFormat="1" applyFont="1" applyFill="1" applyBorder="1" applyAlignment="1">
      <alignment vertical="center"/>
    </xf>
    <xf numFmtId="164" fontId="3" fillId="2" borderId="12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164" fontId="3" fillId="2" borderId="15" xfId="1" applyNumberFormat="1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7" xfId="1" applyNumberFormat="1" applyFont="1" applyFill="1" applyBorder="1" applyAlignment="1">
      <alignment vertical="center"/>
    </xf>
    <xf numFmtId="164" fontId="3" fillId="3" borderId="13" xfId="1" applyNumberFormat="1" applyFont="1" applyFill="1" applyBorder="1" applyAlignment="1">
      <alignment vertical="center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64" fontId="3" fillId="2" borderId="8" xfId="1" applyNumberFormat="1" applyFont="1" applyFill="1" applyBorder="1" applyAlignment="1">
      <alignment horizontal="right" vertical="center"/>
    </xf>
    <xf numFmtId="164" fontId="5" fillId="2" borderId="4" xfId="1" applyNumberFormat="1" applyFont="1" applyFill="1" applyBorder="1" applyAlignment="1">
      <alignment vertical="center"/>
    </xf>
    <xf numFmtId="164" fontId="3" fillId="2" borderId="20" xfId="1" applyNumberFormat="1" applyFont="1" applyFill="1" applyBorder="1" applyAlignment="1">
      <alignment vertical="center"/>
    </xf>
    <xf numFmtId="164" fontId="3" fillId="2" borderId="21" xfId="1" applyNumberFormat="1" applyFont="1" applyFill="1" applyBorder="1" applyAlignment="1">
      <alignment vertical="center"/>
    </xf>
    <xf numFmtId="164" fontId="3" fillId="2" borderId="22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vertical="center"/>
    </xf>
    <xf numFmtId="164" fontId="5" fillId="2" borderId="6" xfId="1" applyNumberFormat="1" applyFont="1" applyFill="1" applyBorder="1" applyAlignment="1">
      <alignment vertical="center"/>
    </xf>
    <xf numFmtId="164" fontId="3" fillId="2" borderId="23" xfId="1" applyNumberFormat="1" applyFont="1" applyFill="1" applyBorder="1" applyAlignment="1">
      <alignment vertical="center"/>
    </xf>
    <xf numFmtId="0" fontId="3" fillId="2" borderId="25" xfId="0" quotePrefix="1" applyFont="1" applyFill="1" applyBorder="1" applyAlignment="1">
      <alignment horizontal="center" vertical="center"/>
    </xf>
    <xf numFmtId="164" fontId="3" fillId="2" borderId="26" xfId="1" applyNumberFormat="1" applyFont="1" applyFill="1" applyBorder="1" applyAlignment="1">
      <alignment vertical="center"/>
    </xf>
    <xf numFmtId="164" fontId="3" fillId="2" borderId="27" xfId="1" applyNumberFormat="1" applyFont="1" applyFill="1" applyBorder="1" applyAlignment="1">
      <alignment vertical="center"/>
    </xf>
    <xf numFmtId="164" fontId="3" fillId="2" borderId="25" xfId="1" applyNumberFormat="1" applyFont="1" applyFill="1" applyBorder="1" applyAlignment="1">
      <alignment vertical="center"/>
    </xf>
    <xf numFmtId="164" fontId="3" fillId="2" borderId="28" xfId="1" applyNumberFormat="1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29" xfId="1" applyNumberFormat="1" applyFont="1" applyFill="1" applyBorder="1" applyAlignment="1">
      <alignment vertical="center"/>
    </xf>
    <xf numFmtId="164" fontId="3" fillId="2" borderId="30" xfId="1" applyNumberFormat="1" applyFont="1" applyFill="1" applyBorder="1" applyAlignment="1">
      <alignment vertical="center"/>
    </xf>
    <xf numFmtId="164" fontId="3" fillId="2" borderId="24" xfId="1" applyNumberFormat="1" applyFont="1" applyFill="1" applyBorder="1" applyAlignment="1">
      <alignment vertical="center"/>
    </xf>
    <xf numFmtId="164" fontId="3" fillId="2" borderId="31" xfId="1" applyNumberFormat="1" applyFont="1" applyFill="1" applyBorder="1" applyAlignment="1">
      <alignment vertical="center"/>
    </xf>
    <xf numFmtId="164" fontId="3" fillId="2" borderId="32" xfId="1" applyNumberFormat="1" applyFont="1" applyFill="1" applyBorder="1" applyAlignment="1">
      <alignment vertical="center"/>
    </xf>
    <xf numFmtId="164" fontId="3" fillId="3" borderId="30" xfId="1" applyNumberFormat="1" applyFont="1" applyFill="1" applyBorder="1" applyAlignment="1">
      <alignment vertical="center"/>
    </xf>
    <xf numFmtId="164" fontId="3" fillId="3" borderId="32" xfId="1" applyNumberFormat="1" applyFont="1" applyFill="1" applyBorder="1" applyAlignment="1">
      <alignment vertical="center"/>
    </xf>
    <xf numFmtId="164" fontId="3" fillId="3" borderId="9" xfId="1" applyNumberFormat="1" applyFont="1" applyFill="1" applyBorder="1" applyAlignment="1">
      <alignment vertical="center"/>
    </xf>
    <xf numFmtId="164" fontId="0" fillId="3" borderId="0" xfId="0" applyNumberFormat="1" applyFill="1" applyAlignment="1">
      <alignment vertical="center"/>
    </xf>
    <xf numFmtId="164" fontId="3" fillId="2" borderId="19" xfId="1" applyNumberFormat="1" applyFont="1" applyFill="1" applyBorder="1" applyAlignment="1">
      <alignment vertical="center"/>
    </xf>
    <xf numFmtId="9" fontId="3" fillId="2" borderId="19" xfId="1" applyNumberFormat="1" applyFont="1" applyFill="1" applyBorder="1" applyAlignment="1">
      <alignment vertical="center"/>
    </xf>
    <xf numFmtId="164" fontId="3" fillId="2" borderId="34" xfId="1" applyNumberFormat="1" applyFont="1" applyFill="1" applyBorder="1" applyAlignment="1">
      <alignment vertical="center"/>
    </xf>
    <xf numFmtId="164" fontId="3" fillId="2" borderId="35" xfId="1" applyNumberFormat="1" applyFont="1" applyFill="1" applyBorder="1" applyAlignment="1">
      <alignment vertical="center"/>
    </xf>
    <xf numFmtId="164" fontId="3" fillId="2" borderId="33" xfId="1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3" borderId="31" xfId="0" applyFill="1" applyBorder="1" applyAlignment="1">
      <alignment vertical="center"/>
    </xf>
    <xf numFmtId="164" fontId="3" fillId="2" borderId="36" xfId="1" applyNumberFormat="1" applyFont="1" applyFill="1" applyBorder="1" applyAlignment="1">
      <alignment vertical="center"/>
    </xf>
    <xf numFmtId="164" fontId="3" fillId="3" borderId="24" xfId="1" applyNumberFormat="1" applyFont="1" applyFill="1" applyBorder="1" applyAlignment="1">
      <alignment vertical="center"/>
    </xf>
    <xf numFmtId="9" fontId="3" fillId="2" borderId="34" xfId="1" applyNumberFormat="1" applyFont="1" applyFill="1" applyBorder="1" applyAlignment="1">
      <alignment vertical="center"/>
    </xf>
    <xf numFmtId="0" fontId="5" fillId="2" borderId="37" xfId="0" applyFont="1" applyFill="1" applyBorder="1" applyAlignment="1">
      <alignment horizontal="center" vertical="center" wrapText="1"/>
    </xf>
    <xf numFmtId="164" fontId="3" fillId="2" borderId="37" xfId="1" applyNumberFormat="1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 wrapText="1"/>
    </xf>
    <xf numFmtId="164" fontId="3" fillId="3" borderId="31" xfId="1" applyNumberFormat="1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/>
    </xf>
    <xf numFmtId="164" fontId="3" fillId="2" borderId="38" xfId="1" applyNumberFormat="1" applyFont="1" applyFill="1" applyBorder="1" applyAlignment="1">
      <alignment horizontal="right" vertical="center"/>
    </xf>
    <xf numFmtId="0" fontId="3" fillId="4" borderId="2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164" fontId="3" fillId="2" borderId="24" xfId="1" applyNumberFormat="1" applyFont="1" applyFill="1" applyBorder="1" applyAlignment="1">
      <alignment horizontal="center" vertical="center"/>
    </xf>
    <xf numFmtId="0" fontId="3" fillId="2" borderId="24" xfId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vertical="center"/>
    </xf>
    <xf numFmtId="164" fontId="0" fillId="2" borderId="0" xfId="0" applyNumberFormat="1" applyFill="1" applyAlignment="1">
      <alignment vertical="center"/>
    </xf>
    <xf numFmtId="164" fontId="5" fillId="2" borderId="3" xfId="1" applyNumberFormat="1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0" fontId="6" fillId="0" borderId="0" xfId="0" applyFont="1"/>
    <xf numFmtId="164" fontId="8" fillId="2" borderId="1" xfId="2" applyFont="1" applyFill="1" applyBorder="1" applyAlignment="1">
      <alignment vertical="center"/>
    </xf>
    <xf numFmtId="164" fontId="8" fillId="2" borderId="2" xfId="2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3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/>
    </xf>
    <xf numFmtId="164" fontId="10" fillId="2" borderId="33" xfId="2" applyFont="1" applyFill="1" applyBorder="1" applyAlignment="1">
      <alignment horizontal="center" vertical="center"/>
    </xf>
    <xf numFmtId="164" fontId="6" fillId="2" borderId="33" xfId="2" applyFont="1" applyFill="1" applyBorder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6" fontId="2" fillId="2" borderId="0" xfId="1" applyNumberFormat="1" applyFont="1" applyFill="1" applyBorder="1" applyAlignment="1">
      <alignment vertical="center"/>
    </xf>
    <xf numFmtId="166" fontId="3" fillId="2" borderId="2" xfId="0" applyNumberFormat="1" applyFont="1" applyFill="1" applyBorder="1" applyAlignment="1">
      <alignment vertical="center"/>
    </xf>
    <xf numFmtId="166" fontId="6" fillId="2" borderId="33" xfId="0" applyNumberFormat="1" applyFont="1" applyFill="1" applyBorder="1" applyAlignment="1">
      <alignment horizontal="center" vertical="center"/>
    </xf>
    <xf numFmtId="166" fontId="3" fillId="2" borderId="39" xfId="1" applyNumberFormat="1" applyFont="1" applyFill="1" applyBorder="1" applyAlignment="1">
      <alignment vertical="center"/>
    </xf>
    <xf numFmtId="166" fontId="3" fillId="3" borderId="30" xfId="1" applyNumberFormat="1" applyFont="1" applyFill="1" applyBorder="1" applyAlignment="1">
      <alignment vertical="center"/>
    </xf>
    <xf numFmtId="166" fontId="3" fillId="2" borderId="15" xfId="0" applyNumberFormat="1" applyFont="1" applyFill="1" applyBorder="1" applyAlignment="1">
      <alignment horizontal="center" vertical="center"/>
    </xf>
    <xf numFmtId="166" fontId="3" fillId="2" borderId="9" xfId="0" applyNumberFormat="1" applyFont="1" applyFill="1" applyBorder="1" applyAlignment="1">
      <alignment horizontal="center" vertical="center"/>
    </xf>
    <xf numFmtId="166" fontId="3" fillId="2" borderId="30" xfId="1" applyNumberFormat="1" applyFont="1" applyFill="1" applyBorder="1" applyAlignment="1">
      <alignment vertical="center"/>
    </xf>
    <xf numFmtId="166" fontId="3" fillId="2" borderId="9" xfId="1" applyNumberFormat="1" applyFont="1" applyFill="1" applyBorder="1" applyAlignment="1">
      <alignment vertical="center"/>
    </xf>
    <xf numFmtId="166" fontId="3" fillId="2" borderId="10" xfId="0" applyNumberFormat="1" applyFont="1" applyFill="1" applyBorder="1" applyAlignment="1">
      <alignment horizontal="center" vertical="center"/>
    </xf>
    <xf numFmtId="166" fontId="3" fillId="2" borderId="3" xfId="1" applyNumberFormat="1" applyFont="1" applyFill="1" applyBorder="1" applyAlignment="1">
      <alignment vertical="center"/>
    </xf>
    <xf numFmtId="166" fontId="3" fillId="2" borderId="21" xfId="1" applyNumberFormat="1" applyFont="1" applyFill="1" applyBorder="1" applyAlignment="1">
      <alignment vertical="center"/>
    </xf>
  </cellXfs>
  <cellStyles count="3">
    <cellStyle name="Comma" xfId="1" builtinId="3"/>
    <cellStyle name="Comma 2" xfId="2" xr:uid="{2AB0A219-523E-40C8-A790-A95FFFB6ECC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zoomScale="80" zoomScaleNormal="80" workbookViewId="0">
      <selection activeCell="G3" sqref="G3"/>
    </sheetView>
  </sheetViews>
  <sheetFormatPr defaultColWidth="9" defaultRowHeight="24.9" customHeight="1" x14ac:dyDescent="0.3"/>
  <cols>
    <col min="1" max="1" width="9" style="3"/>
    <col min="2" max="2" width="30" style="3" customWidth="1"/>
    <col min="3" max="3" width="13.109375" style="99" bestFit="1" customWidth="1"/>
    <col min="4" max="4" width="21" style="3" customWidth="1"/>
    <col min="5" max="5" width="12.88671875" style="3" bestFit="1" customWidth="1"/>
    <col min="6" max="6" width="10.5546875" style="3" customWidth="1"/>
    <col min="7" max="7" width="15.5546875" style="3" bestFit="1" customWidth="1"/>
    <col min="8" max="8" width="14.6640625" style="22" customWidth="1"/>
    <col min="9" max="9" width="12.88671875" style="22" bestFit="1" customWidth="1"/>
    <col min="10" max="10" width="14.33203125" style="3" customWidth="1"/>
    <col min="11" max="11" width="14.5546875" style="3" bestFit="1" customWidth="1"/>
    <col min="12" max="12" width="20" style="3" bestFit="1" customWidth="1"/>
    <col min="13" max="13" width="15.33203125" style="3" bestFit="1" customWidth="1"/>
    <col min="14" max="14" width="15.44140625" style="3" customWidth="1"/>
    <col min="15" max="16" width="14.88671875" style="3" customWidth="1"/>
    <col min="17" max="17" width="10" style="3" bestFit="1" customWidth="1"/>
    <col min="18" max="18" width="21.6640625" style="3" customWidth="1"/>
    <col min="19" max="19" width="12.6640625" style="3" customWidth="1"/>
    <col min="20" max="22" width="14.5546875" style="3" customWidth="1"/>
    <col min="23" max="23" width="20" style="3" bestFit="1" customWidth="1"/>
    <col min="24" max="24" width="94.88671875" style="3" bestFit="1" customWidth="1"/>
    <col min="25" max="25" width="11.5546875" style="3" bestFit="1" customWidth="1"/>
    <col min="26" max="16384" width="9" style="3"/>
  </cols>
  <sheetData>
    <row r="1" spans="1:25" ht="24.9" customHeight="1" thickBot="1" x14ac:dyDescent="0.35">
      <c r="A1" s="90" t="s">
        <v>60</v>
      </c>
      <c r="B1" s="6" t="s">
        <v>6</v>
      </c>
      <c r="E1" s="4"/>
      <c r="F1" s="4"/>
      <c r="G1" s="4"/>
      <c r="H1" s="5"/>
      <c r="I1" s="5"/>
    </row>
    <row r="2" spans="1:25" ht="24.9" customHeight="1" thickBot="1" x14ac:dyDescent="0.35">
      <c r="A2" s="90" t="s">
        <v>61</v>
      </c>
      <c r="B2" s="91" t="s">
        <v>62</v>
      </c>
      <c r="C2" s="100"/>
      <c r="D2" s="6"/>
      <c r="G2" s="7"/>
      <c r="I2" s="7" t="s">
        <v>5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5" ht="24.9" customHeight="1" thickBot="1" x14ac:dyDescent="0.35">
      <c r="A3" s="90" t="s">
        <v>63</v>
      </c>
      <c r="B3" s="92" t="s">
        <v>64</v>
      </c>
      <c r="C3" s="100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5" ht="24.9" customHeight="1" thickBot="1" x14ac:dyDescent="0.35">
      <c r="A4" s="90" t="s">
        <v>65</v>
      </c>
      <c r="B4" s="93" t="s">
        <v>64</v>
      </c>
      <c r="C4" s="101"/>
      <c r="D4" s="9"/>
      <c r="E4" s="9"/>
      <c r="F4" s="8"/>
      <c r="G4" s="8"/>
      <c r="H4" s="10"/>
      <c r="I4" s="10"/>
      <c r="J4" s="8"/>
      <c r="K4" s="8"/>
      <c r="L4" s="8"/>
      <c r="M4" s="8"/>
      <c r="N4" s="8"/>
      <c r="R4" s="80"/>
      <c r="S4" s="11"/>
      <c r="T4" s="11"/>
      <c r="U4" s="11"/>
      <c r="V4" s="11"/>
      <c r="W4" s="11"/>
      <c r="X4" s="11"/>
    </row>
    <row r="5" spans="1:25" ht="24.9" customHeight="1" thickBot="1" x14ac:dyDescent="0.35">
      <c r="A5" s="94" t="s">
        <v>66</v>
      </c>
      <c r="B5" s="95" t="s">
        <v>67</v>
      </c>
      <c r="C5" s="102" t="s">
        <v>68</v>
      </c>
      <c r="D5" s="96" t="s">
        <v>69</v>
      </c>
      <c r="E5" s="95" t="s">
        <v>70</v>
      </c>
      <c r="F5" s="95" t="s">
        <v>71</v>
      </c>
      <c r="G5" s="96" t="s">
        <v>72</v>
      </c>
      <c r="H5" s="97" t="s">
        <v>73</v>
      </c>
      <c r="I5" s="98" t="s">
        <v>0</v>
      </c>
      <c r="J5" s="95" t="s">
        <v>74</v>
      </c>
      <c r="K5" s="95" t="s">
        <v>75</v>
      </c>
      <c r="L5" s="95" t="s">
        <v>76</v>
      </c>
      <c r="M5" s="95" t="s">
        <v>77</v>
      </c>
      <c r="N5" s="95" t="s">
        <v>78</v>
      </c>
      <c r="O5" s="30" t="s">
        <v>10</v>
      </c>
      <c r="P5" s="95" t="s">
        <v>79</v>
      </c>
      <c r="Q5" s="1"/>
      <c r="R5" s="29" t="s">
        <v>1</v>
      </c>
      <c r="S5" s="95" t="s">
        <v>80</v>
      </c>
      <c r="T5" s="95" t="s">
        <v>81</v>
      </c>
      <c r="U5" s="31" t="s">
        <v>3</v>
      </c>
      <c r="V5" s="29" t="s">
        <v>4</v>
      </c>
      <c r="W5" s="95" t="s">
        <v>82</v>
      </c>
      <c r="X5" s="95" t="s">
        <v>2</v>
      </c>
    </row>
    <row r="6" spans="1:25" ht="24.9" customHeight="1" x14ac:dyDescent="0.3">
      <c r="B6" s="61"/>
      <c r="C6" s="103"/>
      <c r="D6" s="61"/>
      <c r="E6" s="70"/>
      <c r="F6" s="57"/>
      <c r="G6" s="57"/>
      <c r="H6" s="58">
        <v>0.18</v>
      </c>
      <c r="I6" s="57"/>
      <c r="J6" s="58">
        <v>0.01</v>
      </c>
      <c r="K6" s="58">
        <v>0.05</v>
      </c>
      <c r="L6" s="58">
        <v>0.05</v>
      </c>
      <c r="M6" s="58">
        <v>0.1</v>
      </c>
      <c r="N6" s="68">
        <v>0.18</v>
      </c>
      <c r="O6" s="68"/>
      <c r="P6" s="61"/>
      <c r="Q6" s="69"/>
      <c r="R6" s="57"/>
      <c r="S6" s="57"/>
      <c r="T6" s="58">
        <v>0.01</v>
      </c>
      <c r="U6" s="58">
        <v>0.05</v>
      </c>
      <c r="V6" s="59"/>
      <c r="W6" s="61"/>
      <c r="X6" s="61"/>
    </row>
    <row r="7" spans="1:25" ht="24.9" customHeight="1" x14ac:dyDescent="0.3">
      <c r="A7" s="26"/>
      <c r="B7" s="72"/>
      <c r="C7" s="104"/>
      <c r="D7" s="72"/>
      <c r="E7" s="53"/>
      <c r="F7" s="27"/>
      <c r="G7" s="53"/>
      <c r="H7" s="27"/>
      <c r="I7" s="54"/>
      <c r="J7" s="55"/>
      <c r="K7" s="55"/>
      <c r="L7" s="55"/>
      <c r="M7" s="55"/>
      <c r="N7" s="55"/>
      <c r="O7" s="55"/>
      <c r="P7" s="67"/>
      <c r="Q7" s="83">
        <f>A8</f>
        <v>51278</v>
      </c>
      <c r="R7" s="28"/>
      <c r="S7" s="27"/>
      <c r="T7" s="27"/>
      <c r="U7" s="27"/>
      <c r="V7" s="54"/>
      <c r="W7" s="67"/>
      <c r="X7" s="65"/>
    </row>
    <row r="8" spans="1:25" ht="24.9" customHeight="1" x14ac:dyDescent="0.3">
      <c r="A8" s="3">
        <v>51278</v>
      </c>
      <c r="B8" s="71" t="s">
        <v>7</v>
      </c>
      <c r="C8" s="105">
        <v>44830</v>
      </c>
      <c r="D8" s="41">
        <v>1</v>
      </c>
      <c r="E8" s="43">
        <v>1707634</v>
      </c>
      <c r="F8" s="43">
        <f>500*97.13</f>
        <v>48565</v>
      </c>
      <c r="G8" s="43">
        <f>E8-F8</f>
        <v>1659069</v>
      </c>
      <c r="H8" s="12">
        <f>ROUND(G8*$H$6,0)</f>
        <v>298632</v>
      </c>
      <c r="I8" s="13">
        <f>G8+H8</f>
        <v>1957701</v>
      </c>
      <c r="J8" s="44">
        <f>ROUND(G8*$J$6,)</f>
        <v>16591</v>
      </c>
      <c r="K8" s="45">
        <f>ROUND(G8*$K$6,)</f>
        <v>82953</v>
      </c>
      <c r="L8" s="45">
        <f>ROUND(G8*$L$6,)</f>
        <v>82953</v>
      </c>
      <c r="M8" s="45">
        <f>ROUND(G8*$M$6,)</f>
        <v>165907</v>
      </c>
      <c r="N8" s="45">
        <f>H8</f>
        <v>298632</v>
      </c>
      <c r="O8" s="24">
        <v>239059</v>
      </c>
      <c r="P8" s="44">
        <f>ROUND(I8-SUM(J8:O8),0)</f>
        <v>1071606</v>
      </c>
      <c r="Q8" s="1"/>
      <c r="R8" s="14" t="s">
        <v>9</v>
      </c>
      <c r="S8" s="12">
        <v>600000</v>
      </c>
      <c r="T8" s="12">
        <f>S8*$T$6</f>
        <v>6000</v>
      </c>
      <c r="U8" s="13"/>
      <c r="V8" s="13"/>
      <c r="W8" s="44">
        <f t="shared" ref="W8:W9" si="0">ROUND(S8-T8-U8-V8,0)</f>
        <v>594000</v>
      </c>
      <c r="X8" s="62" t="s">
        <v>8</v>
      </c>
    </row>
    <row r="9" spans="1:25" ht="24.9" customHeight="1" x14ac:dyDescent="0.3">
      <c r="A9" s="3">
        <v>51278</v>
      </c>
      <c r="B9" s="71" t="s">
        <v>22</v>
      </c>
      <c r="C9" s="106">
        <v>44904</v>
      </c>
      <c r="D9" s="46">
        <v>56</v>
      </c>
      <c r="E9" s="42">
        <v>150000</v>
      </c>
      <c r="F9" s="43"/>
      <c r="G9" s="43">
        <f>E9-F9</f>
        <v>150000</v>
      </c>
      <c r="H9" s="12">
        <v>0</v>
      </c>
      <c r="I9" s="13">
        <f>G9+H9</f>
        <v>150000</v>
      </c>
      <c r="J9" s="44">
        <v>0</v>
      </c>
      <c r="K9" s="45">
        <v>0</v>
      </c>
      <c r="L9" s="45">
        <v>0</v>
      </c>
      <c r="M9" s="45">
        <v>0</v>
      </c>
      <c r="N9" s="45">
        <v>0</v>
      </c>
      <c r="O9" s="24">
        <f>H9</f>
        <v>0</v>
      </c>
      <c r="P9" s="44">
        <f>ROUND(I9-SUM(J9:O9),0)</f>
        <v>150000</v>
      </c>
      <c r="Q9" s="1"/>
      <c r="R9" s="16" t="s">
        <v>15</v>
      </c>
      <c r="S9" s="12">
        <v>200000</v>
      </c>
      <c r="T9" s="12">
        <f>S9*$T$6</f>
        <v>2000</v>
      </c>
      <c r="U9" s="13">
        <v>0</v>
      </c>
      <c r="V9" s="13">
        <v>0</v>
      </c>
      <c r="W9" s="44">
        <f t="shared" si="0"/>
        <v>198000</v>
      </c>
      <c r="X9" s="63" t="s">
        <v>14</v>
      </c>
    </row>
    <row r="10" spans="1:25" ht="24.9" customHeight="1" x14ac:dyDescent="0.3">
      <c r="A10" s="3">
        <v>51278</v>
      </c>
      <c r="B10" s="71" t="s">
        <v>23</v>
      </c>
      <c r="C10" s="106">
        <v>44968</v>
      </c>
      <c r="D10" s="46">
        <v>1</v>
      </c>
      <c r="E10" s="47">
        <v>298632</v>
      </c>
      <c r="F10" s="17"/>
      <c r="G10" s="43">
        <f>E10-F10</f>
        <v>298632</v>
      </c>
      <c r="H10" s="12">
        <v>0</v>
      </c>
      <c r="I10" s="13">
        <f>G10+H10</f>
        <v>298632</v>
      </c>
      <c r="J10" s="44">
        <v>0</v>
      </c>
      <c r="K10" s="48"/>
      <c r="L10" s="48"/>
      <c r="M10" s="48"/>
      <c r="N10" s="48"/>
      <c r="O10" s="47"/>
      <c r="P10" s="44">
        <f>I10-SUM(J10:O10)</f>
        <v>298632</v>
      </c>
      <c r="Q10" s="1"/>
      <c r="R10" s="16" t="s">
        <v>19</v>
      </c>
      <c r="S10" s="12">
        <v>200000</v>
      </c>
      <c r="T10" s="12">
        <f>S10*T6</f>
        <v>2000</v>
      </c>
      <c r="U10" s="13">
        <v>0</v>
      </c>
      <c r="V10" s="13">
        <v>0</v>
      </c>
      <c r="W10" s="44">
        <f>ROUND(S10-T10-U10-V10,0)</f>
        <v>198000</v>
      </c>
      <c r="X10" s="63" t="s">
        <v>16</v>
      </c>
    </row>
    <row r="11" spans="1:25" ht="24.9" customHeight="1" x14ac:dyDescent="0.3">
      <c r="A11" s="3">
        <v>51278</v>
      </c>
      <c r="B11" s="71" t="s">
        <v>7</v>
      </c>
      <c r="C11" s="106">
        <v>45061</v>
      </c>
      <c r="D11" s="46">
        <v>5</v>
      </c>
      <c r="E11" s="49">
        <v>265450.69</v>
      </c>
      <c r="F11" s="17"/>
      <c r="G11" s="43">
        <f>E11-F11</f>
        <v>265450.69</v>
      </c>
      <c r="H11" s="12">
        <f>ROUND(G11*$H$6,0)</f>
        <v>47781</v>
      </c>
      <c r="I11" s="13">
        <f>G11+H11</f>
        <v>313231.69</v>
      </c>
      <c r="J11" s="44">
        <f>ROUND(G11*$J$6,)</f>
        <v>2655</v>
      </c>
      <c r="K11" s="45">
        <f>ROUND(G11*$K$6,)</f>
        <v>13273</v>
      </c>
      <c r="L11" s="45">
        <f>ROUND(G11*10%,)</f>
        <v>26545</v>
      </c>
      <c r="M11" s="45">
        <f>ROUND(G11*$M$6,)</f>
        <v>26545</v>
      </c>
      <c r="N11" s="81">
        <f>H11</f>
        <v>47781</v>
      </c>
      <c r="O11" s="45">
        <v>10855</v>
      </c>
      <c r="P11" s="44">
        <f>ROUND(I11-SUM(J11:O11),0)</f>
        <v>185578</v>
      </c>
      <c r="Q11" s="2"/>
      <c r="R11" s="16" t="s">
        <v>20</v>
      </c>
      <c r="S11" s="12">
        <v>81605</v>
      </c>
      <c r="T11" s="12">
        <v>0</v>
      </c>
      <c r="U11" s="13">
        <v>0</v>
      </c>
      <c r="V11" s="13">
        <v>0</v>
      </c>
      <c r="W11" s="44">
        <f>S11-T11-U11-V11</f>
        <v>81605</v>
      </c>
      <c r="X11" s="63" t="s">
        <v>17</v>
      </c>
    </row>
    <row r="12" spans="1:25" ht="24.9" customHeight="1" x14ac:dyDescent="0.3">
      <c r="A12" s="3">
        <v>51278</v>
      </c>
      <c r="B12" s="71" t="s">
        <v>23</v>
      </c>
      <c r="C12" s="106">
        <v>45144</v>
      </c>
      <c r="D12" s="46">
        <v>5</v>
      </c>
      <c r="E12" s="49">
        <v>47781</v>
      </c>
      <c r="F12" s="17"/>
      <c r="G12" s="49">
        <f>E12-F12</f>
        <v>47781</v>
      </c>
      <c r="H12" s="17"/>
      <c r="I12" s="13">
        <f>G12+H12</f>
        <v>47781</v>
      </c>
      <c r="J12" s="50"/>
      <c r="K12" s="48"/>
      <c r="L12" s="48"/>
      <c r="M12" s="48"/>
      <c r="N12" s="48"/>
      <c r="O12" s="47"/>
      <c r="P12" s="44">
        <f>ROUND(I12-SUM(J12:O12),0)</f>
        <v>47781</v>
      </c>
      <c r="Q12" s="2"/>
      <c r="R12" s="16" t="s">
        <v>21</v>
      </c>
      <c r="S12" s="17">
        <v>150000</v>
      </c>
      <c r="T12" s="12">
        <v>0</v>
      </c>
      <c r="U12" s="13">
        <v>0</v>
      </c>
      <c r="V12" s="13">
        <v>0</v>
      </c>
      <c r="W12" s="44">
        <f>S12-T12-U12-V12</f>
        <v>150000</v>
      </c>
      <c r="X12" s="64" t="s">
        <v>18</v>
      </c>
    </row>
    <row r="13" spans="1:25" ht="24.9" customHeight="1" x14ac:dyDescent="0.3">
      <c r="A13" s="3">
        <v>51278</v>
      </c>
      <c r="B13" s="51"/>
      <c r="C13" s="107"/>
      <c r="D13" s="51"/>
      <c r="E13" s="49"/>
      <c r="F13" s="17"/>
      <c r="G13" s="49"/>
      <c r="H13" s="17"/>
      <c r="I13" s="52"/>
      <c r="J13" s="50"/>
      <c r="K13" s="48"/>
      <c r="L13" s="48"/>
      <c r="M13" s="48"/>
      <c r="N13" s="48"/>
      <c r="O13" s="47"/>
      <c r="P13" s="50"/>
      <c r="Q13" s="2"/>
      <c r="R13" s="16" t="s">
        <v>25</v>
      </c>
      <c r="S13" s="17">
        <v>298632</v>
      </c>
      <c r="T13" s="17"/>
      <c r="U13" s="17"/>
      <c r="V13" s="52"/>
      <c r="W13" s="50">
        <f>S13</f>
        <v>298632</v>
      </c>
      <c r="X13" s="64" t="s">
        <v>24</v>
      </c>
    </row>
    <row r="14" spans="1:25" ht="24.9" customHeight="1" x14ac:dyDescent="0.3">
      <c r="A14" s="3">
        <v>51278</v>
      </c>
      <c r="B14" s="51"/>
      <c r="C14" s="107"/>
      <c r="D14" s="51"/>
      <c r="E14" s="49"/>
      <c r="F14" s="17"/>
      <c r="G14" s="49"/>
      <c r="H14" s="17"/>
      <c r="I14" s="52"/>
      <c r="J14" s="50"/>
      <c r="K14" s="48"/>
      <c r="L14" s="48"/>
      <c r="M14" s="48"/>
      <c r="N14" s="48"/>
      <c r="O14" s="47"/>
      <c r="P14" s="50"/>
      <c r="Q14" s="2"/>
      <c r="R14" s="16" t="s">
        <v>27</v>
      </c>
      <c r="S14" s="17">
        <v>99000</v>
      </c>
      <c r="T14" s="17"/>
      <c r="U14" s="17"/>
      <c r="V14" s="52"/>
      <c r="W14" s="50">
        <f>S14</f>
        <v>99000</v>
      </c>
      <c r="X14" s="64" t="s">
        <v>26</v>
      </c>
    </row>
    <row r="15" spans="1:25" s="26" customFormat="1" ht="24.9" customHeight="1" x14ac:dyDescent="0.3">
      <c r="A15" s="3">
        <v>51278</v>
      </c>
      <c r="B15" s="51"/>
      <c r="C15" s="107"/>
      <c r="D15" s="51"/>
      <c r="E15" s="49"/>
      <c r="F15" s="17"/>
      <c r="G15" s="49"/>
      <c r="H15" s="17"/>
      <c r="I15" s="52"/>
      <c r="J15" s="50"/>
      <c r="K15" s="48"/>
      <c r="L15" s="48"/>
      <c r="M15" s="48"/>
      <c r="N15" s="48"/>
      <c r="O15" s="47"/>
      <c r="P15" s="50"/>
      <c r="Q15" s="2"/>
      <c r="R15" s="16" t="s">
        <v>29</v>
      </c>
      <c r="S15" s="17">
        <v>86578</v>
      </c>
      <c r="T15" s="17"/>
      <c r="U15" s="17"/>
      <c r="V15" s="52"/>
      <c r="W15" s="50">
        <v>86578</v>
      </c>
      <c r="X15" s="64" t="s">
        <v>28</v>
      </c>
    </row>
    <row r="16" spans="1:25" s="26" customFormat="1" ht="24.9" customHeight="1" x14ac:dyDescent="0.3">
      <c r="A16" s="3">
        <v>51278</v>
      </c>
      <c r="B16" s="51"/>
      <c r="C16" s="107"/>
      <c r="D16" s="51"/>
      <c r="E16" s="49"/>
      <c r="F16" s="17"/>
      <c r="G16" s="49"/>
      <c r="H16" s="17"/>
      <c r="I16" s="52"/>
      <c r="J16" s="50"/>
      <c r="K16" s="48"/>
      <c r="L16" s="48"/>
      <c r="M16" s="48"/>
      <c r="N16" s="48"/>
      <c r="O16" s="47"/>
      <c r="P16" s="50"/>
      <c r="Q16" s="2"/>
      <c r="R16" s="16" t="s">
        <v>53</v>
      </c>
      <c r="S16" s="17">
        <v>47781</v>
      </c>
      <c r="T16" s="17"/>
      <c r="U16" s="17"/>
      <c r="V16" s="52"/>
      <c r="W16" s="50">
        <f>S16-T16</f>
        <v>47781</v>
      </c>
      <c r="X16" s="64" t="s">
        <v>54</v>
      </c>
      <c r="Y16" s="56">
        <f>SUM(P8:P16)-SUM(W8:W16)</f>
        <v>1</v>
      </c>
    </row>
    <row r="17" spans="1:25" ht="24.9" customHeight="1" x14ac:dyDescent="0.3">
      <c r="A17" s="26"/>
      <c r="B17" s="72"/>
      <c r="C17" s="104"/>
      <c r="D17" s="72"/>
      <c r="E17" s="53"/>
      <c r="F17" s="27"/>
      <c r="G17" s="53"/>
      <c r="H17" s="27"/>
      <c r="I17" s="54"/>
      <c r="J17" s="55"/>
      <c r="K17" s="55"/>
      <c r="L17" s="55"/>
      <c r="M17" s="55"/>
      <c r="N17" s="55"/>
      <c r="O17" s="55"/>
      <c r="P17" s="67"/>
      <c r="Q17" s="83">
        <f>A18</f>
        <v>52439</v>
      </c>
      <c r="R17" s="28"/>
      <c r="S17" s="27"/>
      <c r="T17" s="27"/>
      <c r="U17" s="27"/>
      <c r="V17" s="54"/>
      <c r="W17" s="67"/>
      <c r="X17" s="65"/>
    </row>
    <row r="18" spans="1:25" ht="24.9" customHeight="1" x14ac:dyDescent="0.3">
      <c r="A18" s="3">
        <v>52439</v>
      </c>
      <c r="B18" s="50" t="s">
        <v>30</v>
      </c>
      <c r="C18" s="108">
        <v>44904</v>
      </c>
      <c r="D18" s="76">
        <v>2</v>
      </c>
      <c r="E18" s="42">
        <v>689970</v>
      </c>
      <c r="F18" s="17">
        <v>0</v>
      </c>
      <c r="G18" s="17">
        <v>689970</v>
      </c>
      <c r="H18" s="17">
        <v>124195</v>
      </c>
      <c r="I18" s="17">
        <v>814165</v>
      </c>
      <c r="J18" s="17">
        <v>6900</v>
      </c>
      <c r="K18" s="17">
        <v>34499</v>
      </c>
      <c r="L18" s="17">
        <v>68997</v>
      </c>
      <c r="M18" s="17">
        <v>68997</v>
      </c>
      <c r="N18" s="17">
        <v>124195</v>
      </c>
      <c r="O18" s="52">
        <v>33830</v>
      </c>
      <c r="P18" s="50">
        <v>476747</v>
      </c>
      <c r="Q18" s="2"/>
      <c r="R18" s="16" t="s">
        <v>32</v>
      </c>
      <c r="S18" s="17">
        <v>150000</v>
      </c>
      <c r="T18" s="17">
        <v>1500</v>
      </c>
      <c r="U18" s="17">
        <v>0</v>
      </c>
      <c r="V18" s="52">
        <v>0</v>
      </c>
      <c r="W18" s="50">
        <v>148500</v>
      </c>
      <c r="X18" s="63" t="s">
        <v>33</v>
      </c>
    </row>
    <row r="19" spans="1:25" ht="24.9" customHeight="1" x14ac:dyDescent="0.3">
      <c r="A19" s="3">
        <v>52439</v>
      </c>
      <c r="B19" s="50" t="s">
        <v>30</v>
      </c>
      <c r="C19" s="108">
        <v>44936</v>
      </c>
      <c r="D19" s="76">
        <v>3</v>
      </c>
      <c r="E19" s="42">
        <v>277283</v>
      </c>
      <c r="F19" s="17">
        <v>0</v>
      </c>
      <c r="G19" s="17">
        <v>277282</v>
      </c>
      <c r="H19" s="17">
        <v>49911</v>
      </c>
      <c r="I19" s="17">
        <v>327193</v>
      </c>
      <c r="J19" s="17">
        <v>2773</v>
      </c>
      <c r="K19" s="17">
        <v>13864</v>
      </c>
      <c r="L19" s="17">
        <v>27728</v>
      </c>
      <c r="M19" s="17">
        <v>27728</v>
      </c>
      <c r="N19" s="17">
        <v>49911</v>
      </c>
      <c r="O19" s="52">
        <v>26429</v>
      </c>
      <c r="P19" s="50">
        <v>178760</v>
      </c>
      <c r="Q19" s="2"/>
      <c r="R19" s="16" t="s">
        <v>34</v>
      </c>
      <c r="S19" s="17">
        <v>300000</v>
      </c>
      <c r="T19" s="17">
        <v>3000</v>
      </c>
      <c r="U19" s="17">
        <v>0</v>
      </c>
      <c r="V19" s="52">
        <v>0</v>
      </c>
      <c r="W19" s="50">
        <v>297000</v>
      </c>
      <c r="X19" s="63" t="s">
        <v>35</v>
      </c>
    </row>
    <row r="20" spans="1:25" ht="24.9" customHeight="1" x14ac:dyDescent="0.3">
      <c r="A20" s="3">
        <v>52439</v>
      </c>
      <c r="B20" s="50" t="s">
        <v>31</v>
      </c>
      <c r="C20" s="108">
        <v>44935</v>
      </c>
      <c r="D20" s="77">
        <v>2</v>
      </c>
      <c r="E20" s="42">
        <v>33830</v>
      </c>
      <c r="F20" s="17">
        <v>0</v>
      </c>
      <c r="G20" s="17">
        <v>33830</v>
      </c>
      <c r="H20" s="17">
        <v>0</v>
      </c>
      <c r="I20" s="17">
        <v>33830</v>
      </c>
      <c r="J20" s="17">
        <v>0</v>
      </c>
      <c r="K20" s="17"/>
      <c r="L20" s="17"/>
      <c r="M20" s="17"/>
      <c r="N20" s="17"/>
      <c r="O20" s="52"/>
      <c r="P20" s="50">
        <v>33830</v>
      </c>
      <c r="Q20" s="2"/>
      <c r="R20" s="16" t="s">
        <v>36</v>
      </c>
      <c r="S20" s="17">
        <v>31247</v>
      </c>
      <c r="T20" s="17">
        <v>0</v>
      </c>
      <c r="U20" s="17">
        <v>0</v>
      </c>
      <c r="V20" s="52">
        <v>0</v>
      </c>
      <c r="W20" s="50">
        <v>31247</v>
      </c>
      <c r="X20" s="63" t="s">
        <v>37</v>
      </c>
    </row>
    <row r="21" spans="1:25" ht="24.9" customHeight="1" x14ac:dyDescent="0.3">
      <c r="A21" s="3">
        <v>52439</v>
      </c>
      <c r="B21" s="50" t="s">
        <v>23</v>
      </c>
      <c r="C21" s="108">
        <v>44968</v>
      </c>
      <c r="D21" s="76">
        <v>2</v>
      </c>
      <c r="E21" s="42">
        <v>124195</v>
      </c>
      <c r="F21" s="17">
        <v>0</v>
      </c>
      <c r="G21" s="17">
        <v>124195</v>
      </c>
      <c r="H21" s="17">
        <v>0</v>
      </c>
      <c r="I21" s="17">
        <v>124195</v>
      </c>
      <c r="J21" s="17">
        <v>0</v>
      </c>
      <c r="K21" s="17">
        <v>0</v>
      </c>
      <c r="L21" s="17"/>
      <c r="M21" s="17"/>
      <c r="N21" s="17">
        <v>0</v>
      </c>
      <c r="O21" s="52"/>
      <c r="P21" s="50">
        <v>124195</v>
      </c>
      <c r="Q21" s="2"/>
      <c r="R21" s="16" t="s">
        <v>38</v>
      </c>
      <c r="S21" s="17">
        <v>178161</v>
      </c>
      <c r="T21" s="17">
        <v>0</v>
      </c>
      <c r="U21" s="17"/>
      <c r="V21" s="52">
        <v>0</v>
      </c>
      <c r="W21" s="50">
        <v>178761</v>
      </c>
      <c r="X21" s="63" t="s">
        <v>39</v>
      </c>
    </row>
    <row r="22" spans="1:25" ht="24.9" customHeight="1" x14ac:dyDescent="0.3">
      <c r="A22" s="3">
        <v>52439</v>
      </c>
      <c r="B22" s="50" t="s">
        <v>30</v>
      </c>
      <c r="C22" s="108">
        <v>45061</v>
      </c>
      <c r="D22" s="77">
        <v>6</v>
      </c>
      <c r="E22" s="42">
        <v>171613.31</v>
      </c>
      <c r="F22" s="17">
        <v>0</v>
      </c>
      <c r="G22" s="17">
        <v>171613.31</v>
      </c>
      <c r="H22" s="17">
        <v>30890</v>
      </c>
      <c r="I22" s="17">
        <v>202503</v>
      </c>
      <c r="J22" s="17">
        <v>1716</v>
      </c>
      <c r="K22" s="17">
        <v>8581</v>
      </c>
      <c r="L22" s="17">
        <v>17161</v>
      </c>
      <c r="M22" s="17">
        <v>17161</v>
      </c>
      <c r="N22" s="17">
        <v>30890</v>
      </c>
      <c r="O22" s="52">
        <v>0</v>
      </c>
      <c r="P22" s="50">
        <v>126994</v>
      </c>
      <c r="Q22" s="2"/>
      <c r="R22" s="16" t="s">
        <v>40</v>
      </c>
      <c r="S22" s="17">
        <v>24750</v>
      </c>
      <c r="T22" s="17"/>
      <c r="U22" s="17"/>
      <c r="V22" s="52"/>
      <c r="W22" s="50">
        <v>24750</v>
      </c>
      <c r="X22" s="63" t="s">
        <v>41</v>
      </c>
    </row>
    <row r="23" spans="1:25" ht="24.9" customHeight="1" x14ac:dyDescent="0.3">
      <c r="A23" s="3">
        <v>52439</v>
      </c>
      <c r="B23" s="73" t="s">
        <v>23</v>
      </c>
      <c r="C23" s="108"/>
      <c r="D23" s="76">
        <v>3</v>
      </c>
      <c r="E23" s="42">
        <v>49911</v>
      </c>
      <c r="F23" s="17"/>
      <c r="G23" s="17">
        <f>E23-F23</f>
        <v>49911</v>
      </c>
      <c r="H23" s="17"/>
      <c r="I23" s="17">
        <f>ROUND(G23+H23,)</f>
        <v>49911</v>
      </c>
      <c r="J23" s="17"/>
      <c r="K23" s="17"/>
      <c r="L23" s="17"/>
      <c r="M23" s="17"/>
      <c r="N23" s="17"/>
      <c r="O23" s="52"/>
      <c r="P23" s="50">
        <f>ROUND(I23-SUM(J23:O23),)</f>
        <v>49911</v>
      </c>
      <c r="Q23" s="2"/>
      <c r="R23" s="16" t="s">
        <v>42</v>
      </c>
      <c r="S23" s="17">
        <v>124195</v>
      </c>
      <c r="T23" s="17"/>
      <c r="U23" s="17"/>
      <c r="V23" s="52"/>
      <c r="W23" s="50">
        <v>124195</v>
      </c>
      <c r="X23" s="63" t="s">
        <v>43</v>
      </c>
    </row>
    <row r="24" spans="1:25" ht="24.9" customHeight="1" x14ac:dyDescent="0.3">
      <c r="A24" s="3">
        <v>52439</v>
      </c>
      <c r="B24" s="73" t="s">
        <v>30</v>
      </c>
      <c r="C24" s="108">
        <v>45134</v>
      </c>
      <c r="D24" s="77">
        <v>14</v>
      </c>
      <c r="E24" s="42">
        <v>195865.1</v>
      </c>
      <c r="F24" s="17"/>
      <c r="G24" s="17">
        <f>E24-F24</f>
        <v>195865.1</v>
      </c>
      <c r="H24" s="17">
        <f>ROUND(G24*18%,)</f>
        <v>35256</v>
      </c>
      <c r="I24" s="17">
        <f>ROUND(G24+H24,)</f>
        <v>231121</v>
      </c>
      <c r="J24" s="17">
        <f>ROUND(G24*$J$6,)</f>
        <v>1959</v>
      </c>
      <c r="K24" s="17">
        <f>ROUND(G24*5%,)</f>
        <v>9793</v>
      </c>
      <c r="L24" s="17"/>
      <c r="M24" s="17"/>
      <c r="N24" s="17">
        <f>H24</f>
        <v>35256</v>
      </c>
      <c r="O24" s="52">
        <v>0</v>
      </c>
      <c r="P24" s="50">
        <f>ROUND(I24-SUM(J24:O24),)</f>
        <v>184113</v>
      </c>
      <c r="Q24" s="2"/>
      <c r="R24" s="16" t="s">
        <v>44</v>
      </c>
      <c r="S24" s="17">
        <v>102245</v>
      </c>
      <c r="T24" s="17"/>
      <c r="U24" s="17"/>
      <c r="V24" s="52"/>
      <c r="W24" s="50">
        <v>102245</v>
      </c>
      <c r="X24" s="63" t="s">
        <v>45</v>
      </c>
    </row>
    <row r="25" spans="1:25" ht="24.9" customHeight="1" x14ac:dyDescent="0.3">
      <c r="A25" s="3">
        <v>52439</v>
      </c>
      <c r="B25" s="73" t="s">
        <v>30</v>
      </c>
      <c r="C25" s="108">
        <v>45134</v>
      </c>
      <c r="D25" s="77">
        <v>13</v>
      </c>
      <c r="E25" s="42">
        <v>119900</v>
      </c>
      <c r="F25" s="17"/>
      <c r="G25" s="17">
        <f>E25-F25</f>
        <v>119900</v>
      </c>
      <c r="H25" s="17">
        <f>ROUND(G25*18%,)</f>
        <v>21582</v>
      </c>
      <c r="I25" s="17">
        <f>ROUND(G25+H25,)</f>
        <v>141482</v>
      </c>
      <c r="J25" s="17">
        <f>ROUND(G25*$J$6,)</f>
        <v>1199</v>
      </c>
      <c r="K25" s="17">
        <f>ROUND(G25*5%,)</f>
        <v>5995</v>
      </c>
      <c r="L25" s="17">
        <f>ROUND(G25*10%,)</f>
        <v>11990</v>
      </c>
      <c r="M25" s="17">
        <f>ROUND(G25*10%,)</f>
        <v>11990</v>
      </c>
      <c r="N25" s="17">
        <f>H25</f>
        <v>21582</v>
      </c>
      <c r="O25" s="52">
        <v>0</v>
      </c>
      <c r="P25" s="50">
        <f>ROUND(I25-SUM(J25:O25),)</f>
        <v>88726</v>
      </c>
      <c r="Q25" s="2"/>
      <c r="R25" s="16" t="s">
        <v>46</v>
      </c>
      <c r="S25" s="17">
        <v>49911</v>
      </c>
      <c r="T25" s="17"/>
      <c r="U25" s="17"/>
      <c r="V25" s="52"/>
      <c r="W25" s="50">
        <f>S25-T25-U25-V25</f>
        <v>49911</v>
      </c>
      <c r="X25" s="63" t="s">
        <v>47</v>
      </c>
    </row>
    <row r="26" spans="1:25" ht="24.9" customHeight="1" x14ac:dyDescent="0.3">
      <c r="A26" s="3">
        <v>52439</v>
      </c>
      <c r="B26" s="73" t="s">
        <v>23</v>
      </c>
      <c r="C26" s="108">
        <v>45174</v>
      </c>
      <c r="D26" s="78" t="s">
        <v>48</v>
      </c>
      <c r="E26" s="42">
        <v>56838</v>
      </c>
      <c r="F26" s="17"/>
      <c r="G26" s="17"/>
      <c r="H26" s="17"/>
      <c r="I26" s="17"/>
      <c r="J26" s="17"/>
      <c r="K26" s="17"/>
      <c r="L26" s="17"/>
      <c r="M26" s="17"/>
      <c r="N26" s="17"/>
      <c r="O26" s="52"/>
      <c r="P26" s="50">
        <f>E26</f>
        <v>56838</v>
      </c>
      <c r="Q26" s="2"/>
      <c r="R26" s="16"/>
      <c r="S26" s="17"/>
      <c r="T26" s="17"/>
      <c r="U26" s="17"/>
      <c r="V26" s="52"/>
      <c r="W26" s="50">
        <v>88727</v>
      </c>
      <c r="X26" s="63" t="s">
        <v>50</v>
      </c>
    </row>
    <row r="27" spans="1:25" ht="24.9" customHeight="1" x14ac:dyDescent="0.3">
      <c r="A27" s="3">
        <v>52439</v>
      </c>
      <c r="B27" s="50" t="s">
        <v>23</v>
      </c>
      <c r="C27" s="108">
        <v>45144</v>
      </c>
      <c r="D27" s="79">
        <v>6</v>
      </c>
      <c r="E27" s="42">
        <v>30890</v>
      </c>
      <c r="F27" s="17"/>
      <c r="G27" s="17"/>
      <c r="H27" s="17"/>
      <c r="I27" s="17"/>
      <c r="J27" s="17"/>
      <c r="K27" s="17"/>
      <c r="L27" s="17"/>
      <c r="M27" s="17"/>
      <c r="N27" s="17"/>
      <c r="O27" s="52"/>
      <c r="P27" s="50">
        <f>E27</f>
        <v>30890</v>
      </c>
      <c r="Q27" s="2"/>
      <c r="R27" s="16"/>
      <c r="S27" s="17"/>
      <c r="T27" s="17"/>
      <c r="U27" s="17"/>
      <c r="V27" s="52"/>
      <c r="W27" s="50">
        <v>184114</v>
      </c>
      <c r="X27" s="63" t="s">
        <v>51</v>
      </c>
    </row>
    <row r="28" spans="1:25" ht="24.9" customHeight="1" x14ac:dyDescent="0.3">
      <c r="A28" s="3">
        <v>52439</v>
      </c>
      <c r="B28" s="50"/>
      <c r="C28" s="108"/>
      <c r="D28" s="50"/>
      <c r="E28" s="42"/>
      <c r="F28" s="17"/>
      <c r="G28" s="17"/>
      <c r="H28" s="17"/>
      <c r="I28" s="17"/>
      <c r="J28" s="17"/>
      <c r="K28" s="17"/>
      <c r="L28" s="17"/>
      <c r="M28" s="17"/>
      <c r="N28" s="17"/>
      <c r="O28" s="52"/>
      <c r="P28" s="50"/>
      <c r="Q28" s="2"/>
      <c r="R28" s="16"/>
      <c r="S28" s="17"/>
      <c r="T28" s="17"/>
      <c r="U28" s="17"/>
      <c r="V28" s="52"/>
      <c r="W28" s="50">
        <v>30890</v>
      </c>
      <c r="X28" s="63" t="s">
        <v>49</v>
      </c>
    </row>
    <row r="29" spans="1:25" ht="24.9" customHeight="1" x14ac:dyDescent="0.3">
      <c r="A29" s="3">
        <v>52439</v>
      </c>
      <c r="B29" s="50"/>
      <c r="C29" s="108"/>
      <c r="D29" s="50"/>
      <c r="E29" s="42"/>
      <c r="F29" s="17"/>
      <c r="G29" s="17"/>
      <c r="H29" s="17"/>
      <c r="I29" s="17"/>
      <c r="J29" s="17"/>
      <c r="K29" s="17"/>
      <c r="L29" s="17"/>
      <c r="M29" s="17"/>
      <c r="N29" s="17"/>
      <c r="O29" s="52"/>
      <c r="P29" s="50"/>
      <c r="Q29" s="2"/>
      <c r="R29" s="16"/>
      <c r="S29" s="17"/>
      <c r="T29" s="17"/>
      <c r="U29" s="17"/>
      <c r="V29" s="52"/>
      <c r="W29" s="50">
        <v>56838</v>
      </c>
      <c r="X29" s="63" t="s">
        <v>52</v>
      </c>
    </row>
    <row r="30" spans="1:25" ht="24.9" customHeight="1" x14ac:dyDescent="0.3">
      <c r="B30" s="50"/>
      <c r="C30" s="108"/>
      <c r="D30" s="50"/>
      <c r="E30" s="42"/>
      <c r="F30" s="17"/>
      <c r="G30" s="17"/>
      <c r="H30" s="17"/>
      <c r="I30" s="17"/>
      <c r="J30" s="17"/>
      <c r="K30" s="17"/>
      <c r="L30" s="17"/>
      <c r="M30" s="17"/>
      <c r="N30" s="17"/>
      <c r="O30" s="52"/>
      <c r="P30" s="50"/>
      <c r="Q30" s="2"/>
      <c r="R30" s="16"/>
      <c r="S30" s="17"/>
      <c r="T30" s="17"/>
      <c r="U30" s="17"/>
      <c r="V30" s="52"/>
      <c r="W30" s="50"/>
      <c r="X30" s="63"/>
      <c r="Y30" s="56">
        <f>SUM(P18:P30)-SUM(W18:W30)</f>
        <v>33826</v>
      </c>
    </row>
    <row r="31" spans="1:25" ht="24.9" customHeight="1" x14ac:dyDescent="0.3">
      <c r="B31" s="50"/>
      <c r="C31" s="108"/>
      <c r="D31" s="50"/>
      <c r="E31" s="42"/>
      <c r="F31" s="17"/>
      <c r="G31" s="17"/>
      <c r="H31" s="17"/>
      <c r="I31" s="17"/>
      <c r="J31" s="17"/>
      <c r="K31" s="17"/>
      <c r="L31" s="17"/>
      <c r="M31" s="17"/>
      <c r="N31" s="17"/>
      <c r="O31" s="52"/>
      <c r="P31" s="50"/>
      <c r="Q31" s="2"/>
      <c r="R31" s="16"/>
      <c r="S31" s="17"/>
      <c r="T31" s="17"/>
      <c r="U31" s="17"/>
      <c r="V31" s="52"/>
      <c r="W31" s="50"/>
      <c r="X31" s="63"/>
    </row>
    <row r="32" spans="1:25" ht="24.9" customHeight="1" thickBot="1" x14ac:dyDescent="0.35">
      <c r="B32" s="74"/>
      <c r="C32" s="109"/>
      <c r="D32" s="74"/>
      <c r="E32" s="75"/>
      <c r="F32" s="32"/>
      <c r="G32" s="32"/>
      <c r="H32" s="19"/>
      <c r="I32" s="19"/>
      <c r="J32" s="19"/>
      <c r="K32" s="19"/>
      <c r="L32" s="19"/>
      <c r="M32" s="19"/>
      <c r="N32" s="19"/>
      <c r="O32" s="60"/>
      <c r="P32" s="66"/>
      <c r="Q32" s="37"/>
      <c r="R32" s="20"/>
      <c r="S32" s="19"/>
      <c r="T32" s="19"/>
      <c r="U32" s="19"/>
      <c r="V32" s="60"/>
      <c r="W32" s="66"/>
      <c r="X32" s="66"/>
    </row>
    <row r="33" spans="1:24" ht="49.5" customHeight="1" x14ac:dyDescent="0.3">
      <c r="B33" s="14"/>
      <c r="C33" s="110"/>
      <c r="D33" s="12"/>
      <c r="E33" s="12"/>
      <c r="F33" s="12"/>
      <c r="G33" s="12"/>
      <c r="H33" s="12"/>
      <c r="I33" s="12"/>
      <c r="J33" s="12"/>
      <c r="K33" s="33">
        <f t="shared" ref="K33:O33" si="1">SUM(K8:K32)</f>
        <v>168958</v>
      </c>
      <c r="L33" s="33">
        <f t="shared" si="1"/>
        <v>235374</v>
      </c>
      <c r="M33" s="33">
        <f t="shared" si="1"/>
        <v>318328</v>
      </c>
      <c r="N33" s="33">
        <f t="shared" si="1"/>
        <v>608247</v>
      </c>
      <c r="O33" s="33">
        <f t="shared" si="1"/>
        <v>310173</v>
      </c>
      <c r="P33" s="33">
        <f>SUM(P8:P32)</f>
        <v>3104601</v>
      </c>
      <c r="Q33" s="38"/>
      <c r="R33" s="39"/>
      <c r="S33" s="25"/>
      <c r="T33" s="25"/>
      <c r="U33" s="25" t="s">
        <v>13</v>
      </c>
      <c r="V33" s="25"/>
      <c r="W33" s="23">
        <f>SUM(W6:W32)</f>
        <v>3070774</v>
      </c>
      <c r="X33" s="18"/>
    </row>
    <row r="34" spans="1:24" ht="24.9" customHeight="1" x14ac:dyDescent="0.3">
      <c r="A34" s="13"/>
      <c r="B34" s="14"/>
      <c r="C34" s="11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82" t="s">
        <v>11</v>
      </c>
      <c r="O34" s="12"/>
      <c r="P34" s="15"/>
      <c r="Q34" s="24"/>
      <c r="R34" s="14"/>
      <c r="S34" s="12"/>
      <c r="T34" s="12"/>
      <c r="U34" s="12"/>
      <c r="V34" s="12"/>
      <c r="W34" s="13"/>
      <c r="X34" s="18"/>
    </row>
    <row r="35" spans="1:24" ht="24.9" customHeight="1" x14ac:dyDescent="0.3">
      <c r="A35" s="13"/>
      <c r="B35" s="14"/>
      <c r="C35" s="1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5"/>
      <c r="Q35" s="24"/>
      <c r="R35" s="14"/>
      <c r="S35" s="12"/>
      <c r="T35" s="12"/>
      <c r="U35" s="25" t="s">
        <v>12</v>
      </c>
      <c r="V35" s="12"/>
      <c r="W35" s="23">
        <f>P33-W33</f>
        <v>33827</v>
      </c>
      <c r="X35" s="18"/>
    </row>
    <row r="36" spans="1:24" ht="24.9" customHeight="1" thickBot="1" x14ac:dyDescent="0.35">
      <c r="A36" s="13"/>
      <c r="B36" s="34"/>
      <c r="C36" s="111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24"/>
      <c r="R36" s="34"/>
      <c r="S36" s="35"/>
      <c r="T36" s="35"/>
      <c r="U36" s="35"/>
      <c r="V36" s="35"/>
      <c r="W36" s="40"/>
      <c r="X36" s="21"/>
    </row>
    <row r="39" spans="1:24" ht="24.9" customHeight="1" x14ac:dyDescent="0.3">
      <c r="J39" s="84" t="s">
        <v>6</v>
      </c>
      <c r="K39" s="85"/>
      <c r="L39" s="85"/>
      <c r="M39" s="86"/>
    </row>
    <row r="40" spans="1:24" ht="24.9" customHeight="1" x14ac:dyDescent="0.3">
      <c r="J40" s="84" t="s">
        <v>59</v>
      </c>
      <c r="K40" s="85"/>
      <c r="L40" s="85"/>
      <c r="M40" s="86"/>
    </row>
    <row r="41" spans="1:24" ht="24.9" customHeight="1" x14ac:dyDescent="0.3">
      <c r="J41" s="87" t="s">
        <v>55</v>
      </c>
      <c r="K41" s="88"/>
      <c r="L41" s="89">
        <f>K33+L33+M33</f>
        <v>722660</v>
      </c>
      <c r="M41" s="88"/>
    </row>
    <row r="42" spans="1:24" ht="24.9" customHeight="1" x14ac:dyDescent="0.3">
      <c r="J42" s="87" t="s">
        <v>56</v>
      </c>
      <c r="K42" s="88"/>
      <c r="L42" s="89">
        <f>O33-P9-P20</f>
        <v>126343</v>
      </c>
      <c r="M42" s="88"/>
    </row>
    <row r="43" spans="1:24" ht="24.9" customHeight="1" x14ac:dyDescent="0.3">
      <c r="J43" s="87" t="s">
        <v>57</v>
      </c>
      <c r="K43" s="88"/>
      <c r="L43" s="89">
        <f>W35</f>
        <v>33827</v>
      </c>
      <c r="M43" s="88"/>
    </row>
    <row r="44" spans="1:24" ht="24.9" customHeight="1" x14ac:dyDescent="0.3">
      <c r="J44" s="87" t="s">
        <v>58</v>
      </c>
      <c r="K44" s="88"/>
      <c r="L44" s="89">
        <f>N33-P27-P26-P23-P21-P12-P10</f>
        <v>0</v>
      </c>
      <c r="M44" s="88"/>
    </row>
  </sheetData>
  <mergeCells count="10">
    <mergeCell ref="J39:M39"/>
    <mergeCell ref="J41:K41"/>
    <mergeCell ref="J42:K42"/>
    <mergeCell ref="J43:K43"/>
    <mergeCell ref="J44:K44"/>
    <mergeCell ref="L41:M41"/>
    <mergeCell ref="L42:M42"/>
    <mergeCell ref="L43:M43"/>
    <mergeCell ref="L44:M44"/>
    <mergeCell ref="J40:M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2025-05-28T11:38:45Z</dcterms:modified>
</cp:coreProperties>
</file>