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Pankaj_File_work\Excel\Pankaj\"/>
    </mc:Choice>
  </mc:AlternateContent>
  <bookViews>
    <workbookView xWindow="0" yWindow="0" windowWidth="28800" windowHeight="13500"/>
  </bookViews>
  <sheets>
    <sheet name="Sheet1" sheetId="1" r:id="rId1"/>
  </sheets>
  <definedNames>
    <definedName name="_xlnm._FilterDatabase" localSheetId="0" hidden="1">Sheet1!$A$1:$A$99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93" i="1" l="1"/>
  <c r="G94" i="1" l="1"/>
  <c r="K94" i="1" s="1"/>
  <c r="M105" i="1"/>
  <c r="H94" i="1" l="1"/>
  <c r="M94" i="1" s="1"/>
  <c r="E95" i="1" s="1"/>
  <c r="N95" i="1" s="1"/>
  <c r="I94" i="1"/>
  <c r="J94" i="1"/>
  <c r="G90" i="1"/>
  <c r="G72" i="1"/>
  <c r="J72" i="1" s="1"/>
  <c r="O89" i="1"/>
  <c r="O85" i="1"/>
  <c r="O79" i="1"/>
  <c r="O74" i="1"/>
  <c r="O69" i="1"/>
  <c r="O64" i="1"/>
  <c r="O59" i="1"/>
  <c r="O54" i="1"/>
  <c r="O49" i="1"/>
  <c r="O44" i="1"/>
  <c r="O39" i="1"/>
  <c r="O34" i="1"/>
  <c r="O28" i="1"/>
  <c r="O24" i="1"/>
  <c r="O18" i="1"/>
  <c r="O12" i="1"/>
  <c r="M78" i="1"/>
  <c r="G68" i="1"/>
  <c r="I68" i="1" s="1"/>
  <c r="N68" i="1" s="1"/>
  <c r="M87" i="1"/>
  <c r="P98" i="1"/>
  <c r="M83" i="1"/>
  <c r="M82" i="1"/>
  <c r="G70" i="1"/>
  <c r="O7" i="1"/>
  <c r="G81" i="1"/>
  <c r="H81" i="1" s="1"/>
  <c r="N94" i="1" l="1"/>
  <c r="R96" i="1" s="1"/>
  <c r="J90" i="1"/>
  <c r="K90" i="1"/>
  <c r="H90" i="1"/>
  <c r="M90" i="1" s="1"/>
  <c r="E91" i="1" s="1"/>
  <c r="N91" i="1" s="1"/>
  <c r="K72" i="1"/>
  <c r="H72" i="1"/>
  <c r="M72" i="1" s="1"/>
  <c r="E73" i="1" s="1"/>
  <c r="G73" i="1" s="1"/>
  <c r="I73" i="1" s="1"/>
  <c r="N73" i="1" s="1"/>
  <c r="J70" i="1"/>
  <c r="K70" i="1"/>
  <c r="H70" i="1"/>
  <c r="M70" i="1" s="1"/>
  <c r="E71" i="1" s="1"/>
  <c r="G71" i="1" s="1"/>
  <c r="I71" i="1" s="1"/>
  <c r="N71" i="1" s="1"/>
  <c r="J81" i="1"/>
  <c r="K81" i="1"/>
  <c r="M81" i="1"/>
  <c r="E83" i="1" s="1"/>
  <c r="G83" i="1" s="1"/>
  <c r="I83" i="1" s="1"/>
  <c r="N83" i="1" s="1"/>
  <c r="I81" i="1"/>
  <c r="G86" i="1"/>
  <c r="K86" i="1" s="1"/>
  <c r="M77" i="1"/>
  <c r="G77" i="1"/>
  <c r="I77" i="1" s="1"/>
  <c r="I90" i="1" l="1"/>
  <c r="N90" i="1" s="1"/>
  <c r="R93" i="1" s="1"/>
  <c r="I72" i="1"/>
  <c r="N72" i="1" s="1"/>
  <c r="I70" i="1"/>
  <c r="N70" i="1" s="1"/>
  <c r="N81" i="1"/>
  <c r="H86" i="1"/>
  <c r="M86" i="1" s="1"/>
  <c r="E87" i="1" s="1"/>
  <c r="G87" i="1" s="1"/>
  <c r="I87" i="1" s="1"/>
  <c r="N87" i="1" s="1"/>
  <c r="J86" i="1"/>
  <c r="N77" i="1"/>
  <c r="E80" i="1"/>
  <c r="G80" i="1" s="1"/>
  <c r="J80" i="1" s="1"/>
  <c r="R74" i="1" l="1"/>
  <c r="I86" i="1"/>
  <c r="N86" i="1" s="1"/>
  <c r="R89" i="1" s="1"/>
  <c r="K80" i="1"/>
  <c r="H80" i="1"/>
  <c r="M80" i="1" s="1"/>
  <c r="E82" i="1" s="1"/>
  <c r="G82" i="1" s="1"/>
  <c r="I82" i="1" s="1"/>
  <c r="N82" i="1" s="1"/>
  <c r="I80" i="1" l="1"/>
  <c r="N80" i="1" s="1"/>
  <c r="R85" i="1" s="1"/>
  <c r="E67" i="1" l="1"/>
  <c r="G67" i="1" s="1"/>
  <c r="H67" i="1" l="1"/>
  <c r="M67" i="1" s="1"/>
  <c r="J67" i="1"/>
  <c r="K67" i="1"/>
  <c r="G66" i="1"/>
  <c r="I66" i="1" s="1"/>
  <c r="N66" i="1" s="1"/>
  <c r="G65" i="1"/>
  <c r="I67" i="1" l="1"/>
  <c r="K65" i="1"/>
  <c r="H65" i="1"/>
  <c r="M65" i="1" s="1"/>
  <c r="J65" i="1"/>
  <c r="N67" i="1" l="1"/>
  <c r="I65" i="1"/>
  <c r="N65" i="1" s="1"/>
  <c r="G76" i="1"/>
  <c r="J76" i="1" s="1"/>
  <c r="R69" i="1" l="1"/>
  <c r="K76" i="1"/>
  <c r="H76" i="1"/>
  <c r="M76" i="1" s="1"/>
  <c r="E78" i="1" s="1"/>
  <c r="G78" i="1" s="1"/>
  <c r="I78" i="1" s="1"/>
  <c r="N78" i="1" s="1"/>
  <c r="I76" i="1" l="1"/>
  <c r="N76" i="1" s="1"/>
  <c r="N58" i="1"/>
  <c r="I58" i="1"/>
  <c r="E57" i="1"/>
  <c r="G57" i="1" s="1"/>
  <c r="N56" i="1"/>
  <c r="E55" i="1"/>
  <c r="G55" i="1" s="1"/>
  <c r="H57" i="1" l="1"/>
  <c r="M57" i="1" s="1"/>
  <c r="J57" i="1"/>
  <c r="K57" i="1"/>
  <c r="J55" i="1"/>
  <c r="H55" i="1"/>
  <c r="M55" i="1" s="1"/>
  <c r="K55" i="1"/>
  <c r="I57" i="1" l="1"/>
  <c r="N57" i="1" s="1"/>
  <c r="I55" i="1"/>
  <c r="N55" i="1" s="1"/>
  <c r="R59" i="1" s="1"/>
  <c r="G75" i="1" l="1"/>
  <c r="H75" i="1" s="1"/>
  <c r="J75" i="1" l="1"/>
  <c r="M75" i="1"/>
  <c r="I75" i="1"/>
  <c r="K75" i="1"/>
  <c r="G53" i="1"/>
  <c r="I53" i="1" s="1"/>
  <c r="N53" i="1" s="1"/>
  <c r="G52" i="1"/>
  <c r="H52" i="1" s="1"/>
  <c r="M52" i="1" s="1"/>
  <c r="N75" i="1" l="1"/>
  <c r="R79" i="1" s="1"/>
  <c r="K52" i="1"/>
  <c r="I52" i="1"/>
  <c r="J52" i="1"/>
  <c r="N52" i="1" l="1"/>
  <c r="N62" i="1" l="1"/>
  <c r="E61" i="1"/>
  <c r="G61" i="1" s="1"/>
  <c r="E60" i="1"/>
  <c r="G60" i="1" s="1"/>
  <c r="H60" i="1" l="1"/>
  <c r="M60" i="1" s="1"/>
  <c r="K60" i="1"/>
  <c r="J60" i="1"/>
  <c r="J61" i="1"/>
  <c r="H61" i="1"/>
  <c r="M61" i="1" s="1"/>
  <c r="E63" i="1" s="1"/>
  <c r="N63" i="1" s="1"/>
  <c r="K61" i="1"/>
  <c r="I61" i="1" l="1"/>
  <c r="N61" i="1" s="1"/>
  <c r="I60" i="1"/>
  <c r="N60" i="1" s="1"/>
  <c r="R64" i="1" s="1"/>
  <c r="N51" i="1" l="1"/>
  <c r="G50" i="1"/>
  <c r="J50" i="1" s="1"/>
  <c r="K50" i="1" l="1"/>
  <c r="H50" i="1"/>
  <c r="M50" i="1" s="1"/>
  <c r="I50" i="1" l="1"/>
  <c r="N50" i="1" s="1"/>
  <c r="R54" i="1" s="1"/>
  <c r="N48" i="1" l="1"/>
  <c r="N47" i="1"/>
  <c r="G46" i="1"/>
  <c r="K46" i="1" s="1"/>
  <c r="E45" i="1"/>
  <c r="G45" i="1" s="1"/>
  <c r="J45" i="1" l="1"/>
  <c r="K45" i="1"/>
  <c r="J46" i="1"/>
  <c r="H45" i="1"/>
  <c r="M45" i="1" s="1"/>
  <c r="H46" i="1"/>
  <c r="M46" i="1" s="1"/>
  <c r="I45" i="1" l="1"/>
  <c r="N45" i="1" s="1"/>
  <c r="I46" i="1"/>
  <c r="N46" i="1" s="1"/>
  <c r="R49" i="1" l="1"/>
  <c r="N43" i="1"/>
  <c r="I43" i="1"/>
  <c r="J43" i="1" s="1"/>
  <c r="F42" i="1"/>
  <c r="E42" i="1"/>
  <c r="M41" i="1"/>
  <c r="E40" i="1"/>
  <c r="G40" i="1" s="1"/>
  <c r="J40" i="1" s="1"/>
  <c r="G42" i="1" l="1"/>
  <c r="H42" i="1" s="1"/>
  <c r="K40" i="1"/>
  <c r="H40" i="1"/>
  <c r="M40" i="1" s="1"/>
  <c r="E41" i="1" s="1"/>
  <c r="G41" i="1" s="1"/>
  <c r="I41" i="1" s="1"/>
  <c r="N41" i="1" s="1"/>
  <c r="J42" i="1" l="1"/>
  <c r="M42" i="1"/>
  <c r="I42" i="1"/>
  <c r="K42" i="1"/>
  <c r="I40" i="1"/>
  <c r="N40" i="1" s="1"/>
  <c r="N42" i="1" l="1"/>
  <c r="R44" i="1" s="1"/>
  <c r="N38" i="1" l="1"/>
  <c r="I38" i="1"/>
  <c r="J38" i="1" s="1"/>
  <c r="E37" i="1"/>
  <c r="G37" i="1" s="1"/>
  <c r="K37" i="1" s="1"/>
  <c r="E35" i="1"/>
  <c r="G35" i="1" s="1"/>
  <c r="K35" i="1" s="1"/>
  <c r="J35" i="1" l="1"/>
  <c r="H35" i="1"/>
  <c r="M35" i="1" s="1"/>
  <c r="E36" i="1" s="1"/>
  <c r="G36" i="1" s="1"/>
  <c r="I36" i="1" s="1"/>
  <c r="N36" i="1" s="1"/>
  <c r="H37" i="1"/>
  <c r="M37" i="1" s="1"/>
  <c r="J37" i="1"/>
  <c r="I37" i="1" l="1"/>
  <c r="N37" i="1" s="1"/>
  <c r="I35" i="1"/>
  <c r="N35" i="1" s="1"/>
  <c r="R39" i="1" s="1"/>
  <c r="N33" i="1" l="1"/>
  <c r="J32" i="1"/>
  <c r="E32" i="1"/>
  <c r="G32" i="1" s="1"/>
  <c r="N32" i="1" s="1"/>
  <c r="E31" i="1"/>
  <c r="G31" i="1" s="1"/>
  <c r="E29" i="1"/>
  <c r="G29" i="1" s="1"/>
  <c r="K29" i="1" s="1"/>
  <c r="K31" i="1" l="1"/>
  <c r="H31" i="1"/>
  <c r="J31" i="1"/>
  <c r="J29" i="1"/>
  <c r="H29" i="1"/>
  <c r="M29" i="1" s="1"/>
  <c r="E30" i="1" s="1"/>
  <c r="G30" i="1" s="1"/>
  <c r="I30" i="1" s="1"/>
  <c r="N30" i="1" s="1"/>
  <c r="M31" i="1"/>
  <c r="I31" i="1" l="1"/>
  <c r="N31" i="1" s="1"/>
  <c r="I29" i="1"/>
  <c r="N29" i="1" s="1"/>
  <c r="R34" i="1" l="1"/>
  <c r="N26" i="1"/>
  <c r="I26" i="1"/>
  <c r="F25" i="1"/>
  <c r="E25" i="1"/>
  <c r="G25" i="1" l="1"/>
  <c r="K25" i="1" s="1"/>
  <c r="H25" i="1" l="1"/>
  <c r="M25" i="1" s="1"/>
  <c r="J25" i="1"/>
  <c r="I25" i="1" l="1"/>
  <c r="N25" i="1" s="1"/>
  <c r="R28" i="1" s="1"/>
  <c r="N22" i="1"/>
  <c r="I22" i="1"/>
  <c r="J22" i="1" s="1"/>
  <c r="G21" i="1"/>
  <c r="M20" i="1"/>
  <c r="F19" i="1"/>
  <c r="E19" i="1"/>
  <c r="H21" i="1" l="1"/>
  <c r="M21" i="1" s="1"/>
  <c r="G19" i="1"/>
  <c r="J21" i="1"/>
  <c r="K21" i="1"/>
  <c r="I21" i="1"/>
  <c r="N21" i="1" l="1"/>
  <c r="H19" i="1"/>
  <c r="M19" i="1" s="1"/>
  <c r="E20" i="1" s="1"/>
  <c r="G20" i="1" s="1"/>
  <c r="I20" i="1" s="1"/>
  <c r="N20" i="1" s="1"/>
  <c r="K19" i="1"/>
  <c r="J19" i="1"/>
  <c r="I19" i="1" l="1"/>
  <c r="N19" i="1" s="1"/>
  <c r="R24" i="1" s="1"/>
  <c r="N14" i="1"/>
  <c r="I14" i="1"/>
  <c r="E13" i="1"/>
  <c r="G13" i="1" s="1"/>
  <c r="J13" i="1" s="1"/>
  <c r="K13" i="1" l="1"/>
  <c r="H13" i="1"/>
  <c r="M13" i="1" s="1"/>
  <c r="I13" i="1" l="1"/>
  <c r="N13" i="1" s="1"/>
  <c r="R18" i="1" s="1"/>
  <c r="E8" i="1" l="1"/>
  <c r="G11" i="1" l="1"/>
  <c r="I11" i="1" s="1"/>
  <c r="J11" i="1" l="1"/>
  <c r="N11" i="1" s="1"/>
  <c r="G10" i="1"/>
  <c r="I10" i="1" s="1"/>
  <c r="J10" i="1" s="1"/>
  <c r="N10" i="1" s="1"/>
  <c r="G8" i="1"/>
  <c r="J8" i="1" l="1"/>
  <c r="J58" i="1" s="1"/>
  <c r="K8" i="1"/>
  <c r="K98" i="1" s="1"/>
  <c r="M104" i="1" s="1"/>
  <c r="H8" i="1"/>
  <c r="M8" i="1" s="1"/>
  <c r="M98" i="1" s="1"/>
  <c r="E9" i="1" l="1"/>
  <c r="N9" i="1" s="1"/>
  <c r="I8" i="1"/>
  <c r="L8" i="1" s="1"/>
  <c r="L98" i="1" s="1"/>
  <c r="M108" i="1" s="1"/>
  <c r="N8" i="1" l="1"/>
  <c r="N98" i="1" l="1"/>
  <c r="P99" i="1" s="1"/>
  <c r="M106" i="1" s="1"/>
  <c r="R12" i="1"/>
  <c r="R98" i="1" s="1"/>
</calcChain>
</file>

<file path=xl/sharedStrings.xml><?xml version="1.0" encoding="utf-8"?>
<sst xmlns="http://schemas.openxmlformats.org/spreadsheetml/2006/main" count="168" uniqueCount="131">
  <si>
    <t>Amount</t>
  </si>
  <si>
    <t>UTR</t>
  </si>
  <si>
    <t>Vinit Khatiyan Enterprises</t>
  </si>
  <si>
    <t>19-07-2022 IFT/IFT22200024717/RIUP22/337/VINIT KHATIYAN ENTE 74250.00</t>
  </si>
  <si>
    <t>03-09-2022 IFT/IFT22246004293/RIUP22/667/VINIT KHATIYAN ENTE 297000.00</t>
  </si>
  <si>
    <t>Dehchand Village Drilling work</t>
  </si>
  <si>
    <t>Hold Amount for excess working as per Work Order</t>
  </si>
  <si>
    <t>GST Release Notw</t>
  </si>
  <si>
    <t>30-09-2022 IFT/IFT22273171696/RIUP22/837/VINIT KHATIYAN ENTE 81522.00</t>
  </si>
  <si>
    <t>03-01-2023 IFT/IFT23003034418/RIUP22/836/VINIT KHAT 54,476.00</t>
  </si>
  <si>
    <t>Bhaisani Village Drilling work</t>
  </si>
  <si>
    <t>GST release note</t>
  </si>
  <si>
    <t>20-08-2022 IFT/IFT22232005687/RIUP22/420/VINIT KHATIYAN ENTE 74250.00</t>
  </si>
  <si>
    <t>26-09-2022 IFT/IFT22269006615/RIUP22/814/VINIT KHATIYAN ENTE 200000.00</t>
  </si>
  <si>
    <t>30-09-2022 IFT/IFT22273171697/RIUP22/835/VINIT KHATIYAN ENTE 50000.00</t>
  </si>
  <si>
    <t>22-11-2022 IFT/IFT22326006142/RIUP22/1284/VINIT KHATIYAN ENT 46369.00</t>
  </si>
  <si>
    <t>22-11-2022 IFT/IFT22326006143/RIUP22/1285/VINIT KHATIYAN ENT 70970.00</t>
  </si>
  <si>
    <t>Bhaisani Village Pump House work</t>
  </si>
  <si>
    <t>GST Release Note</t>
  </si>
  <si>
    <t>14-09-2022 IFT/IFT22257020845/RIUP22/727/VINIT KHATIYAN ENTE 99000.00</t>
  </si>
  <si>
    <t>10-11-2022 IFT/IFT22314019268/RIUP22/1216/VINIT KHATIYAN ENT 200648.00</t>
  </si>
  <si>
    <t>20-12-2022 IFT/IFT22354025830/RIUP22/1570/VINIT KHATIYAN ENT 57380.00</t>
  </si>
  <si>
    <t>31-01-2023 IFT/IFT23031059987/RIUP22/2021/VINIT KHATIYAN ENT 10340.00</t>
  </si>
  <si>
    <t>27-02-2023 IFT/IFT23058023960/RIUP22/2248/VINIT KHATIYAN ENT 1980.00</t>
  </si>
  <si>
    <t>Dehchand Village Pump House work</t>
  </si>
  <si>
    <t>03-09-2022 IFT/IFT22246003962/RIUP22/671/VINIT KHATIYAN ENTE 99000.00</t>
  </si>
  <si>
    <t>22-11-2022 IFT/IFT22326006140/RIUP22/1265/VINIT KHATIYAN ENT 194499.00</t>
  </si>
  <si>
    <t>20-12-2022 IFT/IFT22354025831/RIUP22/1569/VINIT KHATIYAN ENT 59360.00</t>
  </si>
  <si>
    <t>Tazpur Village Pump House work</t>
  </si>
  <si>
    <t>31-12-2022 IFT/IFT22365031249/RIUP22/1716/VINIT KHATIYAN ENT 130580.00</t>
  </si>
  <si>
    <t>31-01-2023 IFT/IFT23031059990/RIUP22/2024/VINIT KHATIYAN ENT 80422.00</t>
  </si>
  <si>
    <t>31-01-2023 IFT/IFT23031059991/RIUP22/2025/VINIT KHATIYAN ENT 39960.00</t>
  </si>
  <si>
    <t>20-02-2023 IFT/IFT23051015377/RIUP22/2200/VINIT KHATIYAN ENT 16264.00</t>
  </si>
  <si>
    <t>04-03-2023 IFT/IFT23063043074/RIUP22/2438/VINIT KHATIYAN ENT 67000.00</t>
  </si>
  <si>
    <t>Faloda Village Pump House work</t>
  </si>
  <si>
    <t>31-12-2022 IFT/IFT22365031242/RIUP22/1703/VINIT KHATIYAN ENT 197580.00</t>
  </si>
  <si>
    <t>31-01-2023 IFT/IFT23031059992/RIUP22/2027/VINIT KHATIYAN ENT 81088.00</t>
  </si>
  <si>
    <t>31-01-2023 IFT/IFT23031059993/RIUP22/2028/VINIT KHATIYAN ENT 39960.00</t>
  </si>
  <si>
    <t>20-02-2023 IFT/IFT23051015379/RIUP22/2201/VINIT KHATIYAN ENT 16400.00</t>
  </si>
  <si>
    <t xml:space="preserve">Khedi Dudhadhari Village -Pump house work </t>
  </si>
  <si>
    <t>31-12-2022 IFT/IFT22365031245/RIUP22/1702/VINIT KHATIYAN ENT 197580.00</t>
  </si>
  <si>
    <t>31-01-2023 IFT/IFT23031059988/RIUP22/2022/VINIT KHATIYAN ENT 100990.00</t>
  </si>
  <si>
    <t>31-01-2023 IFT/IFT23031059989/RIUP22/2023/VINIT KHATIYAN ENT 39960.00</t>
  </si>
  <si>
    <t>20-02-2023 IFT/IFT23051015376/RIUP22/2199/VINIT KHATIYAN ENT 20425.00</t>
  </si>
  <si>
    <t>Nasirpur Village Pump House work</t>
  </si>
  <si>
    <t>16-03-2023 IFT/IFT23075032734/RIUP22/2616/VINIT KHATIYAN ENT ₹ 1,62,441.00</t>
  </si>
  <si>
    <t>29-03-2023 IFT/IFT23088047533/RIUP22/2760/VINIT KHATIYAN ENT 141510.00</t>
  </si>
  <si>
    <t>27-04-2023 IFT/IFT23117052102/SPUP23/0284/VINIT KHATIYAN ENT 61474.00</t>
  </si>
  <si>
    <t xml:space="preserve">Ratanpuri village -Pump house work  </t>
  </si>
  <si>
    <t>29-03-2023 IFT/IFT23088047532/RIUP22/2761/VINIT KHATIYAN ENT 160039.00</t>
  </si>
  <si>
    <t>27-04-2023 IFT/IFT23117052103/SPUP23/0285/VINIT KHATIYAN ENT 32367.00</t>
  </si>
  <si>
    <t>Rasulpur Kalora Village Pump House work</t>
  </si>
  <si>
    <t>08-05-2023 IFT/IFT23128035157/RIUP23/125/VINIT KHATIYAN ENTE ₹ 1,59,710.00</t>
  </si>
  <si>
    <t>29-05-2023 IFT/IFT23149012197/RIUP23/419/VINIT KHATIYAN ENTE 32301.00</t>
  </si>
  <si>
    <t>28-06-2023 IFT/IFT23179012450/RIUP23/869/VINIT KHATIYAN ENTE 28620.00</t>
  </si>
  <si>
    <t>13-06-2023 IFT/IFT23164032241/RIUP23/623/VINIT KHATIYAN ENTE 141510.00</t>
  </si>
  <si>
    <t>Ambarpur Village Pump House work</t>
  </si>
  <si>
    <t>13-06-2023 IFT/IFT23164032242/RIUP23/624/VINIT KHATIYAN ENTE 159710.00</t>
  </si>
  <si>
    <t>19-06-2023 IFT/IFT23170031544/RIUP23/718/VINIT KHATIYAN ENTE 141510.00</t>
  </si>
  <si>
    <t>MOLAHERI VILLAGE</t>
  </si>
  <si>
    <t>FALODA VILLAGE</t>
  </si>
  <si>
    <t>12-09-2023 IFT/IFT23255016180/RIUP23/1949/VINIT KHATIYAN ENT 223983.00</t>
  </si>
  <si>
    <t>28-08-2023 IFT/IFT23240044119/RIUP23/1729/VINIT KHATIYAN ENT 141510.00</t>
  </si>
  <si>
    <t>28-08-2023 IFT/IFT23240044120/RIUP23/1730/VINIT KHATIYAN ENT 28620.00</t>
  </si>
  <si>
    <t>15-07-2023 IFT/IFT23196009457/RIUP23/983/VINIT KHATIYAN ENTE 157788.00</t>
  </si>
  <si>
    <t>GST Releae Note</t>
  </si>
  <si>
    <t>01-08-2023 IFT/IFT23213109358/RIUPP23/1192/VINIT KHATIYAN EN 30215.00</t>
  </si>
  <si>
    <t>GST Release</t>
  </si>
  <si>
    <t>11-10-2023 IFT/IFT23284017592/RIUP23/2586/VINIT KHATIYAN ENT 157657.00</t>
  </si>
  <si>
    <t>30-06-2023 IFT/IFT23181234238/RIUP23/868/VINIT KHATIYAN ENTE 32300.00</t>
  </si>
  <si>
    <t>01-08-2023 IFT/IFT23213109354/RIUPP23/1190/VINIT KHATIYAN EN 28620.00</t>
  </si>
  <si>
    <t>17-10-2023 IFT/IFT23290027944/RIUP23/2667/VINIT KHATIYAN ENT 157788.00</t>
  </si>
  <si>
    <t>15-07-2023 IFT/IFT23196009458/RIUP23/996/VINIT KHATIYAN ENTE 270382.00</t>
  </si>
  <si>
    <t>01-08-2023 IFT/IFT23213109356/RIUPP23/1191/VINIT KHATIYAN EN 51775.00</t>
  </si>
  <si>
    <t>17-10-2023 IFT/IFT23290027942/RIUP23/2666/VINIT KHATIYAN ENT 162794.00</t>
  </si>
  <si>
    <t>Total Paid</t>
  </si>
  <si>
    <t>Balance payable</t>
  </si>
  <si>
    <t>All work</t>
  </si>
  <si>
    <t>09-11-2023 IFT/IFT23313075548/RIUP23/3209/VINIT KHATIYAN ENT 99000.00</t>
  </si>
  <si>
    <t>06-12-2023 IFT/IFT23340017129/RIUP23/3465/VINIT KHATIYAN ENT 31173.00</t>
  </si>
  <si>
    <t>06-12-2023 IFT/IFT23340017130/RIUP23/3294/VINIT KHATIYAN ENT 50460.00</t>
  </si>
  <si>
    <t>10-11-2023 IFT/IFT23314104256/RIUP23/3258/VINIT KHATIYAN ENT 297000.00</t>
  </si>
  <si>
    <t>19-12-2023 IFT/IFT23353019566/RIUP23/3780/VINIT KHATIYAN ENT 73717.00</t>
  </si>
  <si>
    <t>01-11-2023 IFT/IFT23305099583/RIUP23/2925/VINIT KHATIYAN ENT 42890.00</t>
  </si>
  <si>
    <t>Advance Village Wise</t>
  </si>
  <si>
    <t>17-01-2024 IFT/IFT24017021096/RIUP23/3466/VINIT KHATIYAN ENT 30215.00</t>
  </si>
  <si>
    <t>16-01-2024 IFT/IFT24016029401/RIUP23/3464/VINIT KHATIYAN ENT 30190.00</t>
  </si>
  <si>
    <t>17-01-2024 IFT/IFT24017021101/RIUP23/4028/VINIT KHATIYAN ENT 70988.00</t>
  </si>
  <si>
    <t>01-02-2024 IFT/IFT24032098959/RIUP23/4029/VINIT KHATIYAN ENT 28620.00</t>
  </si>
  <si>
    <t>Hold</t>
  </si>
  <si>
    <t xml:space="preserve">Total Debit </t>
  </si>
  <si>
    <t>Advance/ Surplus</t>
  </si>
  <si>
    <t>GST Remaining</t>
  </si>
  <si>
    <t>DPR excess Hold</t>
  </si>
  <si>
    <t>Vinit Khatiyan</t>
  </si>
  <si>
    <t>07-06-2024 IFT/IFT24159123868/RIUP24/0108/VINIT KHATIYAN ENT 200000.00</t>
  </si>
  <si>
    <t>GST</t>
  </si>
  <si>
    <t>16-02-2024 IFT/IFT24047053226/RIUP23/4717A/VINIT KHATIYAN ENT 298650.00</t>
  </si>
  <si>
    <t>26-04-2024 IFT/IFT24117028890/RIUP23/5066/VINIT KHATIYAN ENT 57188.00</t>
  </si>
  <si>
    <t>Approval of only 20000 given excess payment done</t>
  </si>
  <si>
    <t>30-03-2024 IFT/IFT24090189904/RIUP23/4905/VINIT KHATIYAN ENT 47686.00</t>
  </si>
  <si>
    <t>03-08-2024 IFT/IFT24216017343/RIUP24/0964/VINIT KHATIYAN ENT 67158.00</t>
  </si>
  <si>
    <t>23-10-2024 IFT/IFT24297024368/RIUP24/0345/VINIT KHATIYAN ENT 10874.00</t>
  </si>
  <si>
    <t>clear</t>
  </si>
  <si>
    <t>20-12-24 (Nakshatra)</t>
  </si>
  <si>
    <t>19-12-2024 IFT/IFT24354010806/RIUP24/2743/VINIT KHATIYAN ENT 49500.00</t>
  </si>
  <si>
    <t>Subcontractor:</t>
  </si>
  <si>
    <t>State:</t>
  </si>
  <si>
    <t>District:</t>
  </si>
  <si>
    <t>Block:</t>
  </si>
  <si>
    <t>Uttar Pradesh</t>
  </si>
  <si>
    <t>Muzaffarnagar</t>
  </si>
  <si>
    <t>PMC_No</t>
  </si>
  <si>
    <t>Invoice_Details</t>
  </si>
  <si>
    <t>Invoice_Date</t>
  </si>
  <si>
    <t>Invoice_No</t>
  </si>
  <si>
    <t>Basic_Amount</t>
  </si>
  <si>
    <t>Debit_Amount</t>
  </si>
  <si>
    <t>After_Debit_Amount</t>
  </si>
  <si>
    <t>GST_Amount</t>
  </si>
  <si>
    <t>TDS_Amount</t>
  </si>
  <si>
    <t>SD_Amount</t>
  </si>
  <si>
    <t>GST_SD_Amount</t>
  </si>
  <si>
    <t>Final_Amount</t>
  </si>
  <si>
    <t>Total_Amount</t>
  </si>
  <si>
    <t>gst release</t>
  </si>
  <si>
    <t xml:space="preserve"> RASULPUR KAILORA  village - Boundary wall  work  </t>
  </si>
  <si>
    <t>Moolahedi village - Sadar Bloack - PH work</t>
  </si>
  <si>
    <t>Ambeerpurm Matheri Village - Boundary wall  work</t>
  </si>
  <si>
    <t xml:space="preserve">NASEERPUR  VILLAGE BOUNDARY WALL WORK </t>
  </si>
  <si>
    <t xml:space="preserve">Seemli village  - PH work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</si>
</sst>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 * #,##0.00_ ;_ * \-#,##0.00_ ;_ * &quot;-&quot;??_ ;_ @_ "/>
    <numFmt numFmtId="164" formatCode="_(* #,##0.00_);_(* \(#,##0.00\);_(* &quot;-&quot;??_);_(@_)"/>
    <numFmt numFmtId="165" formatCode="_ * #,##0_ ;_ * \-#,##0_ ;_ * &quot;-&quot;??_ ;_ @_ "/>
    <numFmt numFmtId="166" formatCode="&quot;₹&quot;\ #,##0.0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3" tint="0.39997558519241921"/>
      <name val="Comic Sans MS"/>
      <family val="4"/>
    </font>
    <font>
      <sz val="9"/>
      <color theme="1"/>
      <name val="Comic Sans MS"/>
      <family val="4"/>
    </font>
    <font>
      <b/>
      <sz val="9"/>
      <color theme="4" tint="-0.249977111117893"/>
      <name val="Comic Sans MS"/>
      <family val="4"/>
    </font>
    <font>
      <b/>
      <sz val="9"/>
      <color theme="1"/>
      <name val="Comic Sans MS"/>
      <family val="4"/>
    </font>
    <font>
      <sz val="9"/>
      <color rgb="FF333333"/>
      <name val="Verdana"/>
      <family val="2"/>
    </font>
    <font>
      <sz val="11"/>
      <color rgb="FFFF0000"/>
      <name val="Calibri"/>
      <family val="2"/>
      <scheme val="minor"/>
    </font>
    <font>
      <sz val="9"/>
      <color rgb="FFFF0000"/>
      <name val="Comic Sans MS"/>
      <family val="4"/>
    </font>
    <font>
      <b/>
      <sz val="14"/>
      <color theme="1"/>
      <name val="Comic Sans MS"/>
      <family val="4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14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96">
    <xf numFmtId="0" fontId="0" fillId="0" borderId="0" xfId="0"/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43" fontId="0" fillId="2" borderId="0" xfId="1" applyNumberFormat="1" applyFont="1" applyFill="1" applyBorder="1" applyAlignment="1">
      <alignment vertical="center"/>
    </xf>
    <xf numFmtId="43" fontId="3" fillId="2" borderId="0" xfId="1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3" fillId="2" borderId="1" xfId="0" applyFont="1" applyFill="1" applyBorder="1" applyAlignment="1">
      <alignment vertical="center"/>
    </xf>
    <xf numFmtId="43" fontId="3" fillId="2" borderId="0" xfId="1" applyNumberFormat="1" applyFont="1" applyFill="1" applyBorder="1" applyAlignment="1">
      <alignment vertical="center"/>
    </xf>
    <xf numFmtId="0" fontId="4" fillId="2" borderId="0" xfId="0" applyFont="1" applyFill="1" applyAlignment="1">
      <alignment vertical="center"/>
    </xf>
    <xf numFmtId="43" fontId="0" fillId="2" borderId="0" xfId="1" applyNumberFormat="1" applyFont="1" applyFill="1" applyAlignment="1">
      <alignment vertical="center"/>
    </xf>
    <xf numFmtId="0" fontId="0" fillId="2" borderId="0" xfId="0" applyFill="1" applyAlignment="1">
      <alignment vertical="center" wrapText="1"/>
    </xf>
    <xf numFmtId="43" fontId="9" fillId="2" borderId="0" xfId="1" applyNumberFormat="1" applyFont="1" applyFill="1" applyBorder="1" applyAlignment="1">
      <alignment horizontal="center" vertical="center"/>
    </xf>
    <xf numFmtId="43" fontId="2" fillId="2" borderId="2" xfId="1" applyNumberFormat="1" applyFont="1" applyFill="1" applyBorder="1" applyAlignment="1">
      <alignment vertical="center"/>
    </xf>
    <xf numFmtId="0" fontId="0" fillId="2" borderId="4" xfId="0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0" fillId="2" borderId="5" xfId="0" applyFont="1" applyFill="1" applyBorder="1" applyAlignment="1">
      <alignment vertical="center" wrapText="1"/>
    </xf>
    <xf numFmtId="0" fontId="0" fillId="2" borderId="6" xfId="0" applyFill="1" applyBorder="1" applyAlignment="1">
      <alignment vertical="center"/>
    </xf>
    <xf numFmtId="43" fontId="0" fillId="2" borderId="6" xfId="0" applyNumberFormat="1" applyFill="1" applyBorder="1" applyAlignment="1">
      <alignment vertical="center"/>
    </xf>
    <xf numFmtId="43" fontId="0" fillId="4" borderId="6" xfId="0" applyNumberFormat="1" applyFill="1" applyBorder="1" applyAlignment="1">
      <alignment vertical="center"/>
    </xf>
    <xf numFmtId="0" fontId="0" fillId="4" borderId="0" xfId="0" applyFill="1" applyAlignment="1">
      <alignment vertical="center"/>
    </xf>
    <xf numFmtId="14" fontId="0" fillId="2" borderId="0" xfId="0" applyNumberFormat="1" applyFill="1" applyAlignment="1">
      <alignment vertical="center"/>
    </xf>
    <xf numFmtId="0" fontId="5" fillId="2" borderId="5" xfId="0" applyFont="1" applyFill="1" applyBorder="1" applyAlignment="1">
      <alignment horizontal="center" vertical="center" wrapText="1"/>
    </xf>
    <xf numFmtId="43" fontId="3" fillId="2" borderId="6" xfId="1" applyNumberFormat="1" applyFont="1" applyFill="1" applyBorder="1" applyAlignment="1">
      <alignment vertical="center"/>
    </xf>
    <xf numFmtId="0" fontId="3" fillId="2" borderId="6" xfId="1" applyNumberFormat="1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15" fontId="3" fillId="2" borderId="6" xfId="0" applyNumberFormat="1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0" fillId="0" borderId="6" xfId="0" applyBorder="1" applyAlignment="1">
      <alignment vertical="center" wrapText="1"/>
    </xf>
    <xf numFmtId="0" fontId="0" fillId="0" borderId="6" xfId="0" applyBorder="1" applyAlignment="1">
      <alignment vertical="center"/>
    </xf>
    <xf numFmtId="0" fontId="7" fillId="4" borderId="6" xfId="0" applyFont="1" applyFill="1" applyBorder="1" applyAlignment="1">
      <alignment vertical="center"/>
    </xf>
    <xf numFmtId="0" fontId="8" fillId="4" borderId="6" xfId="0" applyFont="1" applyFill="1" applyBorder="1" applyAlignment="1">
      <alignment horizontal="center" vertical="center" wrapText="1"/>
    </xf>
    <xf numFmtId="15" fontId="8" fillId="4" borderId="6" xfId="0" applyNumberFormat="1" applyFont="1" applyFill="1" applyBorder="1" applyAlignment="1">
      <alignment horizontal="center" vertical="center"/>
    </xf>
    <xf numFmtId="0" fontId="8" fillId="4" borderId="6" xfId="0" applyFont="1" applyFill="1" applyBorder="1" applyAlignment="1">
      <alignment horizontal="center" vertical="center"/>
    </xf>
    <xf numFmtId="43" fontId="8" fillId="4" borderId="6" xfId="1" applyNumberFormat="1" applyFont="1" applyFill="1" applyBorder="1" applyAlignment="1">
      <alignment vertical="center"/>
    </xf>
    <xf numFmtId="0" fontId="3" fillId="2" borderId="6" xfId="0" quotePrefix="1" applyFont="1" applyFill="1" applyBorder="1" applyAlignment="1">
      <alignment horizontal="center" vertical="center"/>
    </xf>
    <xf numFmtId="14" fontId="3" fillId="2" borderId="6" xfId="1" applyNumberFormat="1" applyFont="1" applyFill="1" applyBorder="1" applyAlignment="1">
      <alignment vertical="center"/>
    </xf>
    <xf numFmtId="43" fontId="3" fillId="2" borderId="6" xfId="1" applyNumberFormat="1" applyFont="1" applyFill="1" applyBorder="1" applyAlignment="1">
      <alignment horizontal="center" vertical="center"/>
    </xf>
    <xf numFmtId="165" fontId="3" fillId="2" borderId="6" xfId="1" applyNumberFormat="1" applyFont="1" applyFill="1" applyBorder="1" applyAlignment="1">
      <alignment vertical="center"/>
    </xf>
    <xf numFmtId="0" fontId="6" fillId="0" borderId="6" xfId="0" applyFont="1" applyBorder="1" applyAlignment="1">
      <alignment vertical="center"/>
    </xf>
    <xf numFmtId="14" fontId="3" fillId="2" borderId="6" xfId="0" applyNumberFormat="1" applyFont="1" applyFill="1" applyBorder="1" applyAlignment="1">
      <alignment horizontal="center" vertical="center"/>
    </xf>
    <xf numFmtId="43" fontId="3" fillId="2" borderId="6" xfId="1" applyNumberFormat="1" applyFont="1" applyFill="1" applyBorder="1" applyAlignment="1">
      <alignment horizontal="right" vertical="center"/>
    </xf>
    <xf numFmtId="14" fontId="5" fillId="2" borderId="6" xfId="0" applyNumberFormat="1" applyFont="1" applyFill="1" applyBorder="1" applyAlignment="1">
      <alignment horizontal="center" vertical="center" wrapText="1"/>
    </xf>
    <xf numFmtId="0" fontId="0" fillId="2" borderId="7" xfId="0" applyFill="1" applyBorder="1" applyAlignment="1">
      <alignment vertical="center"/>
    </xf>
    <xf numFmtId="43" fontId="3" fillId="2" borderId="7" xfId="1" applyNumberFormat="1" applyFont="1" applyFill="1" applyBorder="1" applyAlignment="1">
      <alignment vertical="center"/>
    </xf>
    <xf numFmtId="0" fontId="3" fillId="2" borderId="7" xfId="1" applyNumberFormat="1" applyFont="1" applyFill="1" applyBorder="1" applyAlignment="1">
      <alignment horizontal="center" vertical="center"/>
    </xf>
    <xf numFmtId="43" fontId="5" fillId="2" borderId="7" xfId="1" applyNumberFormat="1" applyFont="1" applyFill="1" applyBorder="1" applyAlignment="1">
      <alignment vertical="center"/>
    </xf>
    <xf numFmtId="0" fontId="0" fillId="2" borderId="8" xfId="0" applyFill="1" applyBorder="1" applyAlignment="1">
      <alignment vertical="center"/>
    </xf>
    <xf numFmtId="0" fontId="3" fillId="2" borderId="8" xfId="0" applyFont="1" applyFill="1" applyBorder="1" applyAlignment="1">
      <alignment horizontal="center" vertical="center"/>
    </xf>
    <xf numFmtId="14" fontId="3" fillId="2" borderId="8" xfId="0" applyNumberFormat="1" applyFont="1" applyFill="1" applyBorder="1" applyAlignment="1">
      <alignment horizontal="center" vertical="center"/>
    </xf>
    <xf numFmtId="43" fontId="3" fillId="2" borderId="8" xfId="1" applyNumberFormat="1" applyFont="1" applyFill="1" applyBorder="1" applyAlignment="1">
      <alignment horizontal="right" vertical="center"/>
    </xf>
    <xf numFmtId="43" fontId="3" fillId="2" borderId="8" xfId="1" applyNumberFormat="1" applyFont="1" applyFill="1" applyBorder="1" applyAlignment="1">
      <alignment vertical="center"/>
    </xf>
    <xf numFmtId="0" fontId="5" fillId="2" borderId="8" xfId="0" applyFont="1" applyFill="1" applyBorder="1" applyAlignment="1">
      <alignment horizontal="center" vertical="center" wrapText="1"/>
    </xf>
    <xf numFmtId="0" fontId="0" fillId="2" borderId="5" xfId="0" applyFill="1" applyBorder="1" applyAlignment="1">
      <alignment vertical="center"/>
    </xf>
    <xf numFmtId="43" fontId="3" fillId="2" borderId="5" xfId="1" applyNumberFormat="1" applyFont="1" applyFill="1" applyBorder="1" applyAlignment="1">
      <alignment vertical="center"/>
    </xf>
    <xf numFmtId="0" fontId="3" fillId="2" borderId="5" xfId="1" applyNumberFormat="1" applyFont="1" applyFill="1" applyBorder="1" applyAlignment="1">
      <alignment horizontal="center" vertical="center"/>
    </xf>
    <xf numFmtId="43" fontId="5" fillId="2" borderId="5" xfId="1" applyNumberFormat="1" applyFont="1" applyFill="1" applyBorder="1" applyAlignment="1">
      <alignment vertical="center"/>
    </xf>
    <xf numFmtId="0" fontId="0" fillId="4" borderId="9" xfId="0" applyFill="1" applyBorder="1" applyAlignment="1">
      <alignment vertical="center"/>
    </xf>
    <xf numFmtId="43" fontId="3" fillId="4" borderId="9" xfId="1" applyNumberFormat="1" applyFont="1" applyFill="1" applyBorder="1" applyAlignment="1">
      <alignment vertical="center"/>
    </xf>
    <xf numFmtId="0" fontId="3" fillId="4" borderId="9" xfId="1" applyNumberFormat="1" applyFont="1" applyFill="1" applyBorder="1" applyAlignment="1">
      <alignment horizontal="center" vertical="center"/>
    </xf>
    <xf numFmtId="9" fontId="3" fillId="4" borderId="9" xfId="1" applyNumberFormat="1" applyFont="1" applyFill="1" applyBorder="1" applyAlignment="1">
      <alignment vertical="center"/>
    </xf>
    <xf numFmtId="0" fontId="5" fillId="3" borderId="9" xfId="0" applyFont="1" applyFill="1" applyBorder="1" applyAlignment="1">
      <alignment horizontal="center" vertical="center" wrapText="1"/>
    </xf>
    <xf numFmtId="9" fontId="3" fillId="2" borderId="7" xfId="1" applyNumberFormat="1" applyFont="1" applyFill="1" applyBorder="1" applyAlignment="1">
      <alignment vertical="center"/>
    </xf>
    <xf numFmtId="0" fontId="5" fillId="2" borderId="7" xfId="0" applyFont="1" applyFill="1" applyBorder="1" applyAlignment="1">
      <alignment horizontal="center" vertical="center" wrapText="1"/>
    </xf>
    <xf numFmtId="43" fontId="0" fillId="2" borderId="0" xfId="0" applyNumberFormat="1" applyFill="1" applyAlignment="1">
      <alignment vertical="center"/>
    </xf>
    <xf numFmtId="166" fontId="10" fillId="2" borderId="3" xfId="0" applyNumberFormat="1" applyFont="1" applyFill="1" applyBorder="1" applyAlignment="1">
      <alignment vertical="center"/>
    </xf>
    <xf numFmtId="166" fontId="10" fillId="2" borderId="13" xfId="0" applyNumberFormat="1" applyFont="1" applyFill="1" applyBorder="1" applyAlignment="1">
      <alignment vertical="center"/>
    </xf>
    <xf numFmtId="0" fontId="6" fillId="0" borderId="0" xfId="0" applyFont="1" applyAlignment="1">
      <alignment vertical="center"/>
    </xf>
    <xf numFmtId="43" fontId="8" fillId="5" borderId="6" xfId="1" applyNumberFormat="1" applyFont="1" applyFill="1" applyBorder="1" applyAlignment="1">
      <alignment vertical="center"/>
    </xf>
    <xf numFmtId="43" fontId="8" fillId="5" borderId="8" xfId="1" applyNumberFormat="1" applyFont="1" applyFill="1" applyBorder="1" applyAlignment="1">
      <alignment vertical="center"/>
    </xf>
    <xf numFmtId="165" fontId="8" fillId="5" borderId="6" xfId="1" applyNumberFormat="1" applyFont="1" applyFill="1" applyBorder="1" applyAlignment="1">
      <alignment vertical="center"/>
    </xf>
    <xf numFmtId="0" fontId="10" fillId="2" borderId="11" xfId="0" applyFont="1" applyFill="1" applyBorder="1" applyAlignment="1">
      <alignment horizontal="center" vertical="center"/>
    </xf>
    <xf numFmtId="0" fontId="10" fillId="2" borderId="12" xfId="0" applyFont="1" applyFill="1" applyBorder="1" applyAlignment="1">
      <alignment horizontal="center" vertical="center"/>
    </xf>
    <xf numFmtId="43" fontId="11" fillId="2" borderId="10" xfId="2" applyFont="1" applyFill="1" applyBorder="1" applyAlignment="1">
      <alignment horizontal="center" vertical="center"/>
    </xf>
    <xf numFmtId="43" fontId="11" fillId="2" borderId="2" xfId="2" applyFont="1" applyFill="1" applyBorder="1" applyAlignment="1">
      <alignment horizontal="center" vertical="center"/>
    </xf>
    <xf numFmtId="43" fontId="11" fillId="2" borderId="4" xfId="2" applyFont="1" applyFill="1" applyBorder="1" applyAlignment="1">
      <alignment horizontal="center" vertical="center"/>
    </xf>
    <xf numFmtId="14" fontId="12" fillId="2" borderId="10" xfId="0" applyNumberFormat="1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12" fillId="2" borderId="4" xfId="0" applyFont="1" applyFill="1" applyBorder="1" applyAlignment="1">
      <alignment horizontal="center" vertical="center"/>
    </xf>
    <xf numFmtId="0" fontId="10" fillId="2" borderId="10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43" fontId="2" fillId="2" borderId="1" xfId="1" applyNumberFormat="1" applyFont="1" applyFill="1" applyBorder="1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10" fillId="0" borderId="0" xfId="0" applyFont="1"/>
    <xf numFmtId="0" fontId="0" fillId="0" borderId="0" xfId="0" applyFont="1"/>
    <xf numFmtId="0" fontId="10" fillId="2" borderId="5" xfId="0" applyFont="1" applyFill="1" applyBorder="1" applyAlignment="1">
      <alignment vertical="center"/>
    </xf>
    <xf numFmtId="0" fontId="10" fillId="2" borderId="5" xfId="0" applyFont="1" applyFill="1" applyBorder="1" applyAlignment="1">
      <alignment horizontal="center" vertical="center" wrapText="1"/>
    </xf>
    <xf numFmtId="14" fontId="10" fillId="2" borderId="5" xfId="0" applyNumberFormat="1" applyFont="1" applyFill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/>
    </xf>
    <xf numFmtId="43" fontId="13" fillId="2" borderId="5" xfId="2" applyNumberFormat="1" applyFont="1" applyFill="1" applyBorder="1" applyAlignment="1">
      <alignment horizontal="center" vertical="center"/>
    </xf>
    <xf numFmtId="43" fontId="10" fillId="2" borderId="5" xfId="2" applyNumberFormat="1" applyFont="1" applyFill="1" applyBorder="1" applyAlignment="1">
      <alignment horizontal="center" vertical="center"/>
    </xf>
  </cellXfs>
  <cellStyles count="3">
    <cellStyle name="Comma" xfId="1" builtinId="3"/>
    <cellStyle name="Comma 2" xfId="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108"/>
  <sheetViews>
    <sheetView tabSelected="1" topLeftCell="L1" zoomScale="115" zoomScaleNormal="115" workbookViewId="0">
      <pane ySplit="5" topLeftCell="A6" activePane="bottomLeft" state="frozen"/>
      <selection pane="bottomLeft" activeCell="U19" sqref="U18:U19"/>
    </sheetView>
  </sheetViews>
  <sheetFormatPr defaultColWidth="9" defaultRowHeight="15" x14ac:dyDescent="0.25"/>
  <cols>
    <col min="1" max="1" width="7.140625" style="1" bestFit="1" customWidth="1"/>
    <col min="2" max="2" width="37.42578125" style="1" bestFit="1" customWidth="1"/>
    <col min="3" max="3" width="13.42578125" style="1" bestFit="1" customWidth="1"/>
    <col min="4" max="4" width="10.85546875" style="17" customWidth="1"/>
    <col min="5" max="5" width="13.28515625" style="1" bestFit="1" customWidth="1"/>
    <col min="6" max="6" width="12.5703125" style="1" customWidth="1"/>
    <col min="7" max="7" width="13.140625" style="1" customWidth="1"/>
    <col min="8" max="8" width="12" style="9" customWidth="1"/>
    <col min="9" max="9" width="13.7109375" style="9" customWidth="1"/>
    <col min="10" max="10" width="11.85546875" style="1" bestFit="1" customWidth="1"/>
    <col min="11" max="11" width="13.5703125" style="1" customWidth="1"/>
    <col min="12" max="12" width="16.7109375" style="1" customWidth="1"/>
    <col min="13" max="13" width="15.85546875" style="1" customWidth="1"/>
    <col min="14" max="14" width="14.85546875" style="1" customWidth="1"/>
    <col min="15" max="15" width="12.28515625" style="1" bestFit="1" customWidth="1"/>
    <col min="16" max="16" width="15.28515625" style="1" bestFit="1" customWidth="1"/>
    <col min="17" max="17" width="76.28515625" style="1" customWidth="1"/>
    <col min="18" max="18" width="13.28515625" style="1" bestFit="1" customWidth="1"/>
    <col min="19" max="16384" width="9" style="1"/>
  </cols>
  <sheetData>
    <row r="1" spans="1:78" ht="15.75" thickBot="1" x14ac:dyDescent="0.3">
      <c r="A1" s="88" t="s">
        <v>106</v>
      </c>
      <c r="B1" s="1" t="s">
        <v>2</v>
      </c>
      <c r="D1" s="14"/>
      <c r="E1" s="2"/>
      <c r="G1" s="2"/>
      <c r="H1" s="3"/>
      <c r="I1" s="3"/>
    </row>
    <row r="2" spans="1:78" ht="23.25" thickBot="1" x14ac:dyDescent="0.3">
      <c r="A2" s="88" t="s">
        <v>107</v>
      </c>
      <c r="B2" s="89" t="s">
        <v>110</v>
      </c>
      <c r="C2" s="12" t="s">
        <v>2</v>
      </c>
      <c r="D2" s="15"/>
      <c r="E2" s="13"/>
      <c r="H2" s="11" t="s">
        <v>77</v>
      </c>
      <c r="I2" s="4"/>
      <c r="J2" s="5"/>
      <c r="K2" s="5"/>
      <c r="L2" s="5"/>
      <c r="M2" s="5"/>
      <c r="N2" s="5"/>
      <c r="O2" s="5"/>
    </row>
    <row r="3" spans="1:78" ht="23.25" thickBot="1" x14ac:dyDescent="0.3">
      <c r="A3" s="88" t="s">
        <v>108</v>
      </c>
      <c r="B3" s="89" t="s">
        <v>111</v>
      </c>
      <c r="C3" s="85"/>
      <c r="D3" s="86"/>
      <c r="E3" s="87"/>
      <c r="H3" s="11"/>
      <c r="I3" s="4"/>
      <c r="J3" s="5"/>
      <c r="K3" s="5"/>
      <c r="L3" s="5"/>
      <c r="M3" s="5"/>
      <c r="N3" s="5"/>
      <c r="O3" s="5"/>
    </row>
    <row r="4" spans="1:78" ht="15.75" thickBot="1" x14ac:dyDescent="0.3">
      <c r="A4" s="88" t="s">
        <v>109</v>
      </c>
      <c r="B4" s="89" t="s">
        <v>111</v>
      </c>
      <c r="C4" s="6"/>
      <c r="D4" s="16"/>
      <c r="E4" s="6"/>
      <c r="F4" s="5"/>
      <c r="G4" s="5"/>
      <c r="H4" s="7"/>
      <c r="I4" s="7"/>
      <c r="J4" s="5"/>
      <c r="K4" s="5"/>
      <c r="L4" s="5"/>
      <c r="O4" s="23"/>
      <c r="P4" s="8"/>
      <c r="Q4" s="8"/>
    </row>
    <row r="5" spans="1:78" s="10" customFormat="1" ht="40.5" x14ac:dyDescent="0.25">
      <c r="A5" s="90" t="s">
        <v>112</v>
      </c>
      <c r="B5" s="91" t="s">
        <v>113</v>
      </c>
      <c r="C5" s="92" t="s">
        <v>114</v>
      </c>
      <c r="D5" s="93" t="s">
        <v>115</v>
      </c>
      <c r="E5" s="91" t="s">
        <v>116</v>
      </c>
      <c r="F5" s="91" t="s">
        <v>117</v>
      </c>
      <c r="G5" s="93" t="s">
        <v>118</v>
      </c>
      <c r="H5" s="94" t="s">
        <v>119</v>
      </c>
      <c r="I5" s="95" t="s">
        <v>0</v>
      </c>
      <c r="J5" s="91" t="s">
        <v>120</v>
      </c>
      <c r="K5" s="91" t="s">
        <v>121</v>
      </c>
      <c r="L5" s="24" t="s">
        <v>6</v>
      </c>
      <c r="M5" s="91" t="s">
        <v>122</v>
      </c>
      <c r="N5" s="91" t="s">
        <v>123</v>
      </c>
      <c r="O5" s="24"/>
      <c r="P5" s="91" t="s">
        <v>124</v>
      </c>
      <c r="Q5" s="91" t="s">
        <v>1</v>
      </c>
      <c r="R5" s="18" t="s">
        <v>84</v>
      </c>
    </row>
    <row r="6" spans="1:78" ht="15.75" thickBot="1" x14ac:dyDescent="0.3">
      <c r="A6" s="47"/>
      <c r="B6" s="48"/>
      <c r="C6" s="48"/>
      <c r="D6" s="49"/>
      <c r="E6" s="48"/>
      <c r="F6" s="48"/>
      <c r="G6" s="48"/>
      <c r="H6" s="48"/>
      <c r="I6" s="48"/>
      <c r="J6" s="66">
        <v>0.01</v>
      </c>
      <c r="K6" s="66">
        <v>0.05</v>
      </c>
      <c r="L6" s="66"/>
      <c r="M6" s="48"/>
      <c r="N6" s="48"/>
      <c r="O6" s="67"/>
      <c r="P6" s="48"/>
      <c r="Q6" s="48"/>
      <c r="R6" s="47"/>
    </row>
    <row r="7" spans="1:78" s="22" customFormat="1" x14ac:dyDescent="0.25">
      <c r="A7" s="61"/>
      <c r="B7" s="62"/>
      <c r="C7" s="62"/>
      <c r="D7" s="63"/>
      <c r="E7" s="62"/>
      <c r="F7" s="62"/>
      <c r="G7" s="62"/>
      <c r="H7" s="62"/>
      <c r="I7" s="62"/>
      <c r="J7" s="64"/>
      <c r="K7" s="64"/>
      <c r="L7" s="64"/>
      <c r="M7" s="62"/>
      <c r="N7" s="62"/>
      <c r="O7" s="65">
        <f>A8</f>
        <v>51334</v>
      </c>
      <c r="P7" s="62"/>
      <c r="Q7" s="62"/>
      <c r="R7" s="6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</row>
    <row r="8" spans="1:78" x14ac:dyDescent="0.25">
      <c r="A8" s="19">
        <v>51334</v>
      </c>
      <c r="B8" s="29" t="s">
        <v>5</v>
      </c>
      <c r="C8" s="30">
        <v>44789</v>
      </c>
      <c r="D8" s="31">
        <v>2</v>
      </c>
      <c r="E8" s="25">
        <f>129.4*3500</f>
        <v>452900</v>
      </c>
      <c r="F8" s="32">
        <v>0</v>
      </c>
      <c r="G8" s="25">
        <f>E8-F8</f>
        <v>452900</v>
      </c>
      <c r="H8" s="25">
        <f>ROUND(G8*18%,0)</f>
        <v>81522</v>
      </c>
      <c r="I8" s="25">
        <f>G8+H8</f>
        <v>534422</v>
      </c>
      <c r="J8" s="25">
        <f>ROUND(G8*J6,0)</f>
        <v>4529</v>
      </c>
      <c r="K8" s="25">
        <f>ROUND(G8*5%,0)</f>
        <v>22645</v>
      </c>
      <c r="L8" s="25">
        <f>I8/129.4*(129.4-120)</f>
        <v>38822.000000000022</v>
      </c>
      <c r="M8" s="72">
        <f>H8</f>
        <v>81522</v>
      </c>
      <c r="N8" s="25">
        <f>ROUND(I8-SUM(J8:M8),0)</f>
        <v>386904</v>
      </c>
      <c r="O8" s="27"/>
      <c r="P8" s="25">
        <v>74250</v>
      </c>
      <c r="Q8" s="33" t="s">
        <v>3</v>
      </c>
      <c r="R8" s="19"/>
    </row>
    <row r="9" spans="1:78" x14ac:dyDescent="0.25">
      <c r="A9" s="19">
        <v>51334</v>
      </c>
      <c r="B9" s="29" t="s">
        <v>7</v>
      </c>
      <c r="C9" s="30">
        <v>44824</v>
      </c>
      <c r="D9" s="31">
        <v>2</v>
      </c>
      <c r="E9" s="25">
        <f>M8</f>
        <v>81522</v>
      </c>
      <c r="F9" s="25"/>
      <c r="G9" s="25"/>
      <c r="H9" s="25"/>
      <c r="I9" s="25"/>
      <c r="J9" s="25"/>
      <c r="K9" s="25"/>
      <c r="L9" s="25"/>
      <c r="M9" s="25"/>
      <c r="N9" s="72">
        <f>E9</f>
        <v>81522</v>
      </c>
      <c r="O9" s="27"/>
      <c r="P9" s="25">
        <v>297000</v>
      </c>
      <c r="Q9" s="33" t="s">
        <v>4</v>
      </c>
      <c r="R9" s="19"/>
    </row>
    <row r="10" spans="1:78" x14ac:dyDescent="0.25">
      <c r="A10" s="19">
        <v>51334</v>
      </c>
      <c r="B10" s="29"/>
      <c r="C10" s="30"/>
      <c r="D10" s="31"/>
      <c r="E10" s="25"/>
      <c r="F10" s="25">
        <v>0</v>
      </c>
      <c r="G10" s="25">
        <f>E10-F10</f>
        <v>0</v>
      </c>
      <c r="H10" s="25">
        <v>0</v>
      </c>
      <c r="I10" s="25">
        <f>G10+H10</f>
        <v>0</v>
      </c>
      <c r="J10" s="25">
        <f>J6*I10</f>
        <v>0</v>
      </c>
      <c r="K10" s="25"/>
      <c r="L10" s="25"/>
      <c r="M10" s="25"/>
      <c r="N10" s="25">
        <f>I10-SUM(J10:M10)</f>
        <v>0</v>
      </c>
      <c r="O10" s="27"/>
      <c r="P10" s="25">
        <v>81522</v>
      </c>
      <c r="Q10" s="33" t="s">
        <v>8</v>
      </c>
      <c r="R10" s="19"/>
    </row>
    <row r="11" spans="1:78" x14ac:dyDescent="0.25">
      <c r="A11" s="19">
        <v>51334</v>
      </c>
      <c r="B11" s="29"/>
      <c r="C11" s="30"/>
      <c r="D11" s="31"/>
      <c r="E11" s="25"/>
      <c r="F11" s="25">
        <v>0</v>
      </c>
      <c r="G11" s="25">
        <f>E11-F11</f>
        <v>0</v>
      </c>
      <c r="H11" s="25">
        <v>0</v>
      </c>
      <c r="I11" s="25">
        <f>G11+H11</f>
        <v>0</v>
      </c>
      <c r="J11" s="25">
        <f>J$6*I11</f>
        <v>0</v>
      </c>
      <c r="K11" s="25">
        <v>0</v>
      </c>
      <c r="L11" s="25"/>
      <c r="M11" s="25">
        <v>0</v>
      </c>
      <c r="N11" s="25">
        <f>I11-SUM(J11:M11)</f>
        <v>0</v>
      </c>
      <c r="O11" s="27"/>
      <c r="P11" s="25">
        <v>54476</v>
      </c>
      <c r="Q11" s="33" t="s">
        <v>9</v>
      </c>
      <c r="R11" s="20"/>
      <c r="S11" s="1" t="s">
        <v>99</v>
      </c>
    </row>
    <row r="12" spans="1:78" s="22" customFormat="1" x14ac:dyDescent="0.25">
      <c r="A12" s="34"/>
      <c r="B12" s="35"/>
      <c r="C12" s="36"/>
      <c r="D12" s="37"/>
      <c r="E12" s="38"/>
      <c r="F12" s="38"/>
      <c r="G12" s="38"/>
      <c r="H12" s="38"/>
      <c r="I12" s="38"/>
      <c r="J12" s="38"/>
      <c r="K12" s="38"/>
      <c r="L12" s="38"/>
      <c r="M12" s="38"/>
      <c r="N12" s="38"/>
      <c r="O12" s="28">
        <f>A13</f>
        <v>51335</v>
      </c>
      <c r="P12" s="38"/>
      <c r="Q12" s="34"/>
      <c r="R12" s="21">
        <f>SUM(N8:N11,0)-SUM(P8:P11,0)</f>
        <v>-38822</v>
      </c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</row>
    <row r="13" spans="1:78" x14ac:dyDescent="0.25">
      <c r="A13" s="19">
        <v>51335</v>
      </c>
      <c r="B13" s="29" t="s">
        <v>10</v>
      </c>
      <c r="C13" s="30">
        <v>44824</v>
      </c>
      <c r="D13" s="31">
        <v>3</v>
      </c>
      <c r="E13" s="25">
        <f>112.65*3500</f>
        <v>394275</v>
      </c>
      <c r="F13" s="32">
        <v>0</v>
      </c>
      <c r="G13" s="25">
        <f>E13-F13</f>
        <v>394275</v>
      </c>
      <c r="H13" s="25">
        <f>ROUND(G13*18%,0)</f>
        <v>70970</v>
      </c>
      <c r="I13" s="25">
        <f>G13+H13</f>
        <v>465245</v>
      </c>
      <c r="J13" s="25">
        <f>ROUND(G13*1%,0)</f>
        <v>3943</v>
      </c>
      <c r="K13" s="25">
        <f>ROUND(G13*5%,0)</f>
        <v>19714</v>
      </c>
      <c r="L13" s="25"/>
      <c r="M13" s="72">
        <f>H13</f>
        <v>70970</v>
      </c>
      <c r="N13" s="25">
        <f>ROUND(I13-SUM(J13:M13),0)</f>
        <v>370618</v>
      </c>
      <c r="O13" s="27"/>
      <c r="P13" s="25">
        <v>74250</v>
      </c>
      <c r="Q13" s="33" t="s">
        <v>12</v>
      </c>
      <c r="R13" s="19"/>
    </row>
    <row r="14" spans="1:78" x14ac:dyDescent="0.25">
      <c r="A14" s="19">
        <v>51335</v>
      </c>
      <c r="B14" s="29" t="s">
        <v>11</v>
      </c>
      <c r="C14" s="30"/>
      <c r="D14" s="31">
        <v>3</v>
      </c>
      <c r="E14" s="25">
        <v>70970</v>
      </c>
      <c r="F14" s="25">
        <v>0</v>
      </c>
      <c r="G14" s="25">
        <v>0</v>
      </c>
      <c r="H14" s="25">
        <v>0</v>
      </c>
      <c r="I14" s="25">
        <f>G14+H14</f>
        <v>0</v>
      </c>
      <c r="J14" s="25">
        <v>0</v>
      </c>
      <c r="K14" s="25">
        <v>0</v>
      </c>
      <c r="L14" s="25"/>
      <c r="M14" s="25">
        <v>0</v>
      </c>
      <c r="N14" s="72">
        <f>E14</f>
        <v>70970</v>
      </c>
      <c r="O14" s="27"/>
      <c r="P14" s="25">
        <v>200000</v>
      </c>
      <c r="Q14" s="33" t="s">
        <v>13</v>
      </c>
      <c r="R14" s="19"/>
    </row>
    <row r="15" spans="1:78" x14ac:dyDescent="0.25">
      <c r="A15" s="19">
        <v>51335</v>
      </c>
      <c r="B15" s="29"/>
      <c r="C15" s="30"/>
      <c r="D15" s="31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7"/>
      <c r="P15" s="25">
        <v>50000</v>
      </c>
      <c r="Q15" s="33" t="s">
        <v>14</v>
      </c>
      <c r="R15" s="19"/>
    </row>
    <row r="16" spans="1:78" x14ac:dyDescent="0.25">
      <c r="A16" s="19">
        <v>51335</v>
      </c>
      <c r="B16" s="29"/>
      <c r="C16" s="30"/>
      <c r="D16" s="31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7"/>
      <c r="P16" s="25">
        <v>46369</v>
      </c>
      <c r="Q16" s="33" t="s">
        <v>15</v>
      </c>
      <c r="R16" s="20"/>
    </row>
    <row r="17" spans="1:78" x14ac:dyDescent="0.25">
      <c r="A17" s="19">
        <v>51335</v>
      </c>
      <c r="B17" s="29"/>
      <c r="C17" s="30"/>
      <c r="D17" s="31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7"/>
      <c r="P17" s="25">
        <v>70970</v>
      </c>
      <c r="Q17" s="33" t="s">
        <v>16</v>
      </c>
      <c r="R17" s="20"/>
    </row>
    <row r="18" spans="1:78" s="22" customFormat="1" x14ac:dyDescent="0.25">
      <c r="A18" s="34"/>
      <c r="B18" s="35"/>
      <c r="C18" s="36"/>
      <c r="D18" s="37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28">
        <f>A19</f>
        <v>52274</v>
      </c>
      <c r="P18" s="38"/>
      <c r="Q18" s="34"/>
      <c r="R18" s="21">
        <f>SUM(N13:N17,0)-SUM(P13:P17,0)</f>
        <v>-1</v>
      </c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</row>
    <row r="19" spans="1:78" x14ac:dyDescent="0.25">
      <c r="A19" s="19">
        <v>52274</v>
      </c>
      <c r="B19" s="29" t="s">
        <v>17</v>
      </c>
      <c r="C19" s="30">
        <v>44868</v>
      </c>
      <c r="D19" s="39">
        <v>5</v>
      </c>
      <c r="E19" s="25">
        <f>(370000)</f>
        <v>370000</v>
      </c>
      <c r="F19" s="25">
        <f>ROUND((((0.296*64950)*1.18)+((133/1000)*296))+((75*292.97)*1.28)+(75*5),)</f>
        <v>51225</v>
      </c>
      <c r="G19" s="25">
        <f>ROUND(E19-F19,0)</f>
        <v>318775</v>
      </c>
      <c r="H19" s="25">
        <f>ROUND(G19*18%,0)</f>
        <v>57380</v>
      </c>
      <c r="I19" s="25">
        <f>G19+H19</f>
        <v>376155</v>
      </c>
      <c r="J19" s="25">
        <f>G19*$J$6</f>
        <v>3187.75</v>
      </c>
      <c r="K19" s="25">
        <f>G19*$K$6</f>
        <v>15938.75</v>
      </c>
      <c r="L19" s="25"/>
      <c r="M19" s="72">
        <f>H19</f>
        <v>57380</v>
      </c>
      <c r="N19" s="25">
        <f>ROUND(I19-SUM(J19:M19),0)</f>
        <v>299649</v>
      </c>
      <c r="O19" s="27"/>
      <c r="P19" s="25">
        <v>99000</v>
      </c>
      <c r="Q19" s="33" t="s">
        <v>19</v>
      </c>
      <c r="R19" s="19"/>
    </row>
    <row r="20" spans="1:78" x14ac:dyDescent="0.25">
      <c r="A20" s="19">
        <v>52274</v>
      </c>
      <c r="B20" s="29" t="s">
        <v>18</v>
      </c>
      <c r="C20" s="30"/>
      <c r="D20" s="31">
        <v>5</v>
      </c>
      <c r="E20" s="25">
        <f>M19</f>
        <v>57380</v>
      </c>
      <c r="F20" s="25">
        <v>0</v>
      </c>
      <c r="G20" s="25">
        <f>ROUND(E20-F20,0)</f>
        <v>57380</v>
      </c>
      <c r="H20" s="25">
        <v>0</v>
      </c>
      <c r="I20" s="25">
        <f>G20+H20</f>
        <v>57380</v>
      </c>
      <c r="J20" s="25">
        <v>0</v>
      </c>
      <c r="K20" s="25">
        <v>0</v>
      </c>
      <c r="L20" s="25"/>
      <c r="M20" s="25">
        <f>H20</f>
        <v>0</v>
      </c>
      <c r="N20" s="72">
        <f>ROUND(I20-SUM(J20:M20),0)</f>
        <v>57380</v>
      </c>
      <c r="O20" s="27"/>
      <c r="P20" s="25">
        <v>200648</v>
      </c>
      <c r="Q20" s="33" t="s">
        <v>20</v>
      </c>
      <c r="R20" s="20"/>
    </row>
    <row r="21" spans="1:78" x14ac:dyDescent="0.25">
      <c r="A21" s="19">
        <v>52274</v>
      </c>
      <c r="B21" s="29" t="s">
        <v>17</v>
      </c>
      <c r="C21" s="30">
        <v>44951</v>
      </c>
      <c r="D21" s="31">
        <v>9</v>
      </c>
      <c r="E21" s="25">
        <v>11000</v>
      </c>
      <c r="F21" s="25">
        <v>0</v>
      </c>
      <c r="G21" s="25">
        <f>ROUND(E21-F21,0)</f>
        <v>11000</v>
      </c>
      <c r="H21" s="25">
        <f>G21*18%</f>
        <v>1980</v>
      </c>
      <c r="I21" s="25">
        <f>G21+H21</f>
        <v>12980</v>
      </c>
      <c r="J21" s="25">
        <f>G21*$J$6</f>
        <v>110</v>
      </c>
      <c r="K21" s="25">
        <f>G21*$K$6</f>
        <v>550</v>
      </c>
      <c r="L21" s="25"/>
      <c r="M21" s="72">
        <f>H21</f>
        <v>1980</v>
      </c>
      <c r="N21" s="25">
        <f>ROUND(I21-SUM(J21:M21),0)</f>
        <v>10340</v>
      </c>
      <c r="O21" s="27"/>
      <c r="P21" s="25">
        <v>57380</v>
      </c>
      <c r="Q21" s="33" t="s">
        <v>21</v>
      </c>
      <c r="R21" s="20"/>
    </row>
    <row r="22" spans="1:78" x14ac:dyDescent="0.25">
      <c r="A22" s="19">
        <v>52274</v>
      </c>
      <c r="B22" s="29" t="s">
        <v>11</v>
      </c>
      <c r="C22" s="40"/>
      <c r="D22" s="31">
        <v>9</v>
      </c>
      <c r="E22" s="25">
        <v>1980</v>
      </c>
      <c r="F22" s="25"/>
      <c r="G22" s="25">
        <v>0</v>
      </c>
      <c r="H22" s="25">
        <v>0</v>
      </c>
      <c r="I22" s="25">
        <f>G22+H22</f>
        <v>0</v>
      </c>
      <c r="J22" s="25">
        <f>J$6*I22</f>
        <v>0</v>
      </c>
      <c r="K22" s="25">
        <v>0</v>
      </c>
      <c r="L22" s="25"/>
      <c r="M22" s="25">
        <v>0</v>
      </c>
      <c r="N22" s="72">
        <f>E22</f>
        <v>1980</v>
      </c>
      <c r="O22" s="27"/>
      <c r="P22" s="25">
        <v>10340</v>
      </c>
      <c r="Q22" s="33" t="s">
        <v>22</v>
      </c>
      <c r="R22" s="19"/>
    </row>
    <row r="23" spans="1:78" x14ac:dyDescent="0.25">
      <c r="A23" s="19">
        <v>52274</v>
      </c>
      <c r="B23" s="29"/>
      <c r="C23" s="30"/>
      <c r="D23" s="31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7"/>
      <c r="P23" s="25">
        <v>1980</v>
      </c>
      <c r="Q23" s="33" t="s">
        <v>23</v>
      </c>
      <c r="R23" s="20"/>
    </row>
    <row r="24" spans="1:78" s="22" customFormat="1" x14ac:dyDescent="0.25">
      <c r="A24" s="34"/>
      <c r="B24" s="35"/>
      <c r="C24" s="36"/>
      <c r="D24" s="37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28">
        <f>A25</f>
        <v>52279</v>
      </c>
      <c r="P24" s="38"/>
      <c r="Q24" s="34"/>
      <c r="R24" s="21">
        <f>SUM(N19:N23,0)-SUM(P19:P23,0)</f>
        <v>1</v>
      </c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</row>
    <row r="25" spans="1:78" x14ac:dyDescent="0.25">
      <c r="A25" s="19">
        <v>52279</v>
      </c>
      <c r="B25" s="29" t="s">
        <v>24</v>
      </c>
      <c r="C25" s="30">
        <v>44868</v>
      </c>
      <c r="D25" s="39">
        <v>4</v>
      </c>
      <c r="E25" s="25">
        <f>(370000)+(11000)</f>
        <v>381000</v>
      </c>
      <c r="F25" s="25">
        <f>ROUND((((0.296*64950)*1.18)+((133/1000)*296))+((75*292.97)*1.28)+(75*5),)</f>
        <v>51225</v>
      </c>
      <c r="G25" s="25">
        <f>ROUND(E25-F25,0)</f>
        <v>329775</v>
      </c>
      <c r="H25" s="25">
        <f>ROUND(G25*18%,0)</f>
        <v>59360</v>
      </c>
      <c r="I25" s="25">
        <f>G25+H25</f>
        <v>389135</v>
      </c>
      <c r="J25" s="25">
        <f>G25*$J$6</f>
        <v>3297.75</v>
      </c>
      <c r="K25" s="25">
        <f>G25*10%</f>
        <v>32977.5</v>
      </c>
      <c r="L25" s="25"/>
      <c r="M25" s="72">
        <f>H25</f>
        <v>59360</v>
      </c>
      <c r="N25" s="25">
        <f>ROUND(I25-SUM(J25:M25),0)</f>
        <v>293500</v>
      </c>
      <c r="O25" s="27"/>
      <c r="P25" s="25">
        <v>99000</v>
      </c>
      <c r="Q25" s="33" t="s">
        <v>25</v>
      </c>
      <c r="R25" s="19"/>
    </row>
    <row r="26" spans="1:78" x14ac:dyDescent="0.25">
      <c r="A26" s="19">
        <v>52279</v>
      </c>
      <c r="B26" s="29" t="s">
        <v>11</v>
      </c>
      <c r="C26" s="30"/>
      <c r="D26" s="31">
        <v>4</v>
      </c>
      <c r="E26" s="25">
        <v>59360</v>
      </c>
      <c r="F26" s="25"/>
      <c r="G26" s="25">
        <v>0</v>
      </c>
      <c r="H26" s="25">
        <v>0</v>
      </c>
      <c r="I26" s="25">
        <f>G26+H26</f>
        <v>0</v>
      </c>
      <c r="J26" s="25">
        <v>0</v>
      </c>
      <c r="K26" s="25">
        <v>0</v>
      </c>
      <c r="L26" s="25"/>
      <c r="M26" s="25">
        <v>0</v>
      </c>
      <c r="N26" s="72">
        <f>E26</f>
        <v>59360</v>
      </c>
      <c r="O26" s="27"/>
      <c r="P26" s="25">
        <v>194499</v>
      </c>
      <c r="Q26" s="33" t="s">
        <v>26</v>
      </c>
      <c r="R26" s="20"/>
    </row>
    <row r="27" spans="1:78" x14ac:dyDescent="0.25">
      <c r="A27" s="19">
        <v>52279</v>
      </c>
      <c r="B27" s="29"/>
      <c r="C27" s="30"/>
      <c r="D27" s="31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7"/>
      <c r="P27" s="25">
        <v>59360</v>
      </c>
      <c r="Q27" s="33" t="s">
        <v>27</v>
      </c>
      <c r="R27" s="19"/>
    </row>
    <row r="28" spans="1:78" s="22" customFormat="1" x14ac:dyDescent="0.25">
      <c r="A28" s="34"/>
      <c r="B28" s="35"/>
      <c r="C28" s="36"/>
      <c r="D28" s="37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28">
        <f>A29</f>
        <v>53916</v>
      </c>
      <c r="P28" s="38"/>
      <c r="Q28" s="34"/>
      <c r="R28" s="21">
        <f>SUM(N25:N27,0)-SUM(P25:P27,0)</f>
        <v>1</v>
      </c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</row>
    <row r="29" spans="1:78" x14ac:dyDescent="0.25">
      <c r="A29" s="19">
        <v>53916</v>
      </c>
      <c r="B29" s="29" t="s">
        <v>28</v>
      </c>
      <c r="C29" s="30">
        <v>44908</v>
      </c>
      <c r="D29" s="39">
        <v>7</v>
      </c>
      <c r="E29" s="25">
        <f>(370000)*60%</f>
        <v>222000</v>
      </c>
      <c r="F29" s="25">
        <v>0</v>
      </c>
      <c r="G29" s="25">
        <f>ROUND(E29-F29,0)</f>
        <v>222000</v>
      </c>
      <c r="H29" s="25">
        <f>ROUND(G29*18%,0)</f>
        <v>39960</v>
      </c>
      <c r="I29" s="25">
        <f>G29+H29</f>
        <v>261960</v>
      </c>
      <c r="J29" s="25">
        <f>G29*$J$6</f>
        <v>2220</v>
      </c>
      <c r="K29" s="25">
        <f>G29*10%</f>
        <v>22200</v>
      </c>
      <c r="L29" s="25">
        <v>67000</v>
      </c>
      <c r="M29" s="72">
        <f>H29</f>
        <v>39960</v>
      </c>
      <c r="N29" s="25">
        <f>ROUND(I29-SUM(J29:M29),0)</f>
        <v>130580</v>
      </c>
      <c r="O29" s="27"/>
      <c r="P29" s="25">
        <v>130580</v>
      </c>
      <c r="Q29" s="33" t="s">
        <v>29</v>
      </c>
      <c r="R29" s="19"/>
    </row>
    <row r="30" spans="1:78" x14ac:dyDescent="0.25">
      <c r="A30" s="19">
        <v>53916</v>
      </c>
      <c r="B30" s="29" t="s">
        <v>18</v>
      </c>
      <c r="C30" s="30">
        <v>44950</v>
      </c>
      <c r="D30" s="31">
        <v>7</v>
      </c>
      <c r="E30" s="25">
        <f>M29</f>
        <v>39960</v>
      </c>
      <c r="F30" s="25">
        <v>0</v>
      </c>
      <c r="G30" s="25">
        <f>E30-F30</f>
        <v>39960</v>
      </c>
      <c r="H30" s="25">
        <v>0</v>
      </c>
      <c r="I30" s="25">
        <f>G30+H30</f>
        <v>39960</v>
      </c>
      <c r="J30" s="25">
        <v>0</v>
      </c>
      <c r="K30" s="25">
        <v>0</v>
      </c>
      <c r="L30" s="25"/>
      <c r="M30" s="25">
        <v>0</v>
      </c>
      <c r="N30" s="72">
        <f>ROUND(I30-SUM(J30:M30),0)</f>
        <v>39960</v>
      </c>
      <c r="O30" s="27"/>
      <c r="P30" s="25">
        <v>80422</v>
      </c>
      <c r="Q30" s="33" t="s">
        <v>30</v>
      </c>
      <c r="R30" s="19"/>
    </row>
    <row r="31" spans="1:78" x14ac:dyDescent="0.25">
      <c r="A31" s="19">
        <v>53916</v>
      </c>
      <c r="B31" s="29" t="s">
        <v>28</v>
      </c>
      <c r="C31" s="30">
        <v>44951</v>
      </c>
      <c r="D31" s="31">
        <v>12</v>
      </c>
      <c r="E31" s="25">
        <f>(370000*40%)+(11000)</f>
        <v>159000</v>
      </c>
      <c r="F31" s="25">
        <v>68638</v>
      </c>
      <c r="G31" s="25">
        <f>E31-F31</f>
        <v>90362</v>
      </c>
      <c r="H31" s="25">
        <f>G31*18%</f>
        <v>16265.16</v>
      </c>
      <c r="I31" s="25">
        <f>G31+H31</f>
        <v>106627.16</v>
      </c>
      <c r="J31" s="25">
        <f>1%*G31</f>
        <v>903.62</v>
      </c>
      <c r="K31" s="25">
        <f>G31*10%</f>
        <v>9036.2000000000007</v>
      </c>
      <c r="L31" s="25">
        <v>0</v>
      </c>
      <c r="M31" s="72">
        <f>H31</f>
        <v>16265.16</v>
      </c>
      <c r="N31" s="25">
        <f>ROUND(I31-SUM(J31:M31),0)</f>
        <v>80422</v>
      </c>
      <c r="O31" s="27"/>
      <c r="P31" s="25">
        <v>39960</v>
      </c>
      <c r="Q31" s="33" t="s">
        <v>31</v>
      </c>
      <c r="R31" s="19"/>
    </row>
    <row r="32" spans="1:78" x14ac:dyDescent="0.25">
      <c r="A32" s="19">
        <v>53916</v>
      </c>
      <c r="B32" s="29" t="s">
        <v>125</v>
      </c>
      <c r="C32" s="40">
        <v>44963</v>
      </c>
      <c r="D32" s="31">
        <v>12</v>
      </c>
      <c r="E32" s="25">
        <f>L29</f>
        <v>67000</v>
      </c>
      <c r="F32" s="25"/>
      <c r="G32" s="25">
        <f>E32-F32</f>
        <v>67000</v>
      </c>
      <c r="H32" s="25">
        <v>0</v>
      </c>
      <c r="I32" s="25">
        <v>0</v>
      </c>
      <c r="J32" s="25">
        <f>J$6*I32</f>
        <v>0</v>
      </c>
      <c r="K32" s="25">
        <v>0</v>
      </c>
      <c r="L32" s="25"/>
      <c r="M32" s="25">
        <v>0</v>
      </c>
      <c r="N32" s="25">
        <f>G32</f>
        <v>67000</v>
      </c>
      <c r="O32" s="27"/>
      <c r="P32" s="25">
        <v>16264</v>
      </c>
      <c r="Q32" s="33" t="s">
        <v>32</v>
      </c>
      <c r="R32" s="20"/>
    </row>
    <row r="33" spans="1:78" x14ac:dyDescent="0.25">
      <c r="A33" s="19">
        <v>53916</v>
      </c>
      <c r="B33" s="41" t="s">
        <v>18</v>
      </c>
      <c r="C33" s="25"/>
      <c r="D33" s="26">
        <v>12</v>
      </c>
      <c r="E33" s="25">
        <v>16265</v>
      </c>
      <c r="F33" s="25"/>
      <c r="G33" s="25"/>
      <c r="H33" s="25"/>
      <c r="I33" s="25"/>
      <c r="J33" s="25"/>
      <c r="K33" s="25"/>
      <c r="L33" s="25"/>
      <c r="M33" s="25"/>
      <c r="N33" s="72">
        <f>E33</f>
        <v>16265</v>
      </c>
      <c r="O33" s="27"/>
      <c r="P33" s="25">
        <v>67000</v>
      </c>
      <c r="Q33" s="33" t="s">
        <v>33</v>
      </c>
      <c r="R33" s="19"/>
    </row>
    <row r="34" spans="1:78" s="22" customFormat="1" x14ac:dyDescent="0.25">
      <c r="A34" s="34"/>
      <c r="B34" s="35"/>
      <c r="C34" s="36"/>
      <c r="D34" s="37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28">
        <f>A35</f>
        <v>53917</v>
      </c>
      <c r="P34" s="38"/>
      <c r="Q34" s="34"/>
      <c r="R34" s="21">
        <f>SUM(N29:N33,0)-SUM(P29:P33,0)</f>
        <v>1</v>
      </c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</row>
    <row r="35" spans="1:78" x14ac:dyDescent="0.25">
      <c r="A35" s="19">
        <v>53917</v>
      </c>
      <c r="B35" s="29" t="s">
        <v>34</v>
      </c>
      <c r="C35" s="30">
        <v>44901</v>
      </c>
      <c r="D35" s="39">
        <v>6</v>
      </c>
      <c r="E35" s="25">
        <f>(370000)*60%</f>
        <v>222000</v>
      </c>
      <c r="F35" s="25">
        <v>0</v>
      </c>
      <c r="G35" s="25">
        <f>ROUND(E35-F35,0)</f>
        <v>222000</v>
      </c>
      <c r="H35" s="25">
        <f>ROUND(G35*18%,0)</f>
        <v>39960</v>
      </c>
      <c r="I35" s="25">
        <f>G35+H35</f>
        <v>261960</v>
      </c>
      <c r="J35" s="25">
        <f>G35*1%</f>
        <v>2220</v>
      </c>
      <c r="K35" s="25">
        <f>G35*10%</f>
        <v>22200</v>
      </c>
      <c r="L35" s="25">
        <v>0</v>
      </c>
      <c r="M35" s="72">
        <f>H35</f>
        <v>39960</v>
      </c>
      <c r="N35" s="25">
        <f>ROUND(I35-SUM(J35:M35),0)</f>
        <v>197580</v>
      </c>
      <c r="O35" s="27"/>
      <c r="P35" s="25">
        <v>197580</v>
      </c>
      <c r="Q35" s="33" t="s">
        <v>35</v>
      </c>
      <c r="R35" s="19"/>
    </row>
    <row r="36" spans="1:78" x14ac:dyDescent="0.25">
      <c r="A36" s="19">
        <v>53917</v>
      </c>
      <c r="B36" s="29" t="s">
        <v>18</v>
      </c>
      <c r="C36" s="30">
        <v>44950</v>
      </c>
      <c r="D36" s="31">
        <v>6</v>
      </c>
      <c r="E36" s="25">
        <f>M35</f>
        <v>39960</v>
      </c>
      <c r="F36" s="25">
        <v>0</v>
      </c>
      <c r="G36" s="25">
        <f>E36-F36</f>
        <v>39960</v>
      </c>
      <c r="H36" s="25">
        <v>0</v>
      </c>
      <c r="I36" s="25">
        <f>G36+H36</f>
        <v>39960</v>
      </c>
      <c r="J36" s="25">
        <v>0</v>
      </c>
      <c r="K36" s="25">
        <v>0</v>
      </c>
      <c r="L36" s="25"/>
      <c r="M36" s="25">
        <v>0</v>
      </c>
      <c r="N36" s="72">
        <f>ROUND(I36-SUM(J36:M36),0)</f>
        <v>39960</v>
      </c>
      <c r="O36" s="27"/>
      <c r="P36" s="25">
        <v>81088</v>
      </c>
      <c r="Q36" s="33" t="s">
        <v>36</v>
      </c>
      <c r="R36" s="20"/>
    </row>
    <row r="37" spans="1:78" x14ac:dyDescent="0.25">
      <c r="A37" s="19">
        <v>53917</v>
      </c>
      <c r="B37" s="29" t="s">
        <v>34</v>
      </c>
      <c r="C37" s="30">
        <v>44953</v>
      </c>
      <c r="D37" s="31">
        <v>13</v>
      </c>
      <c r="E37" s="25">
        <f>(370000*40%)+(11000)</f>
        <v>159000</v>
      </c>
      <c r="F37" s="25">
        <v>67890</v>
      </c>
      <c r="G37" s="25">
        <f>E37-F37</f>
        <v>91110</v>
      </c>
      <c r="H37" s="25">
        <f>ROUND(G37*18%,0)</f>
        <v>16400</v>
      </c>
      <c r="I37" s="25">
        <f>G37+H37</f>
        <v>107510</v>
      </c>
      <c r="J37" s="25">
        <f>G37*$J$6</f>
        <v>911.1</v>
      </c>
      <c r="K37" s="25">
        <f>G37*10%</f>
        <v>9111</v>
      </c>
      <c r="L37" s="25">
        <v>0</v>
      </c>
      <c r="M37" s="72">
        <f>H37</f>
        <v>16400</v>
      </c>
      <c r="N37" s="25">
        <f>ROUND(I37-SUM(J37:M37),0)</f>
        <v>81088</v>
      </c>
      <c r="O37" s="27"/>
      <c r="P37" s="25">
        <v>39960</v>
      </c>
      <c r="Q37" s="33" t="s">
        <v>37</v>
      </c>
      <c r="R37" s="20"/>
    </row>
    <row r="38" spans="1:78" x14ac:dyDescent="0.25">
      <c r="A38" s="19">
        <v>53917</v>
      </c>
      <c r="B38" s="29" t="s">
        <v>11</v>
      </c>
      <c r="C38" s="40"/>
      <c r="D38" s="31">
        <v>13</v>
      </c>
      <c r="E38" s="25">
        <v>16400</v>
      </c>
      <c r="F38" s="25"/>
      <c r="G38" s="25">
        <v>0</v>
      </c>
      <c r="H38" s="25">
        <v>0</v>
      </c>
      <c r="I38" s="25">
        <f>G38+H38</f>
        <v>0</v>
      </c>
      <c r="J38" s="25">
        <f>J$6*I38</f>
        <v>0</v>
      </c>
      <c r="K38" s="25">
        <v>0</v>
      </c>
      <c r="L38" s="25"/>
      <c r="M38" s="25">
        <v>0</v>
      </c>
      <c r="N38" s="72">
        <f>E38</f>
        <v>16400</v>
      </c>
      <c r="O38" s="27"/>
      <c r="P38" s="25">
        <v>16400</v>
      </c>
      <c r="Q38" s="33" t="s">
        <v>38</v>
      </c>
      <c r="R38" s="19"/>
    </row>
    <row r="39" spans="1:78" s="22" customFormat="1" x14ac:dyDescent="0.25">
      <c r="A39" s="34"/>
      <c r="B39" s="35"/>
      <c r="C39" s="36"/>
      <c r="D39" s="37"/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28">
        <f>A40</f>
        <v>54204</v>
      </c>
      <c r="P39" s="38"/>
      <c r="Q39" s="34"/>
      <c r="R39" s="21">
        <f>SUM(N35:N38,0)-SUM(P35:P38,0)</f>
        <v>0</v>
      </c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</row>
    <row r="40" spans="1:78" x14ac:dyDescent="0.25">
      <c r="A40" s="19">
        <v>54204</v>
      </c>
      <c r="B40" s="29" t="s">
        <v>39</v>
      </c>
      <c r="C40" s="30">
        <v>44917</v>
      </c>
      <c r="D40" s="31">
        <v>8</v>
      </c>
      <c r="E40" s="25">
        <f>370000*60%</f>
        <v>222000</v>
      </c>
      <c r="F40" s="25">
        <v>0</v>
      </c>
      <c r="G40" s="25">
        <f>E40-F40</f>
        <v>222000</v>
      </c>
      <c r="H40" s="25">
        <f>ROUND(G40*18%,0)</f>
        <v>39960</v>
      </c>
      <c r="I40" s="25">
        <f>G40+H40</f>
        <v>261960</v>
      </c>
      <c r="J40" s="25">
        <f>ROUND(G40*$J$6,0)</f>
        <v>2220</v>
      </c>
      <c r="K40" s="25">
        <f>ROUND(G40*10%,0)</f>
        <v>22200</v>
      </c>
      <c r="L40" s="25"/>
      <c r="M40" s="72">
        <f>H40</f>
        <v>39960</v>
      </c>
      <c r="N40" s="25">
        <f>ROUND(I40-SUM(J40:M40),)</f>
        <v>197580</v>
      </c>
      <c r="O40" s="27"/>
      <c r="P40" s="25">
        <v>197580</v>
      </c>
      <c r="Q40" s="33" t="s">
        <v>40</v>
      </c>
      <c r="R40" s="19"/>
    </row>
    <row r="41" spans="1:78" x14ac:dyDescent="0.25">
      <c r="A41" s="19">
        <v>54204</v>
      </c>
      <c r="B41" s="29" t="s">
        <v>18</v>
      </c>
      <c r="C41" s="30">
        <v>44950</v>
      </c>
      <c r="D41" s="31">
        <v>8</v>
      </c>
      <c r="E41" s="25">
        <f>M40</f>
        <v>39960</v>
      </c>
      <c r="F41" s="25">
        <v>0</v>
      </c>
      <c r="G41" s="25">
        <f>E41-F41</f>
        <v>39960</v>
      </c>
      <c r="H41" s="25">
        <v>0</v>
      </c>
      <c r="I41" s="25">
        <f>G41+H41</f>
        <v>39960</v>
      </c>
      <c r="J41" s="25">
        <v>0</v>
      </c>
      <c r="K41" s="25">
        <v>0</v>
      </c>
      <c r="L41" s="25"/>
      <c r="M41" s="25">
        <f>H41</f>
        <v>0</v>
      </c>
      <c r="N41" s="72">
        <f>ROUND(I41-SUM(J41:M41),)</f>
        <v>39960</v>
      </c>
      <c r="O41" s="27"/>
      <c r="P41" s="25">
        <v>100990</v>
      </c>
      <c r="Q41" s="33" t="s">
        <v>41</v>
      </c>
      <c r="R41" s="19"/>
    </row>
    <row r="42" spans="1:78" x14ac:dyDescent="0.25">
      <c r="A42" s="19">
        <v>54204</v>
      </c>
      <c r="B42" s="29" t="s">
        <v>39</v>
      </c>
      <c r="C42" s="30">
        <v>44951</v>
      </c>
      <c r="D42" s="31">
        <v>11</v>
      </c>
      <c r="E42" s="25">
        <f>(370000*40%)+(11000)</f>
        <v>159000</v>
      </c>
      <c r="F42" s="25">
        <f>26528+19000</f>
        <v>45528</v>
      </c>
      <c r="G42" s="25">
        <f>E42-F42</f>
        <v>113472</v>
      </c>
      <c r="H42" s="25">
        <f>ROUND(G42*18%,0)</f>
        <v>20425</v>
      </c>
      <c r="I42" s="25">
        <f>G42+H42</f>
        <v>133897</v>
      </c>
      <c r="J42" s="25">
        <f>ROUND(G42*$J$6,0)</f>
        <v>1135</v>
      </c>
      <c r="K42" s="25">
        <f>ROUND(G42*10%,0)</f>
        <v>11347</v>
      </c>
      <c r="L42" s="25"/>
      <c r="M42" s="72">
        <f>H42</f>
        <v>20425</v>
      </c>
      <c r="N42" s="25">
        <f>ROUND(I42-SUM(J42:M42),)</f>
        <v>100990</v>
      </c>
      <c r="O42" s="27"/>
      <c r="P42" s="25">
        <v>39960</v>
      </c>
      <c r="Q42" s="33" t="s">
        <v>42</v>
      </c>
      <c r="R42" s="20"/>
    </row>
    <row r="43" spans="1:78" x14ac:dyDescent="0.25">
      <c r="A43" s="19">
        <v>54204</v>
      </c>
      <c r="B43" s="29" t="s">
        <v>11</v>
      </c>
      <c r="C43" s="30"/>
      <c r="D43" s="31">
        <v>11</v>
      </c>
      <c r="E43" s="25">
        <v>20425</v>
      </c>
      <c r="F43" s="25">
        <v>0</v>
      </c>
      <c r="G43" s="25">
        <v>0</v>
      </c>
      <c r="H43" s="25">
        <v>0</v>
      </c>
      <c r="I43" s="25">
        <f>G43+H43</f>
        <v>0</v>
      </c>
      <c r="J43" s="25">
        <f>J$6*I43</f>
        <v>0</v>
      </c>
      <c r="K43" s="25">
        <v>0</v>
      </c>
      <c r="L43" s="25"/>
      <c r="M43" s="25">
        <v>0</v>
      </c>
      <c r="N43" s="72">
        <f>E43</f>
        <v>20425</v>
      </c>
      <c r="O43" s="27"/>
      <c r="P43" s="25">
        <v>20425</v>
      </c>
      <c r="Q43" s="33" t="s">
        <v>43</v>
      </c>
      <c r="R43" s="19"/>
    </row>
    <row r="44" spans="1:78" s="22" customFormat="1" x14ac:dyDescent="0.25">
      <c r="A44" s="34"/>
      <c r="B44" s="35"/>
      <c r="C44" s="36"/>
      <c r="D44" s="37"/>
      <c r="E44" s="38"/>
      <c r="F44" s="38"/>
      <c r="G44" s="38"/>
      <c r="H44" s="38"/>
      <c r="I44" s="38"/>
      <c r="J44" s="38"/>
      <c r="K44" s="38"/>
      <c r="L44" s="38"/>
      <c r="M44" s="38"/>
      <c r="N44" s="38"/>
      <c r="O44" s="28">
        <f>A45</f>
        <v>55619</v>
      </c>
      <c r="P44" s="38"/>
      <c r="Q44" s="34"/>
      <c r="R44" s="21">
        <f>SUM(N40:N43,0)-SUM(P40:P43,0)</f>
        <v>0</v>
      </c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</row>
    <row r="45" spans="1:78" x14ac:dyDescent="0.25">
      <c r="A45" s="19">
        <v>55619</v>
      </c>
      <c r="B45" s="29" t="s">
        <v>44</v>
      </c>
      <c r="C45" s="30">
        <v>44995</v>
      </c>
      <c r="D45" s="39">
        <v>14</v>
      </c>
      <c r="E45" s="25">
        <f>370000*60%</f>
        <v>222000</v>
      </c>
      <c r="F45" s="25">
        <v>39482</v>
      </c>
      <c r="G45" s="25">
        <f>ROUND(E45-F45,0)</f>
        <v>182518</v>
      </c>
      <c r="H45" s="25">
        <f>ROUND(G45*18%,0)</f>
        <v>32853</v>
      </c>
      <c r="I45" s="25">
        <f>G45+H45</f>
        <v>215371</v>
      </c>
      <c r="J45" s="25">
        <f>G45*1%</f>
        <v>1825.18</v>
      </c>
      <c r="K45" s="25">
        <f>G45*5%</f>
        <v>9125.9</v>
      </c>
      <c r="L45" s="25">
        <v>9125.9</v>
      </c>
      <c r="M45" s="72">
        <f>H45</f>
        <v>32853</v>
      </c>
      <c r="N45" s="25">
        <f>ROUND(I45-SUM(J45:M45),0)</f>
        <v>162441</v>
      </c>
      <c r="O45" s="27"/>
      <c r="P45" s="25">
        <v>162441</v>
      </c>
      <c r="Q45" s="33" t="s">
        <v>45</v>
      </c>
      <c r="R45" s="19"/>
    </row>
    <row r="46" spans="1:78" x14ac:dyDescent="0.25">
      <c r="A46" s="19">
        <v>55619</v>
      </c>
      <c r="B46" s="29" t="s">
        <v>44</v>
      </c>
      <c r="C46" s="30">
        <v>45012</v>
      </c>
      <c r="D46" s="39">
        <v>16</v>
      </c>
      <c r="E46" s="25">
        <v>159000</v>
      </c>
      <c r="F46" s="25"/>
      <c r="G46" s="25">
        <f>ROUND(E46-F46,0)</f>
        <v>159000</v>
      </c>
      <c r="H46" s="25">
        <f>ROUND(G46*18%,0)</f>
        <v>28620</v>
      </c>
      <c r="I46" s="25">
        <f>G46+H46</f>
        <v>187620</v>
      </c>
      <c r="J46" s="25">
        <f>G46*1%</f>
        <v>1590</v>
      </c>
      <c r="K46" s="25">
        <f>G46*10%</f>
        <v>15900</v>
      </c>
      <c r="L46" s="25"/>
      <c r="M46" s="72">
        <f>H46</f>
        <v>28620</v>
      </c>
      <c r="N46" s="25">
        <f>ROUND(I46-SUM(J46:M46),0)</f>
        <v>141510</v>
      </c>
      <c r="O46" s="27"/>
      <c r="P46" s="25">
        <v>141510</v>
      </c>
      <c r="Q46" s="33" t="s">
        <v>46</v>
      </c>
      <c r="R46" s="20"/>
    </row>
    <row r="47" spans="1:78" x14ac:dyDescent="0.25">
      <c r="A47" s="19">
        <v>55619</v>
      </c>
      <c r="B47" s="29" t="s">
        <v>11</v>
      </c>
      <c r="C47" s="30"/>
      <c r="D47" s="31">
        <v>14</v>
      </c>
      <c r="E47" s="25">
        <v>32853</v>
      </c>
      <c r="F47" s="25"/>
      <c r="G47" s="25"/>
      <c r="H47" s="25"/>
      <c r="I47" s="25"/>
      <c r="J47" s="25"/>
      <c r="K47" s="25"/>
      <c r="L47" s="25"/>
      <c r="M47" s="25"/>
      <c r="N47" s="72">
        <f>E47</f>
        <v>32853</v>
      </c>
      <c r="O47" s="27"/>
      <c r="P47" s="25">
        <v>61474</v>
      </c>
      <c r="Q47" s="33" t="s">
        <v>47</v>
      </c>
      <c r="R47" s="19"/>
    </row>
    <row r="48" spans="1:78" x14ac:dyDescent="0.25">
      <c r="A48" s="19">
        <v>55619</v>
      </c>
      <c r="B48" s="29" t="s">
        <v>11</v>
      </c>
      <c r="C48" s="30"/>
      <c r="D48" s="31">
        <v>16</v>
      </c>
      <c r="E48" s="25">
        <v>28620</v>
      </c>
      <c r="F48" s="25"/>
      <c r="G48" s="25"/>
      <c r="H48" s="25"/>
      <c r="I48" s="25"/>
      <c r="J48" s="25"/>
      <c r="K48" s="25"/>
      <c r="L48" s="25"/>
      <c r="M48" s="25"/>
      <c r="N48" s="72">
        <f>E48</f>
        <v>28620</v>
      </c>
      <c r="O48" s="27"/>
      <c r="P48" s="25"/>
      <c r="Q48" s="33"/>
      <c r="R48" s="19"/>
    </row>
    <row r="49" spans="1:78" s="22" customFormat="1" x14ac:dyDescent="0.25">
      <c r="A49" s="34"/>
      <c r="B49" s="35"/>
      <c r="C49" s="36"/>
      <c r="D49" s="37"/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28">
        <f>A50</f>
        <v>56003</v>
      </c>
      <c r="P49" s="38"/>
      <c r="Q49" s="34"/>
      <c r="R49" s="21">
        <f>SUM(N45:N48,0)-SUM(P45:P48,0)</f>
        <v>-1</v>
      </c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</row>
    <row r="50" spans="1:78" x14ac:dyDescent="0.25">
      <c r="A50" s="19">
        <v>56003</v>
      </c>
      <c r="B50" s="29" t="s">
        <v>48</v>
      </c>
      <c r="C50" s="30">
        <v>45008</v>
      </c>
      <c r="D50" s="31">
        <v>15</v>
      </c>
      <c r="E50" s="25">
        <v>222000</v>
      </c>
      <c r="F50" s="25">
        <v>42181</v>
      </c>
      <c r="G50" s="25">
        <f>E50-F50</f>
        <v>179819</v>
      </c>
      <c r="H50" s="42">
        <f>G50*18%</f>
        <v>32367.42</v>
      </c>
      <c r="I50" s="42">
        <f>G50+H50</f>
        <v>212186.41999999998</v>
      </c>
      <c r="J50" s="42">
        <f>G50*1%</f>
        <v>1798.19</v>
      </c>
      <c r="K50" s="42">
        <f>G50*10%</f>
        <v>17981.900000000001</v>
      </c>
      <c r="L50" s="42"/>
      <c r="M50" s="74">
        <f>H50</f>
        <v>32367.42</v>
      </c>
      <c r="N50" s="42">
        <f>I50-J50-K50-M50</f>
        <v>160038.90999999997</v>
      </c>
      <c r="O50" s="27"/>
      <c r="P50" s="25">
        <v>160039</v>
      </c>
      <c r="Q50" s="25" t="s">
        <v>49</v>
      </c>
      <c r="R50" s="19"/>
    </row>
    <row r="51" spans="1:78" x14ac:dyDescent="0.25">
      <c r="A51" s="19">
        <v>56003</v>
      </c>
      <c r="B51" s="29" t="s">
        <v>11</v>
      </c>
      <c r="C51" s="30"/>
      <c r="D51" s="31">
        <v>15</v>
      </c>
      <c r="E51" s="25">
        <v>32367</v>
      </c>
      <c r="F51" s="25"/>
      <c r="G51" s="25"/>
      <c r="H51" s="25"/>
      <c r="I51" s="25"/>
      <c r="J51" s="25"/>
      <c r="K51" s="25"/>
      <c r="L51" s="25"/>
      <c r="M51" s="25"/>
      <c r="N51" s="72">
        <f>E51</f>
        <v>32367</v>
      </c>
      <c r="O51" s="27"/>
      <c r="P51" s="25">
        <v>32367</v>
      </c>
      <c r="Q51" s="25" t="s">
        <v>50</v>
      </c>
      <c r="R51" s="19"/>
    </row>
    <row r="52" spans="1:78" x14ac:dyDescent="0.25">
      <c r="A52" s="19">
        <v>56003</v>
      </c>
      <c r="B52" s="29" t="s">
        <v>48</v>
      </c>
      <c r="C52" s="30">
        <v>45127</v>
      </c>
      <c r="D52" s="31">
        <v>9</v>
      </c>
      <c r="E52" s="25">
        <v>159000</v>
      </c>
      <c r="F52" s="25">
        <v>0</v>
      </c>
      <c r="G52" s="25">
        <f>E52-F52</f>
        <v>159000</v>
      </c>
      <c r="H52" s="42">
        <f>G52*18%</f>
        <v>28620</v>
      </c>
      <c r="I52" s="42">
        <f>G52+H52</f>
        <v>187620</v>
      </c>
      <c r="J52" s="42">
        <f>G52*1%</f>
        <v>1590</v>
      </c>
      <c r="K52" s="42">
        <f>G52*10%</f>
        <v>15900</v>
      </c>
      <c r="L52" s="42"/>
      <c r="M52" s="74">
        <f>H52</f>
        <v>28620</v>
      </c>
      <c r="N52" s="42">
        <f>I52-J52-K52-M52</f>
        <v>141510</v>
      </c>
      <c r="O52" s="27"/>
      <c r="P52" s="25">
        <v>141510</v>
      </c>
      <c r="Q52" s="25" t="s">
        <v>62</v>
      </c>
      <c r="R52" s="19"/>
    </row>
    <row r="53" spans="1:78" x14ac:dyDescent="0.25">
      <c r="A53" s="19">
        <v>56003</v>
      </c>
      <c r="B53" s="29" t="s">
        <v>11</v>
      </c>
      <c r="C53" s="30">
        <v>45160</v>
      </c>
      <c r="D53" s="31">
        <v>9</v>
      </c>
      <c r="E53" s="25">
        <v>28620</v>
      </c>
      <c r="F53" s="25">
        <v>0</v>
      </c>
      <c r="G53" s="25">
        <f>E53-F53</f>
        <v>28620</v>
      </c>
      <c r="H53" s="25">
        <v>0</v>
      </c>
      <c r="I53" s="25">
        <f>G53+H53</f>
        <v>28620</v>
      </c>
      <c r="J53" s="25"/>
      <c r="K53" s="25">
        <v>0</v>
      </c>
      <c r="L53" s="25"/>
      <c r="M53" s="25">
        <v>0</v>
      </c>
      <c r="N53" s="72">
        <f>ROUND(I53-SUM(J53:M53),)</f>
        <v>28620</v>
      </c>
      <c r="O53" s="27"/>
      <c r="P53" s="25">
        <v>28620</v>
      </c>
      <c r="Q53" s="25" t="s">
        <v>63</v>
      </c>
      <c r="R53" s="19"/>
    </row>
    <row r="54" spans="1:78" s="22" customFormat="1" x14ac:dyDescent="0.25">
      <c r="A54" s="34"/>
      <c r="B54" s="35"/>
      <c r="C54" s="36"/>
      <c r="D54" s="37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28">
        <f>A55</f>
        <v>56006</v>
      </c>
      <c r="P54" s="38"/>
      <c r="Q54" s="34"/>
      <c r="R54" s="21">
        <f>SUM(N50:N53,0)-SUM(P50:P53,0)</f>
        <v>-9.0000000025611371E-2</v>
      </c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</row>
    <row r="55" spans="1:78" x14ac:dyDescent="0.25">
      <c r="A55" s="19">
        <v>56006</v>
      </c>
      <c r="B55" s="29" t="s">
        <v>51</v>
      </c>
      <c r="C55" s="30">
        <v>45043</v>
      </c>
      <c r="D55" s="39">
        <v>1</v>
      </c>
      <c r="E55" s="25">
        <f>370000*60%</f>
        <v>222000</v>
      </c>
      <c r="F55" s="25">
        <v>42551</v>
      </c>
      <c r="G55" s="25">
        <f>ROUND(E55-F55,0)</f>
        <v>179449</v>
      </c>
      <c r="H55" s="25">
        <f>ROUND(G55*18%,0)</f>
        <v>32301</v>
      </c>
      <c r="I55" s="25">
        <f>G55+H55</f>
        <v>211750</v>
      </c>
      <c r="J55" s="25">
        <f>G55*1%</f>
        <v>1794.49</v>
      </c>
      <c r="K55" s="25">
        <f>G55*10%</f>
        <v>17944.900000000001</v>
      </c>
      <c r="L55" s="25"/>
      <c r="M55" s="72">
        <f>H55</f>
        <v>32301</v>
      </c>
      <c r="N55" s="25">
        <f>ROUND(I55-SUM(J55:M55),0)</f>
        <v>159710</v>
      </c>
      <c r="O55" s="27"/>
      <c r="P55" s="25">
        <v>159710</v>
      </c>
      <c r="Q55" s="33" t="s">
        <v>52</v>
      </c>
      <c r="R55" s="19"/>
    </row>
    <row r="56" spans="1:78" x14ac:dyDescent="0.25">
      <c r="A56" s="19">
        <v>56006</v>
      </c>
      <c r="B56" s="29" t="s">
        <v>11</v>
      </c>
      <c r="C56" s="30"/>
      <c r="D56" s="39">
        <v>1</v>
      </c>
      <c r="E56" s="25">
        <v>32301</v>
      </c>
      <c r="F56" s="25"/>
      <c r="G56" s="25"/>
      <c r="H56" s="25"/>
      <c r="I56" s="25"/>
      <c r="J56" s="25"/>
      <c r="K56" s="25"/>
      <c r="L56" s="25"/>
      <c r="M56" s="25"/>
      <c r="N56" s="72">
        <f>E56</f>
        <v>32301</v>
      </c>
      <c r="O56" s="27"/>
      <c r="P56" s="25">
        <v>32301</v>
      </c>
      <c r="Q56" s="43" t="s">
        <v>53</v>
      </c>
      <c r="R56" s="19"/>
    </row>
    <row r="57" spans="1:78" x14ac:dyDescent="0.25">
      <c r="A57" s="19">
        <v>56006</v>
      </c>
      <c r="B57" s="29" t="s">
        <v>51</v>
      </c>
      <c r="C57" s="30">
        <v>45076</v>
      </c>
      <c r="D57" s="39">
        <v>3</v>
      </c>
      <c r="E57" s="25">
        <f>(370000*40%)+11000</f>
        <v>159000</v>
      </c>
      <c r="F57" s="25">
        <v>0</v>
      </c>
      <c r="G57" s="25">
        <f>ROUND(E57-F57,0)</f>
        <v>159000</v>
      </c>
      <c r="H57" s="25">
        <f>ROUND(G57*18%,0)</f>
        <v>28620</v>
      </c>
      <c r="I57" s="25">
        <f>G57+H57</f>
        <v>187620</v>
      </c>
      <c r="J57" s="25">
        <f>G57*1%</f>
        <v>1590</v>
      </c>
      <c r="K57" s="25">
        <f>G57*10%</f>
        <v>15900</v>
      </c>
      <c r="L57" s="25"/>
      <c r="M57" s="72">
        <f>H57</f>
        <v>28620</v>
      </c>
      <c r="N57" s="25">
        <f>ROUND(I57-SUM(J57:M57),0)</f>
        <v>141510</v>
      </c>
      <c r="O57" s="27"/>
      <c r="P57" s="25">
        <v>141510</v>
      </c>
      <c r="Q57" s="33" t="s">
        <v>55</v>
      </c>
      <c r="R57" s="19"/>
    </row>
    <row r="58" spans="1:78" x14ac:dyDescent="0.25">
      <c r="A58" s="19">
        <v>56006</v>
      </c>
      <c r="B58" s="41" t="s">
        <v>11</v>
      </c>
      <c r="C58" s="40"/>
      <c r="D58" s="31">
        <v>3</v>
      </c>
      <c r="E58" s="25">
        <v>28620</v>
      </c>
      <c r="F58" s="25"/>
      <c r="G58" s="25">
        <v>0</v>
      </c>
      <c r="H58" s="25">
        <v>0</v>
      </c>
      <c r="I58" s="25">
        <f>G58+H58</f>
        <v>0</v>
      </c>
      <c r="J58" s="25">
        <f>J$8*I58</f>
        <v>0</v>
      </c>
      <c r="K58" s="25">
        <v>0</v>
      </c>
      <c r="L58" s="25"/>
      <c r="M58" s="25">
        <v>0</v>
      </c>
      <c r="N58" s="72">
        <f>E58</f>
        <v>28620</v>
      </c>
      <c r="O58" s="27"/>
      <c r="P58" s="25">
        <v>28620</v>
      </c>
      <c r="Q58" s="33" t="s">
        <v>54</v>
      </c>
      <c r="R58" s="19"/>
    </row>
    <row r="59" spans="1:78" s="22" customFormat="1" x14ac:dyDescent="0.25">
      <c r="A59" s="34"/>
      <c r="B59" s="35"/>
      <c r="C59" s="36"/>
      <c r="D59" s="37"/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28">
        <f>A60</f>
        <v>57600</v>
      </c>
      <c r="P59" s="38"/>
      <c r="Q59" s="34"/>
      <c r="R59" s="21">
        <f>SUM(N55:N58,0)-SUM(P55:P58,0)</f>
        <v>0</v>
      </c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</row>
    <row r="60" spans="1:78" x14ac:dyDescent="0.25">
      <c r="A60" s="19">
        <v>57600</v>
      </c>
      <c r="B60" s="29" t="s">
        <v>56</v>
      </c>
      <c r="C60" s="30">
        <v>45071</v>
      </c>
      <c r="D60" s="39">
        <v>2</v>
      </c>
      <c r="E60" s="25">
        <f>370000*60%</f>
        <v>222000</v>
      </c>
      <c r="F60" s="25">
        <v>42551</v>
      </c>
      <c r="G60" s="25">
        <f>ROUND(E60-F60,0)</f>
        <v>179449</v>
      </c>
      <c r="H60" s="25">
        <f>ROUND(G60*18%,0)</f>
        <v>32301</v>
      </c>
      <c r="I60" s="25">
        <f>G60+H60</f>
        <v>211750</v>
      </c>
      <c r="J60" s="25">
        <f>G60*1%</f>
        <v>1794.49</v>
      </c>
      <c r="K60" s="25">
        <f>G60*10%</f>
        <v>17944.900000000001</v>
      </c>
      <c r="L60" s="25"/>
      <c r="M60" s="72">
        <f>H60</f>
        <v>32301</v>
      </c>
      <c r="N60" s="25">
        <f>ROUND(I60-SUM(J60:M60),0)</f>
        <v>159710</v>
      </c>
      <c r="O60" s="27"/>
      <c r="P60" s="25">
        <v>159710</v>
      </c>
      <c r="Q60" s="33" t="s">
        <v>57</v>
      </c>
      <c r="R60" s="19"/>
    </row>
    <row r="61" spans="1:78" x14ac:dyDescent="0.25">
      <c r="A61" s="19">
        <v>57600</v>
      </c>
      <c r="B61" s="29" t="s">
        <v>56</v>
      </c>
      <c r="C61" s="30">
        <v>45089</v>
      </c>
      <c r="D61" s="39">
        <v>4</v>
      </c>
      <c r="E61" s="25">
        <f>((370000)*40%)+11000</f>
        <v>159000</v>
      </c>
      <c r="F61" s="25">
        <v>0</v>
      </c>
      <c r="G61" s="25">
        <f>ROUND(E61-F61,0)</f>
        <v>159000</v>
      </c>
      <c r="H61" s="25">
        <f>ROUND(G61*18%,0)</f>
        <v>28620</v>
      </c>
      <c r="I61" s="25">
        <f>G61+H61</f>
        <v>187620</v>
      </c>
      <c r="J61" s="25">
        <f>G61*1%</f>
        <v>1590</v>
      </c>
      <c r="K61" s="25">
        <f>G61*10%</f>
        <v>15900</v>
      </c>
      <c r="L61" s="25"/>
      <c r="M61" s="72">
        <f>H61</f>
        <v>28620</v>
      </c>
      <c r="N61" s="25">
        <f>ROUND(I61-SUM(J61:M61),0)</f>
        <v>141510</v>
      </c>
      <c r="O61" s="27"/>
      <c r="P61" s="25">
        <v>141510</v>
      </c>
      <c r="Q61" s="43" t="s">
        <v>58</v>
      </c>
      <c r="R61" s="19"/>
    </row>
    <row r="62" spans="1:78" x14ac:dyDescent="0.25">
      <c r="A62" s="19">
        <v>57600</v>
      </c>
      <c r="B62" s="29" t="s">
        <v>11</v>
      </c>
      <c r="C62" s="30"/>
      <c r="D62" s="39">
        <v>2</v>
      </c>
      <c r="E62" s="25">
        <v>32301</v>
      </c>
      <c r="F62" s="25"/>
      <c r="G62" s="25"/>
      <c r="H62" s="25"/>
      <c r="I62" s="25"/>
      <c r="J62" s="25"/>
      <c r="K62" s="25"/>
      <c r="L62" s="25"/>
      <c r="M62" s="25"/>
      <c r="N62" s="72">
        <f>E62</f>
        <v>32301</v>
      </c>
      <c r="O62" s="27"/>
      <c r="P62" s="25">
        <v>32300</v>
      </c>
      <c r="Q62" s="33" t="s">
        <v>69</v>
      </c>
      <c r="R62" s="19"/>
    </row>
    <row r="63" spans="1:78" x14ac:dyDescent="0.25">
      <c r="A63" s="19">
        <v>57600</v>
      </c>
      <c r="B63" s="29" t="s">
        <v>11</v>
      </c>
      <c r="C63" s="30"/>
      <c r="D63" s="39">
        <v>4</v>
      </c>
      <c r="E63" s="25">
        <f>M61</f>
        <v>28620</v>
      </c>
      <c r="F63" s="25"/>
      <c r="G63" s="25"/>
      <c r="H63" s="25"/>
      <c r="I63" s="25"/>
      <c r="J63" s="25"/>
      <c r="K63" s="25"/>
      <c r="L63" s="25"/>
      <c r="M63" s="25"/>
      <c r="N63" s="72">
        <f>E63</f>
        <v>28620</v>
      </c>
      <c r="O63" s="27"/>
      <c r="P63" s="25">
        <v>28620</v>
      </c>
      <c r="Q63" s="33" t="s">
        <v>70</v>
      </c>
      <c r="R63" s="19"/>
    </row>
    <row r="64" spans="1:78" s="22" customFormat="1" x14ac:dyDescent="0.25">
      <c r="A64" s="34"/>
      <c r="B64" s="35"/>
      <c r="C64" s="36"/>
      <c r="D64" s="37"/>
      <c r="E64" s="38"/>
      <c r="F64" s="38"/>
      <c r="G64" s="38"/>
      <c r="H64" s="38"/>
      <c r="I64" s="38"/>
      <c r="J64" s="38"/>
      <c r="K64" s="38"/>
      <c r="L64" s="38"/>
      <c r="M64" s="38"/>
      <c r="N64" s="38"/>
      <c r="O64" s="28">
        <f>A65</f>
        <v>58130</v>
      </c>
      <c r="P64" s="38"/>
      <c r="Q64" s="34"/>
      <c r="R64" s="21">
        <f>SUM(N60:N63,0)-SUM(P60:P63,0)</f>
        <v>1</v>
      </c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</row>
    <row r="65" spans="1:78" x14ac:dyDescent="0.25">
      <c r="A65" s="19">
        <v>58130</v>
      </c>
      <c r="B65" s="29" t="s">
        <v>59</v>
      </c>
      <c r="C65" s="30">
        <v>45103</v>
      </c>
      <c r="D65" s="39">
        <v>8</v>
      </c>
      <c r="E65" s="25">
        <v>167860</v>
      </c>
      <c r="F65" s="25">
        <v>0</v>
      </c>
      <c r="G65" s="25">
        <f>ROUND(E65-F65,0)</f>
        <v>167860</v>
      </c>
      <c r="H65" s="25">
        <f>ROUND(G65*18%,0)</f>
        <v>30215</v>
      </c>
      <c r="I65" s="25">
        <f>G65+H65</f>
        <v>198075</v>
      </c>
      <c r="J65" s="25">
        <f>G65*$J$6</f>
        <v>1678.6000000000001</v>
      </c>
      <c r="K65" s="25">
        <f>G65*$K$6</f>
        <v>8393</v>
      </c>
      <c r="L65" s="25"/>
      <c r="M65" s="72">
        <f>H65</f>
        <v>30215</v>
      </c>
      <c r="N65" s="25">
        <f>ROUND(I65-SUM(J65:M65),0)</f>
        <v>157788</v>
      </c>
      <c r="O65" s="27"/>
      <c r="P65" s="25">
        <v>157788</v>
      </c>
      <c r="Q65" s="33" t="s">
        <v>64</v>
      </c>
      <c r="R65" s="19"/>
    </row>
    <row r="66" spans="1:78" x14ac:dyDescent="0.25">
      <c r="A66" s="19">
        <v>58130</v>
      </c>
      <c r="B66" s="29" t="s">
        <v>65</v>
      </c>
      <c r="C66" s="30"/>
      <c r="D66" s="31">
        <v>8</v>
      </c>
      <c r="E66" s="25">
        <v>30215</v>
      </c>
      <c r="F66" s="25">
        <v>0</v>
      </c>
      <c r="G66" s="25">
        <f>E66-F66</f>
        <v>30215</v>
      </c>
      <c r="H66" s="25">
        <v>0</v>
      </c>
      <c r="I66" s="25">
        <f>G66+H66</f>
        <v>30215</v>
      </c>
      <c r="J66" s="25">
        <v>0</v>
      </c>
      <c r="K66" s="25">
        <v>0</v>
      </c>
      <c r="L66" s="25"/>
      <c r="M66" s="25">
        <v>0</v>
      </c>
      <c r="N66" s="72">
        <f>ROUND(I66-SUM(J66:M66),0)</f>
        <v>30215</v>
      </c>
      <c r="O66" s="27"/>
      <c r="P66" s="25">
        <v>30215</v>
      </c>
      <c r="Q66" s="33" t="s">
        <v>66</v>
      </c>
      <c r="R66" s="19"/>
    </row>
    <row r="67" spans="1:78" x14ac:dyDescent="0.25">
      <c r="A67" s="19">
        <v>58130</v>
      </c>
      <c r="B67" s="29" t="s">
        <v>59</v>
      </c>
      <c r="C67" s="30">
        <v>45210</v>
      </c>
      <c r="D67" s="31">
        <v>17</v>
      </c>
      <c r="E67" s="25">
        <f>419650*40%</f>
        <v>167860</v>
      </c>
      <c r="F67" s="25"/>
      <c r="G67" s="25">
        <f>E67-F67</f>
        <v>167860</v>
      </c>
      <c r="H67" s="25">
        <f>ROUND(G67*18%,0)</f>
        <v>30215</v>
      </c>
      <c r="I67" s="25">
        <f>G67+H67</f>
        <v>198075</v>
      </c>
      <c r="J67" s="25">
        <f>G67*1%</f>
        <v>1678.6000000000001</v>
      </c>
      <c r="K67" s="25">
        <f>G67*$K$6</f>
        <v>8393</v>
      </c>
      <c r="L67" s="25">
        <v>0</v>
      </c>
      <c r="M67" s="72">
        <f>H67</f>
        <v>30215</v>
      </c>
      <c r="N67" s="25">
        <f>ROUND(I67-SUM(J67:M67),0)</f>
        <v>157788</v>
      </c>
      <c r="O67" s="27"/>
      <c r="P67" s="25">
        <v>157788</v>
      </c>
      <c r="Q67" s="33" t="s">
        <v>71</v>
      </c>
      <c r="R67" s="19"/>
    </row>
    <row r="68" spans="1:78" x14ac:dyDescent="0.25">
      <c r="A68" s="19">
        <v>58130</v>
      </c>
      <c r="B68" s="29" t="s">
        <v>65</v>
      </c>
      <c r="C68" s="30"/>
      <c r="D68" s="31">
        <v>17</v>
      </c>
      <c r="E68" s="25">
        <v>30215</v>
      </c>
      <c r="F68" s="25">
        <v>0</v>
      </c>
      <c r="G68" s="25">
        <f>E68-F68</f>
        <v>30215</v>
      </c>
      <c r="H68" s="25">
        <v>0</v>
      </c>
      <c r="I68" s="25">
        <f>G68+H68</f>
        <v>30215</v>
      </c>
      <c r="J68" s="25">
        <v>0</v>
      </c>
      <c r="K68" s="25">
        <v>0</v>
      </c>
      <c r="L68" s="25"/>
      <c r="M68" s="25">
        <v>0</v>
      </c>
      <c r="N68" s="72">
        <f>ROUND(I68-SUM(J68:M68),0)</f>
        <v>30215</v>
      </c>
      <c r="O68" s="27"/>
      <c r="P68" s="25">
        <v>30215</v>
      </c>
      <c r="Q68" s="33" t="s">
        <v>85</v>
      </c>
      <c r="R68" s="19"/>
    </row>
    <row r="69" spans="1:78" s="22" customFormat="1" x14ac:dyDescent="0.25">
      <c r="A69" s="34"/>
      <c r="B69" s="35"/>
      <c r="C69" s="36"/>
      <c r="D69" s="37"/>
      <c r="E69" s="38"/>
      <c r="F69" s="38"/>
      <c r="G69" s="38"/>
      <c r="H69" s="38"/>
      <c r="I69" s="38"/>
      <c r="J69" s="38"/>
      <c r="K69" s="38"/>
      <c r="L69" s="38"/>
      <c r="M69" s="38"/>
      <c r="N69" s="38"/>
      <c r="O69" s="28">
        <f>A70</f>
        <v>58080</v>
      </c>
      <c r="P69" s="38"/>
      <c r="Q69" s="34"/>
      <c r="R69" s="21">
        <f>SUM(N65:N68,0)-SUM(P65:P68,0)</f>
        <v>0</v>
      </c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</row>
    <row r="70" spans="1:78" ht="28.5" x14ac:dyDescent="0.25">
      <c r="A70" s="19">
        <v>58080</v>
      </c>
      <c r="B70" s="29" t="s">
        <v>126</v>
      </c>
      <c r="C70" s="30">
        <v>45099</v>
      </c>
      <c r="D70" s="31">
        <v>7</v>
      </c>
      <c r="E70" s="25">
        <v>325640</v>
      </c>
      <c r="F70" s="25">
        <v>38000</v>
      </c>
      <c r="G70" s="25">
        <f>E70-F70</f>
        <v>287640</v>
      </c>
      <c r="H70" s="25">
        <f>ROUND(G70*18%,0)</f>
        <v>51775</v>
      </c>
      <c r="I70" s="25">
        <f>G70+H70</f>
        <v>339415</v>
      </c>
      <c r="J70" s="25">
        <f>ROUND(G70*$J$6,0)</f>
        <v>2876</v>
      </c>
      <c r="K70" s="25">
        <f>ROUND(G70*$K$6,0)</f>
        <v>14382</v>
      </c>
      <c r="L70" s="25"/>
      <c r="M70" s="72">
        <f>H70</f>
        <v>51775</v>
      </c>
      <c r="N70" s="25">
        <f>ROUND(I70-SUM(J70:M70),0)</f>
        <v>270382</v>
      </c>
      <c r="O70" s="27"/>
      <c r="P70" s="25">
        <v>270382</v>
      </c>
      <c r="Q70" s="33" t="s">
        <v>72</v>
      </c>
      <c r="R70" s="19"/>
    </row>
    <row r="71" spans="1:78" x14ac:dyDescent="0.25">
      <c r="A71" s="19">
        <v>58080</v>
      </c>
      <c r="B71" s="29" t="s">
        <v>65</v>
      </c>
      <c r="C71" s="30"/>
      <c r="D71" s="31">
        <v>7</v>
      </c>
      <c r="E71" s="25">
        <f>M70</f>
        <v>51775</v>
      </c>
      <c r="F71" s="25">
        <v>0</v>
      </c>
      <c r="G71" s="25">
        <f>E71-F71</f>
        <v>51775</v>
      </c>
      <c r="H71" s="25">
        <v>0</v>
      </c>
      <c r="I71" s="25">
        <f>G71+H71</f>
        <v>51775</v>
      </c>
      <c r="J71" s="25">
        <v>0</v>
      </c>
      <c r="K71" s="25">
        <v>0</v>
      </c>
      <c r="L71" s="25"/>
      <c r="M71" s="25">
        <v>0</v>
      </c>
      <c r="N71" s="72">
        <f>ROUND(I71-SUM(J71:M71),0)</f>
        <v>51775</v>
      </c>
      <c r="O71" s="25"/>
      <c r="P71" s="25">
        <v>51775</v>
      </c>
      <c r="Q71" s="33" t="s">
        <v>73</v>
      </c>
      <c r="R71" s="19"/>
    </row>
    <row r="72" spans="1:78" ht="28.5" x14ac:dyDescent="0.25">
      <c r="A72" s="19">
        <v>58080</v>
      </c>
      <c r="B72" s="29" t="s">
        <v>126</v>
      </c>
      <c r="C72" s="30">
        <v>45346</v>
      </c>
      <c r="D72" s="31">
        <v>25</v>
      </c>
      <c r="E72" s="25">
        <v>81410</v>
      </c>
      <c r="F72" s="25">
        <v>21000</v>
      </c>
      <c r="G72" s="25">
        <f>E72-F72</f>
        <v>60410</v>
      </c>
      <c r="H72" s="25">
        <f>ROUND(G72*18%,0)</f>
        <v>10874</v>
      </c>
      <c r="I72" s="25">
        <f>G72+H72</f>
        <v>71284</v>
      </c>
      <c r="J72" s="25">
        <f>ROUND(G72*$J$6,0)</f>
        <v>604</v>
      </c>
      <c r="K72" s="25">
        <f>ROUND(G72*$K$6,0)</f>
        <v>3021</v>
      </c>
      <c r="L72" s="25">
        <v>9100</v>
      </c>
      <c r="M72" s="72">
        <f>H72</f>
        <v>10874</v>
      </c>
      <c r="N72" s="25">
        <f>ROUND(I72-SUM(J72:M72),0)</f>
        <v>47685</v>
      </c>
      <c r="O72" s="25"/>
      <c r="P72" s="25">
        <v>47686</v>
      </c>
      <c r="Q72" s="33" t="s">
        <v>100</v>
      </c>
      <c r="R72" s="19"/>
    </row>
    <row r="73" spans="1:78" x14ac:dyDescent="0.25">
      <c r="A73" s="19">
        <v>58080</v>
      </c>
      <c r="B73" s="29" t="s">
        <v>65</v>
      </c>
      <c r="C73" s="30"/>
      <c r="D73" s="31">
        <v>25</v>
      </c>
      <c r="E73" s="25">
        <f>M72</f>
        <v>10874</v>
      </c>
      <c r="F73" s="25">
        <v>0</v>
      </c>
      <c r="G73" s="25">
        <f>E73-F73</f>
        <v>10874</v>
      </c>
      <c r="H73" s="25">
        <v>0</v>
      </c>
      <c r="I73" s="25">
        <f>G73+H73</f>
        <v>10874</v>
      </c>
      <c r="J73" s="25"/>
      <c r="K73" s="25"/>
      <c r="L73" s="25"/>
      <c r="M73" s="25"/>
      <c r="N73" s="72">
        <f>ROUND(I73-SUM(J73:M73),0)</f>
        <v>10874</v>
      </c>
      <c r="O73" s="25"/>
      <c r="P73" s="25">
        <v>10874</v>
      </c>
      <c r="Q73" s="33" t="s">
        <v>102</v>
      </c>
      <c r="R73" s="19"/>
    </row>
    <row r="74" spans="1:78" s="22" customFormat="1" x14ac:dyDescent="0.25">
      <c r="A74" s="34"/>
      <c r="B74" s="35"/>
      <c r="C74" s="36"/>
      <c r="D74" s="37"/>
      <c r="E74" s="38"/>
      <c r="F74" s="38"/>
      <c r="G74" s="38"/>
      <c r="H74" s="38"/>
      <c r="I74" s="38"/>
      <c r="J74" s="38"/>
      <c r="K74" s="38"/>
      <c r="L74" s="38"/>
      <c r="M74" s="38"/>
      <c r="N74" s="38"/>
      <c r="O74" s="28">
        <f>A75</f>
        <v>59155</v>
      </c>
      <c r="P74" s="38"/>
      <c r="Q74" s="34"/>
      <c r="R74" s="21">
        <f>SUM(N70:N73,0)-SUM(P70:P73,0)</f>
        <v>-1</v>
      </c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</row>
    <row r="75" spans="1:78" x14ac:dyDescent="0.25">
      <c r="A75" s="19">
        <v>59155</v>
      </c>
      <c r="B75" s="29" t="s">
        <v>60</v>
      </c>
      <c r="C75" s="30">
        <v>45176</v>
      </c>
      <c r="D75" s="39">
        <v>13</v>
      </c>
      <c r="E75" s="25">
        <v>238280</v>
      </c>
      <c r="F75" s="25">
        <v>0</v>
      </c>
      <c r="G75" s="25">
        <f>ROUND(E75-F75,0)</f>
        <v>238280</v>
      </c>
      <c r="H75" s="25">
        <f>ROUND(G75*18%,0)</f>
        <v>42890</v>
      </c>
      <c r="I75" s="25">
        <f>G75+H75</f>
        <v>281170</v>
      </c>
      <c r="J75" s="25">
        <f>G75*$J$6</f>
        <v>2382.8000000000002</v>
      </c>
      <c r="K75" s="25">
        <f>G75*$K$6</f>
        <v>11914</v>
      </c>
      <c r="L75" s="25"/>
      <c r="M75" s="72">
        <f>H75</f>
        <v>42890</v>
      </c>
      <c r="N75" s="25">
        <f>ROUND(I75-SUM(J75:M75),0)</f>
        <v>223983</v>
      </c>
      <c r="O75" s="27"/>
      <c r="P75" s="25">
        <v>223983</v>
      </c>
      <c r="Q75" s="33" t="s">
        <v>61</v>
      </c>
      <c r="R75" s="19"/>
    </row>
    <row r="76" spans="1:78" x14ac:dyDescent="0.25">
      <c r="A76" s="19">
        <v>59155</v>
      </c>
      <c r="B76" s="29" t="s">
        <v>60</v>
      </c>
      <c r="C76" s="30">
        <v>45202</v>
      </c>
      <c r="D76" s="31">
        <v>15</v>
      </c>
      <c r="E76" s="25">
        <v>171570</v>
      </c>
      <c r="F76" s="25">
        <v>3850</v>
      </c>
      <c r="G76" s="25">
        <f>E76-F76</f>
        <v>167720</v>
      </c>
      <c r="H76" s="25">
        <f>ROUND(G76*18%,0)</f>
        <v>30190</v>
      </c>
      <c r="I76" s="25">
        <f>G76+H76</f>
        <v>197910</v>
      </c>
      <c r="J76" s="25">
        <f>G76*$J$6</f>
        <v>1677.2</v>
      </c>
      <c r="K76" s="25">
        <f>G76*$K$6</f>
        <v>8386</v>
      </c>
      <c r="L76" s="25"/>
      <c r="M76" s="72">
        <f>H76</f>
        <v>30190</v>
      </c>
      <c r="N76" s="25">
        <f>ROUND(I76-SUM(J76:M76),0)</f>
        <v>157657</v>
      </c>
      <c r="O76" s="27"/>
      <c r="P76" s="25">
        <v>157657</v>
      </c>
      <c r="Q76" s="33" t="s">
        <v>68</v>
      </c>
      <c r="R76" s="19"/>
    </row>
    <row r="77" spans="1:78" x14ac:dyDescent="0.25">
      <c r="A77" s="19">
        <v>59155</v>
      </c>
      <c r="B77" s="29" t="s">
        <v>67</v>
      </c>
      <c r="C77" s="30">
        <v>45224</v>
      </c>
      <c r="D77" s="31">
        <v>13</v>
      </c>
      <c r="E77" s="25">
        <v>42890</v>
      </c>
      <c r="F77" s="25"/>
      <c r="G77" s="25">
        <f>E77-F77</f>
        <v>42890</v>
      </c>
      <c r="H77" s="25">
        <v>0</v>
      </c>
      <c r="I77" s="25">
        <f>G77+H77</f>
        <v>42890</v>
      </c>
      <c r="J77" s="25"/>
      <c r="K77" s="25"/>
      <c r="L77" s="25">
        <v>0</v>
      </c>
      <c r="M77" s="25">
        <f>H77</f>
        <v>0</v>
      </c>
      <c r="N77" s="72">
        <f>ROUND(I77-SUM(J77:M77),0)</f>
        <v>42890</v>
      </c>
      <c r="O77" s="27"/>
      <c r="P77" s="25">
        <v>42890</v>
      </c>
      <c r="Q77" s="33" t="s">
        <v>83</v>
      </c>
      <c r="R77" s="19"/>
    </row>
    <row r="78" spans="1:78" x14ac:dyDescent="0.25">
      <c r="A78" s="19">
        <v>59155</v>
      </c>
      <c r="B78" s="29" t="s">
        <v>67</v>
      </c>
      <c r="C78" s="30"/>
      <c r="D78" s="31">
        <v>15</v>
      </c>
      <c r="E78" s="25">
        <f>M76</f>
        <v>30190</v>
      </c>
      <c r="F78" s="25"/>
      <c r="G78" s="25">
        <f>E78-F78</f>
        <v>30190</v>
      </c>
      <c r="H78" s="25">
        <v>0</v>
      </c>
      <c r="I78" s="25">
        <f>G78+H78</f>
        <v>30190</v>
      </c>
      <c r="J78" s="25"/>
      <c r="K78" s="25"/>
      <c r="L78" s="25">
        <v>0</v>
      </c>
      <c r="M78" s="25">
        <f>H78</f>
        <v>0</v>
      </c>
      <c r="N78" s="72">
        <f>ROUND(I78-SUM(J78:M78),0)</f>
        <v>30190</v>
      </c>
      <c r="O78" s="27"/>
      <c r="P78" s="25">
        <v>30190</v>
      </c>
      <c r="Q78" s="33" t="s">
        <v>86</v>
      </c>
      <c r="R78" s="19"/>
    </row>
    <row r="79" spans="1:78" s="22" customFormat="1" x14ac:dyDescent="0.25">
      <c r="A79" s="34"/>
      <c r="B79" s="35"/>
      <c r="C79" s="36"/>
      <c r="D79" s="37"/>
      <c r="E79" s="38"/>
      <c r="F79" s="38"/>
      <c r="G79" s="38"/>
      <c r="H79" s="38"/>
      <c r="I79" s="38"/>
      <c r="J79" s="38"/>
      <c r="K79" s="38"/>
      <c r="L79" s="38"/>
      <c r="M79" s="38"/>
      <c r="N79" s="38"/>
      <c r="O79" s="28">
        <f>A80</f>
        <v>59742</v>
      </c>
      <c r="P79" s="38"/>
      <c r="Q79" s="34"/>
      <c r="R79" s="21">
        <f>SUM(N75:N78,0)-SUM(P75:P78,0)</f>
        <v>0</v>
      </c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</row>
    <row r="80" spans="1:78" x14ac:dyDescent="0.25">
      <c r="A80" s="19">
        <v>59742</v>
      </c>
      <c r="B80" s="31" t="s">
        <v>127</v>
      </c>
      <c r="C80" s="30">
        <v>45210</v>
      </c>
      <c r="D80" s="39">
        <v>16</v>
      </c>
      <c r="E80" s="25">
        <f>370000*60%</f>
        <v>222000</v>
      </c>
      <c r="F80" s="25">
        <v>48815</v>
      </c>
      <c r="G80" s="25">
        <f>ROUND(E80-F80,0)</f>
        <v>173185</v>
      </c>
      <c r="H80" s="25">
        <f>ROUND(G80*18%,0)</f>
        <v>31173</v>
      </c>
      <c r="I80" s="25">
        <f>G80+H80</f>
        <v>204358</v>
      </c>
      <c r="J80" s="25">
        <f>G80*$J$6</f>
        <v>1731.8500000000001</v>
      </c>
      <c r="K80" s="25">
        <f>G80*$K$6</f>
        <v>8659.25</v>
      </c>
      <c r="L80" s="25"/>
      <c r="M80" s="72">
        <f>H80</f>
        <v>31173</v>
      </c>
      <c r="N80" s="25">
        <f>ROUND(I80-SUM(J80:M80),0)</f>
        <v>162794</v>
      </c>
      <c r="O80" s="27"/>
      <c r="P80" s="25">
        <v>162794</v>
      </c>
      <c r="Q80" s="43" t="s">
        <v>74</v>
      </c>
      <c r="R80" s="19"/>
    </row>
    <row r="81" spans="1:78" x14ac:dyDescent="0.25">
      <c r="A81" s="19">
        <v>59742</v>
      </c>
      <c r="B81" s="31" t="s">
        <v>127</v>
      </c>
      <c r="C81" s="40">
        <v>45236</v>
      </c>
      <c r="D81" s="26">
        <v>19</v>
      </c>
      <c r="E81" s="25">
        <v>159000</v>
      </c>
      <c r="F81" s="25"/>
      <c r="G81" s="25">
        <f>ROUND(E81-F81,0)</f>
        <v>159000</v>
      </c>
      <c r="H81" s="25">
        <f>ROUND(G81*18%,0)</f>
        <v>28620</v>
      </c>
      <c r="I81" s="25">
        <f>G81+H81</f>
        <v>187620</v>
      </c>
      <c r="J81" s="25">
        <f>G81*$J$6</f>
        <v>1590</v>
      </c>
      <c r="K81" s="25">
        <f>G81*$K$6</f>
        <v>7950</v>
      </c>
      <c r="L81" s="25"/>
      <c r="M81" s="72">
        <f>H81</f>
        <v>28620</v>
      </c>
      <c r="N81" s="25">
        <f>ROUND(I81-SUM(J81:M81),0)</f>
        <v>149460</v>
      </c>
      <c r="O81" s="27"/>
      <c r="P81" s="25">
        <v>99000</v>
      </c>
      <c r="Q81" s="43" t="s">
        <v>78</v>
      </c>
      <c r="R81" s="19"/>
    </row>
    <row r="82" spans="1:78" x14ac:dyDescent="0.25">
      <c r="A82" s="19">
        <v>59742</v>
      </c>
      <c r="B82" s="29" t="s">
        <v>67</v>
      </c>
      <c r="C82" s="30"/>
      <c r="D82" s="31">
        <v>16</v>
      </c>
      <c r="E82" s="25">
        <f>M80</f>
        <v>31173</v>
      </c>
      <c r="F82" s="25"/>
      <c r="G82" s="25">
        <f>E82-F82</f>
        <v>31173</v>
      </c>
      <c r="H82" s="25">
        <v>0</v>
      </c>
      <c r="I82" s="25">
        <f>G82+H82</f>
        <v>31173</v>
      </c>
      <c r="J82" s="25"/>
      <c r="K82" s="25"/>
      <c r="L82" s="25">
        <v>0</v>
      </c>
      <c r="M82" s="25">
        <f>H82</f>
        <v>0</v>
      </c>
      <c r="N82" s="72">
        <f>ROUND(I82-SUM(J82:M82),0)</f>
        <v>31173</v>
      </c>
      <c r="O82" s="27"/>
      <c r="P82" s="25">
        <v>31173</v>
      </c>
      <c r="Q82" s="43" t="s">
        <v>79</v>
      </c>
      <c r="R82" s="19"/>
    </row>
    <row r="83" spans="1:78" x14ac:dyDescent="0.25">
      <c r="A83" s="19">
        <v>59742</v>
      </c>
      <c r="B83" s="29" t="s">
        <v>67</v>
      </c>
      <c r="C83" s="30"/>
      <c r="D83" s="31">
        <v>19</v>
      </c>
      <c r="E83" s="25">
        <f>M81</f>
        <v>28620</v>
      </c>
      <c r="F83" s="25"/>
      <c r="G83" s="25">
        <f>E83-F83</f>
        <v>28620</v>
      </c>
      <c r="H83" s="25">
        <v>0</v>
      </c>
      <c r="I83" s="25">
        <f>G83+H83</f>
        <v>28620</v>
      </c>
      <c r="J83" s="25"/>
      <c r="K83" s="25"/>
      <c r="L83" s="25">
        <v>0</v>
      </c>
      <c r="M83" s="25">
        <f>H83</f>
        <v>0</v>
      </c>
      <c r="N83" s="72">
        <f>ROUND(I83-SUM(J83:M83),0)</f>
        <v>28620</v>
      </c>
      <c r="O83" s="27"/>
      <c r="P83" s="25">
        <v>50460</v>
      </c>
      <c r="Q83" s="43" t="s">
        <v>80</v>
      </c>
      <c r="R83" s="19"/>
    </row>
    <row r="84" spans="1:78" x14ac:dyDescent="0.25">
      <c r="A84" s="19">
        <v>59742</v>
      </c>
      <c r="B84" s="29"/>
      <c r="C84" s="30"/>
      <c r="D84" s="31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7"/>
      <c r="P84" s="25">
        <v>28620</v>
      </c>
      <c r="Q84" s="43" t="s">
        <v>88</v>
      </c>
      <c r="R84" s="19"/>
    </row>
    <row r="85" spans="1:78" s="22" customFormat="1" x14ac:dyDescent="0.25">
      <c r="A85" s="34"/>
      <c r="B85" s="35"/>
      <c r="C85" s="36"/>
      <c r="D85" s="37"/>
      <c r="E85" s="38"/>
      <c r="F85" s="38"/>
      <c r="G85" s="38"/>
      <c r="H85" s="38"/>
      <c r="I85" s="38"/>
      <c r="J85" s="38"/>
      <c r="K85" s="38"/>
      <c r="L85" s="38"/>
      <c r="M85" s="38"/>
      <c r="N85" s="38"/>
      <c r="O85" s="28">
        <f>A86</f>
        <v>60119</v>
      </c>
      <c r="P85" s="38"/>
      <c r="Q85" s="34"/>
      <c r="R85" s="21">
        <f>SUM(N80:N84,0)-SUM(P80:P84,0)</f>
        <v>0</v>
      </c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</row>
    <row r="86" spans="1:78" x14ac:dyDescent="0.25">
      <c r="A86" s="19">
        <v>60119</v>
      </c>
      <c r="B86" s="31" t="s">
        <v>128</v>
      </c>
      <c r="C86" s="44">
        <v>45236</v>
      </c>
      <c r="D86" s="31">
        <v>20</v>
      </c>
      <c r="E86" s="45">
        <v>394380</v>
      </c>
      <c r="F86" s="45"/>
      <c r="G86" s="45">
        <f>E86-F86</f>
        <v>394380</v>
      </c>
      <c r="H86" s="25">
        <f>G86*18%</f>
        <v>70988.399999999994</v>
      </c>
      <c r="I86" s="25">
        <f>G86+H86</f>
        <v>465368.4</v>
      </c>
      <c r="J86" s="25">
        <f>G86*1%</f>
        <v>3943.8</v>
      </c>
      <c r="K86" s="25">
        <f>G86*5%</f>
        <v>19719</v>
      </c>
      <c r="L86" s="25"/>
      <c r="M86" s="72">
        <f>H86</f>
        <v>70988.399999999994</v>
      </c>
      <c r="N86" s="25">
        <f>I86-J86-K86-M86</f>
        <v>370717.20000000007</v>
      </c>
      <c r="O86" s="46"/>
      <c r="P86" s="25">
        <v>297000</v>
      </c>
      <c r="Q86" s="25" t="s">
        <v>81</v>
      </c>
      <c r="R86" s="19"/>
    </row>
    <row r="87" spans="1:78" x14ac:dyDescent="0.25">
      <c r="A87" s="19"/>
      <c r="B87" s="29" t="s">
        <v>67</v>
      </c>
      <c r="C87" s="30"/>
      <c r="D87" s="31">
        <v>20</v>
      </c>
      <c r="E87" s="25">
        <f>M86</f>
        <v>70988.399999999994</v>
      </c>
      <c r="F87" s="25"/>
      <c r="G87" s="25">
        <f>E87-F87</f>
        <v>70988.399999999994</v>
      </c>
      <c r="H87" s="25">
        <v>0</v>
      </c>
      <c r="I87" s="25">
        <f>G87+H87</f>
        <v>70988.399999999994</v>
      </c>
      <c r="J87" s="25"/>
      <c r="K87" s="25"/>
      <c r="L87" s="25">
        <v>0</v>
      </c>
      <c r="M87" s="25">
        <f>H87</f>
        <v>0</v>
      </c>
      <c r="N87" s="72">
        <f>ROUND(I87-SUM(J87:M87),0)</f>
        <v>70988</v>
      </c>
      <c r="O87" s="27"/>
      <c r="P87" s="25">
        <v>73717</v>
      </c>
      <c r="Q87" s="25" t="s">
        <v>82</v>
      </c>
      <c r="R87" s="19"/>
    </row>
    <row r="88" spans="1:78" x14ac:dyDescent="0.25">
      <c r="A88" s="19"/>
      <c r="B88" s="29"/>
      <c r="C88" s="30"/>
      <c r="D88" s="31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7"/>
      <c r="P88" s="25">
        <v>70988</v>
      </c>
      <c r="Q88" s="25" t="s">
        <v>87</v>
      </c>
      <c r="R88" s="19"/>
    </row>
    <row r="89" spans="1:78" s="22" customFormat="1" x14ac:dyDescent="0.25">
      <c r="A89" s="34"/>
      <c r="B89" s="35"/>
      <c r="C89" s="36"/>
      <c r="D89" s="37"/>
      <c r="E89" s="38"/>
      <c r="F89" s="38"/>
      <c r="G89" s="38"/>
      <c r="H89" s="38"/>
      <c r="I89" s="38"/>
      <c r="J89" s="38"/>
      <c r="K89" s="38"/>
      <c r="L89" s="38"/>
      <c r="M89" s="38"/>
      <c r="N89" s="38"/>
      <c r="O89" s="28">
        <f>A90</f>
        <v>62825</v>
      </c>
      <c r="P89" s="38"/>
      <c r="Q89" s="34"/>
      <c r="R89" s="21">
        <f>SUM(N86:N88,0)-SUM(P86:P88,0)</f>
        <v>0.20000000006984919</v>
      </c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</row>
    <row r="90" spans="1:78" x14ac:dyDescent="0.25">
      <c r="A90" s="19">
        <v>62825</v>
      </c>
      <c r="B90" s="31" t="s">
        <v>129</v>
      </c>
      <c r="C90" s="44">
        <v>45366</v>
      </c>
      <c r="D90" s="31">
        <v>27</v>
      </c>
      <c r="E90" s="45">
        <v>373100</v>
      </c>
      <c r="F90" s="45"/>
      <c r="G90" s="45">
        <f>E90-F90</f>
        <v>373100</v>
      </c>
      <c r="H90" s="25">
        <f>G90*18%</f>
        <v>67158</v>
      </c>
      <c r="I90" s="25">
        <f>G90+H90</f>
        <v>440258</v>
      </c>
      <c r="J90" s="25">
        <f>G90*1%</f>
        <v>3731</v>
      </c>
      <c r="K90" s="25">
        <f>G90*5%</f>
        <v>18655</v>
      </c>
      <c r="L90" s="25">
        <v>54740</v>
      </c>
      <c r="M90" s="72">
        <f>H90</f>
        <v>67158</v>
      </c>
      <c r="N90" s="25">
        <f>I90-J90-K90-M90-L90</f>
        <v>295974</v>
      </c>
      <c r="O90" s="27"/>
      <c r="P90" s="25">
        <v>200000</v>
      </c>
      <c r="Q90" s="25" t="s">
        <v>95</v>
      </c>
      <c r="R90" s="19"/>
    </row>
    <row r="91" spans="1:78" x14ac:dyDescent="0.25">
      <c r="A91" s="51"/>
      <c r="B91" s="52" t="s">
        <v>96</v>
      </c>
      <c r="C91" s="53"/>
      <c r="D91" s="52">
        <v>27</v>
      </c>
      <c r="E91" s="54">
        <f>M90</f>
        <v>67158</v>
      </c>
      <c r="F91" s="54"/>
      <c r="G91" s="54"/>
      <c r="H91" s="55"/>
      <c r="I91" s="55"/>
      <c r="J91" s="55"/>
      <c r="K91" s="55"/>
      <c r="L91" s="55"/>
      <c r="M91" s="55"/>
      <c r="N91" s="73">
        <f>E91</f>
        <v>67158</v>
      </c>
      <c r="O91" s="56"/>
      <c r="P91" s="55">
        <v>67158</v>
      </c>
      <c r="Q91" s="55" t="s">
        <v>101</v>
      </c>
      <c r="R91" s="51"/>
    </row>
    <row r="92" spans="1:78" x14ac:dyDescent="0.25">
      <c r="A92" s="51"/>
      <c r="B92" s="52"/>
      <c r="C92" s="53"/>
      <c r="D92" s="52"/>
      <c r="E92" s="54"/>
      <c r="F92" s="54"/>
      <c r="G92" s="54"/>
      <c r="H92" s="55"/>
      <c r="I92" s="55"/>
      <c r="J92" s="55"/>
      <c r="K92" s="55"/>
      <c r="L92" s="55"/>
      <c r="M92" s="55"/>
      <c r="N92" s="55"/>
      <c r="O92" s="56"/>
      <c r="P92" s="55">
        <v>49500</v>
      </c>
      <c r="Q92" s="55" t="s">
        <v>105</v>
      </c>
      <c r="R92" s="51"/>
    </row>
    <row r="93" spans="1:78" s="22" customFormat="1" x14ac:dyDescent="0.25">
      <c r="A93" s="34">
        <v>61802</v>
      </c>
      <c r="B93" s="35"/>
      <c r="C93" s="36"/>
      <c r="D93" s="37"/>
      <c r="E93" s="38"/>
      <c r="F93" s="38"/>
      <c r="G93" s="38"/>
      <c r="H93" s="38"/>
      <c r="I93" s="38"/>
      <c r="J93" s="38"/>
      <c r="K93" s="38"/>
      <c r="L93" s="38"/>
      <c r="M93" s="38"/>
      <c r="N93" s="38"/>
      <c r="O93" s="28">
        <f>A93</f>
        <v>61802</v>
      </c>
      <c r="P93" s="38"/>
      <c r="Q93" s="34"/>
      <c r="R93" s="21">
        <f>SUM(N90:N92,0)-SUM(P90:P92,0)</f>
        <v>46474</v>
      </c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</row>
    <row r="94" spans="1:78" x14ac:dyDescent="0.25">
      <c r="A94" s="34">
        <v>61802</v>
      </c>
      <c r="B94" s="52" t="s">
        <v>130</v>
      </c>
      <c r="C94" s="53">
        <v>45306</v>
      </c>
      <c r="D94" s="52">
        <v>22</v>
      </c>
      <c r="E94" s="54">
        <v>361950</v>
      </c>
      <c r="F94" s="54">
        <v>44237</v>
      </c>
      <c r="G94" s="45">
        <f>E94-F94</f>
        <v>317713</v>
      </c>
      <c r="H94" s="25">
        <f>G94*18%</f>
        <v>57188.34</v>
      </c>
      <c r="I94" s="25">
        <f>G94+H94</f>
        <v>374901.33999999997</v>
      </c>
      <c r="J94" s="25">
        <f>G94*1%</f>
        <v>3177.13</v>
      </c>
      <c r="K94" s="25">
        <f>G94*5%</f>
        <v>15885.650000000001</v>
      </c>
      <c r="L94" s="25"/>
      <c r="M94" s="72">
        <f>H94</f>
        <v>57188.34</v>
      </c>
      <c r="N94" s="25">
        <f>I94-J94-K94-M94-L94</f>
        <v>298650.21999999997</v>
      </c>
      <c r="O94" s="56"/>
      <c r="P94" s="55">
        <v>298650</v>
      </c>
      <c r="Q94" s="71" t="s">
        <v>97</v>
      </c>
      <c r="R94" s="51"/>
    </row>
    <row r="95" spans="1:78" x14ac:dyDescent="0.25">
      <c r="A95" s="34">
        <v>61802</v>
      </c>
      <c r="B95" s="52"/>
      <c r="C95" s="53"/>
      <c r="D95" s="52">
        <v>22</v>
      </c>
      <c r="E95" s="54">
        <f>M94</f>
        <v>57188.34</v>
      </c>
      <c r="F95" s="54"/>
      <c r="G95" s="54"/>
      <c r="H95" s="55"/>
      <c r="I95" s="55"/>
      <c r="J95" s="55"/>
      <c r="K95" s="55"/>
      <c r="L95" s="55"/>
      <c r="M95" s="55"/>
      <c r="N95" s="73">
        <f>E95</f>
        <v>57188.34</v>
      </c>
      <c r="O95" s="56"/>
      <c r="P95" s="55">
        <v>57188</v>
      </c>
      <c r="Q95" s="55" t="s">
        <v>98</v>
      </c>
      <c r="R95" s="51"/>
    </row>
    <row r="96" spans="1:78" x14ac:dyDescent="0.25">
      <c r="A96" s="34">
        <v>61802</v>
      </c>
      <c r="B96" s="52"/>
      <c r="C96" s="53"/>
      <c r="D96" s="52"/>
      <c r="E96" s="54"/>
      <c r="F96" s="54"/>
      <c r="G96" s="54"/>
      <c r="H96" s="55"/>
      <c r="I96" s="55"/>
      <c r="J96" s="55"/>
      <c r="K96" s="55"/>
      <c r="L96" s="55"/>
      <c r="M96" s="55"/>
      <c r="N96" s="55"/>
      <c r="O96" s="56"/>
      <c r="P96" s="55"/>
      <c r="Q96" s="55"/>
      <c r="R96" s="21">
        <f>SUM(N94:N96,0)-SUM(P94:P96,0)</f>
        <v>0.55999999993946403</v>
      </c>
    </row>
    <row r="97" spans="1:18" ht="15.75" thickBot="1" x14ac:dyDescent="0.3">
      <c r="A97" s="34">
        <v>61802</v>
      </c>
      <c r="B97" s="52"/>
      <c r="C97" s="53"/>
      <c r="D97" s="52"/>
      <c r="E97" s="54"/>
      <c r="F97" s="54"/>
      <c r="G97" s="54"/>
      <c r="H97" s="55"/>
      <c r="I97" s="55"/>
      <c r="J97" s="55"/>
      <c r="K97" s="55"/>
      <c r="L97" s="55"/>
      <c r="M97" s="55"/>
      <c r="N97" s="55"/>
      <c r="O97" s="56"/>
      <c r="P97" s="55"/>
      <c r="Q97" s="55"/>
      <c r="R97" s="51"/>
    </row>
    <row r="98" spans="1:18" x14ac:dyDescent="0.25">
      <c r="A98" s="57"/>
      <c r="B98" s="58"/>
      <c r="C98" s="58"/>
      <c r="D98" s="59"/>
      <c r="E98" s="58"/>
      <c r="F98" s="58"/>
      <c r="G98" s="58"/>
      <c r="H98" s="58"/>
      <c r="I98" s="58"/>
      <c r="J98" s="58"/>
      <c r="K98" s="60">
        <f t="shared" ref="K98:M98" si="0">SUM(K8:K97)</f>
        <v>439874.95000000007</v>
      </c>
      <c r="L98" s="60">
        <f t="shared" si="0"/>
        <v>178787.90000000002</v>
      </c>
      <c r="M98" s="60">
        <f t="shared" si="0"/>
        <v>1139771.32</v>
      </c>
      <c r="N98" s="60">
        <f>SUM(N8:N97)</f>
        <v>6856839.6699999999</v>
      </c>
      <c r="O98" s="60"/>
      <c r="P98" s="60">
        <f>SUM(P8:P97)</f>
        <v>6849186</v>
      </c>
      <c r="Q98" s="60" t="s">
        <v>75</v>
      </c>
      <c r="R98" s="60">
        <f>SUM(R8:R97)</f>
        <v>7653.6699999999837</v>
      </c>
    </row>
    <row r="99" spans="1:18" ht="15.75" thickBot="1" x14ac:dyDescent="0.3">
      <c r="A99" s="47"/>
      <c r="B99" s="48"/>
      <c r="C99" s="48"/>
      <c r="D99" s="49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50">
        <f>N98-P98</f>
        <v>7653.6699999999255</v>
      </c>
      <c r="Q99" s="50" t="s">
        <v>76</v>
      </c>
      <c r="R99" s="47"/>
    </row>
    <row r="101" spans="1:18" ht="15.75" thickBot="1" x14ac:dyDescent="0.3">
      <c r="M101" s="68"/>
    </row>
    <row r="102" spans="1:18" ht="19.5" thickBot="1" x14ac:dyDescent="0.3">
      <c r="I102" s="1"/>
      <c r="K102" s="77" t="s">
        <v>94</v>
      </c>
      <c r="L102" s="78"/>
      <c r="M102" s="79"/>
    </row>
    <row r="103" spans="1:18" ht="16.5" thickBot="1" x14ac:dyDescent="0.3">
      <c r="K103" s="80" t="s">
        <v>104</v>
      </c>
      <c r="L103" s="81"/>
      <c r="M103" s="82"/>
    </row>
    <row r="104" spans="1:18" ht="15.75" thickBot="1" x14ac:dyDescent="0.3">
      <c r="K104" s="83" t="s">
        <v>89</v>
      </c>
      <c r="L104" s="84"/>
      <c r="M104" s="69">
        <f>K98</f>
        <v>439874.95000000007</v>
      </c>
    </row>
    <row r="105" spans="1:18" ht="15.75" thickBot="1" x14ac:dyDescent="0.3">
      <c r="K105" s="83" t="s">
        <v>90</v>
      </c>
      <c r="L105" s="84"/>
      <c r="M105" s="69">
        <f>S99</f>
        <v>0</v>
      </c>
    </row>
    <row r="106" spans="1:18" ht="15.75" thickBot="1" x14ac:dyDescent="0.3">
      <c r="K106" s="75" t="s">
        <v>91</v>
      </c>
      <c r="L106" s="76"/>
      <c r="M106" s="70">
        <f>P99</f>
        <v>7653.6699999999255</v>
      </c>
    </row>
    <row r="107" spans="1:18" ht="15.75" thickBot="1" x14ac:dyDescent="0.3">
      <c r="K107" s="75" t="s">
        <v>92</v>
      </c>
      <c r="L107" s="76"/>
      <c r="M107" s="70" t="s">
        <v>103</v>
      </c>
    </row>
    <row r="108" spans="1:18" ht="15.75" thickBot="1" x14ac:dyDescent="0.3">
      <c r="K108" s="75" t="s">
        <v>93</v>
      </c>
      <c r="L108" s="76"/>
      <c r="M108" s="70">
        <f>L98</f>
        <v>178787.90000000002</v>
      </c>
    </row>
  </sheetData>
  <autoFilter ref="A1:A99"/>
  <mergeCells count="7">
    <mergeCell ref="K108:L108"/>
    <mergeCell ref="K102:M102"/>
    <mergeCell ref="K103:M103"/>
    <mergeCell ref="K104:L104"/>
    <mergeCell ref="K105:L105"/>
    <mergeCell ref="K106:L106"/>
    <mergeCell ref="K107:L10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 GRAM 17</dc:creator>
  <cp:lastModifiedBy>ADMIN</cp:lastModifiedBy>
  <cp:lastPrinted>2022-06-28T06:22:04Z</cp:lastPrinted>
  <dcterms:created xsi:type="dcterms:W3CDTF">2022-06-10T14:11:52Z</dcterms:created>
  <dcterms:modified xsi:type="dcterms:W3CDTF">2025-05-27T09:28:56Z</dcterms:modified>
</cp:coreProperties>
</file>