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772B6052-0F15-456D-8494-A5019D167C1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H12" i="1" l="1"/>
  <c r="I12" i="1" l="1"/>
  <c r="J12" i="1" s="1"/>
  <c r="N12" i="1"/>
  <c r="M12" i="1"/>
  <c r="K12" i="1"/>
  <c r="L12" i="1"/>
  <c r="O12" i="1"/>
  <c r="F15" i="1" s="1"/>
  <c r="Q15" i="1" s="1"/>
  <c r="H11" i="1"/>
  <c r="Q12" i="1" l="1"/>
  <c r="L11" i="1"/>
  <c r="M11" i="1"/>
  <c r="N11" i="1"/>
  <c r="K11" i="1"/>
  <c r="I11" i="1"/>
  <c r="H10" i="1"/>
  <c r="I10" i="1" s="1"/>
  <c r="O10" i="1" s="1"/>
  <c r="F14" i="1" s="1"/>
  <c r="Q14" i="1" s="1"/>
  <c r="H9" i="1"/>
  <c r="O9" i="1" s="1"/>
  <c r="T21" i="1"/>
  <c r="W21" i="1" s="1"/>
  <c r="T20" i="1"/>
  <c r="W20" i="1" s="1"/>
  <c r="T19" i="1"/>
  <c r="W19" i="1" s="1"/>
  <c r="T18" i="1"/>
  <c r="W18" i="1" s="1"/>
  <c r="H20" i="1"/>
  <c r="N20" i="1" s="1"/>
  <c r="H19" i="1"/>
  <c r="M19" i="1" s="1"/>
  <c r="H18" i="1"/>
  <c r="N18" i="1" s="1"/>
  <c r="J11" i="1" l="1"/>
  <c r="O11" i="1"/>
  <c r="N9" i="1"/>
  <c r="N10" i="1"/>
  <c r="M10" i="1"/>
  <c r="J10" i="1"/>
  <c r="L10" i="1"/>
  <c r="K10" i="1"/>
  <c r="I20" i="1"/>
  <c r="O20" i="1" s="1"/>
  <c r="M18" i="1"/>
  <c r="K9" i="1"/>
  <c r="I9" i="1"/>
  <c r="J9" i="1" s="1"/>
  <c r="M9" i="1"/>
  <c r="I19" i="1"/>
  <c r="O19" i="1" s="1"/>
  <c r="L9" i="1"/>
  <c r="K20" i="1"/>
  <c r="M20" i="1"/>
  <c r="K18" i="1"/>
  <c r="I18" i="1"/>
  <c r="O18" i="1" s="1"/>
  <c r="L19" i="1"/>
  <c r="N19" i="1"/>
  <c r="L18" i="1"/>
  <c r="K19" i="1"/>
  <c r="L20" i="1"/>
  <c r="F21" i="1" l="1"/>
  <c r="Q21" i="1" s="1"/>
  <c r="Q11" i="1"/>
  <c r="J18" i="1"/>
  <c r="Q18" i="1" s="1"/>
  <c r="Q10" i="1"/>
  <c r="Q9" i="1"/>
  <c r="J20" i="1"/>
  <c r="Q20" i="1" s="1"/>
  <c r="J19" i="1"/>
  <c r="Q19" i="1" s="1"/>
  <c r="Y25" i="1" l="1"/>
  <c r="G27" i="1"/>
  <c r="F27" i="1"/>
  <c r="P27" i="1"/>
  <c r="L36" i="1" s="1"/>
  <c r="H8" i="1" l="1"/>
  <c r="N8" i="1" l="1"/>
  <c r="M8" i="1"/>
  <c r="K8" i="1"/>
  <c r="L8" i="1"/>
  <c r="W8" i="1"/>
  <c r="I8" i="1" l="1"/>
  <c r="O8" i="1" l="1"/>
  <c r="J8" i="1"/>
  <c r="W26" i="1"/>
  <c r="N27" i="1" l="1"/>
  <c r="M27" i="1"/>
  <c r="L27" i="1"/>
  <c r="H27" i="1"/>
  <c r="K27" i="1"/>
  <c r="Q8" i="1"/>
  <c r="Y17" i="1" s="1"/>
  <c r="Y27" i="1" s="1"/>
  <c r="L33" i="1" l="1"/>
  <c r="J27" i="1"/>
  <c r="O27" i="1"/>
  <c r="L35" i="1" s="1"/>
  <c r="I27" i="1"/>
  <c r="Q26" i="1" l="1"/>
  <c r="W28" i="1" s="1"/>
  <c r="L34" i="1" s="1"/>
</calcChain>
</file>

<file path=xl/sharedStrings.xml><?xml version="1.0" encoding="utf-8"?>
<sst xmlns="http://schemas.openxmlformats.org/spreadsheetml/2006/main" count="79" uniqueCount="69">
  <si>
    <t>Amount</t>
  </si>
  <si>
    <t>GST SD (18%)</t>
  </si>
  <si>
    <t>PAYMENT NOTE No.</t>
  </si>
  <si>
    <t>UTR</t>
  </si>
  <si>
    <t>SD (5%)</t>
  </si>
  <si>
    <t>Advance paid</t>
  </si>
  <si>
    <t>TDS Amount @ 1% on BASIC AMOUNT</t>
  </si>
  <si>
    <t>Pipe Laying work</t>
  </si>
  <si>
    <t>Total Payable Amount Rs. -</t>
  </si>
  <si>
    <t>Balance Payable Amount Rs. -</t>
  </si>
  <si>
    <t>Total Paid Amount Rs. -</t>
  </si>
  <si>
    <t>Hold the Amount because the Qty. is more then the DPR</t>
  </si>
  <si>
    <t>Choudhary Traders</t>
  </si>
  <si>
    <t>Hathchhoyai Village Pipe laying work.</t>
  </si>
  <si>
    <t>09-05-2023 NEFT/AXISP00388893040/RIUP23/154/CHAUDHARY TRADER ₹ 3,77,763.00</t>
  </si>
  <si>
    <t>RIUP23/154</t>
  </si>
  <si>
    <t xml:space="preserve">Bendra Village Pipe laying work </t>
  </si>
  <si>
    <t>RIUP22/2296</t>
  </si>
  <si>
    <t>24-02-2022 NEFT/AXISP00365393665/RIUP22/2296/CHAUDHARY TRADERS 99,000/-</t>
  </si>
  <si>
    <t>RIUP22/2482</t>
  </si>
  <si>
    <t>6-03-2023 NEFT/AXISP00369164327/RIUP22/2482/CHAUDHARY TRADE 99000.00</t>
  </si>
  <si>
    <t>SPUP23/0064</t>
  </si>
  <si>
    <t>11-04-2023 NEFT/AXISP00380905290/SPUP23/0064/CHAUDHARY TRADE 89100.00</t>
  </si>
  <si>
    <t>SPUP23/0244</t>
  </si>
  <si>
    <t>28-04-2023 28-04-2023 NEFT/AXISP00385077529/SPUP23/0244/CHAUDHARY TRADE 148500.00</t>
  </si>
  <si>
    <t>RIUP23/183</t>
  </si>
  <si>
    <t>10-05-2023 NEFT/AXISP00388990939/RIUP23/183/CHAUDHARY TRADER 2633.00</t>
  </si>
  <si>
    <t>RIUP23/239</t>
  </si>
  <si>
    <t>15-05-2023 NEFT/AXISP00390249017/RIUP23/239/CHAUDHARY TRADER 148500.00</t>
  </si>
  <si>
    <t>28-06-2023 NEFT/AXISP00401442247/RIUP23/926/CHAUDHARY TRADER 99000.00</t>
  </si>
  <si>
    <t>04-09-2023 NEFT/AXISP00421476868/RIUP23/1820/CHAUDHARY TRADERS/ICIC0001767 41062.00</t>
  </si>
  <si>
    <t>08-11-2023 NEFT/AXISP00441999428/RIUP23/3000/CHAUDHARY TRADERS/ICIC0001767 132660.00</t>
  </si>
  <si>
    <t>RIUP23/926</t>
  </si>
  <si>
    <t>RIUP23/1820</t>
  </si>
  <si>
    <t>RIUP23/3000</t>
  </si>
  <si>
    <t>24-07-2023 NEFT/AXISP00408776189/RIUP23/1168/CHAUDHARY TRADE 8711.00</t>
  </si>
  <si>
    <t>28-11-2023 NEFT/AXISP00446894296/RIUP23/3412/CHAUDHARY TRADERS/ICIC0001767 310773.00</t>
  </si>
  <si>
    <t>28-11-2023 NEFT/AXISP00446894295/RIUP23/3413/CHAUDHARY TRADERS/ICIC0001767 158902.00</t>
  </si>
  <si>
    <t>GST</t>
  </si>
  <si>
    <t>308, 321, 324</t>
  </si>
  <si>
    <t>gst</t>
  </si>
  <si>
    <t>4, 308</t>
  </si>
  <si>
    <t>22-03-2024 NEFT/AXISP00483612641/RIUP23/4793/CHAUDHARY TRADERS/ICIC0001767 32455.00</t>
  </si>
  <si>
    <t>Total Hold</t>
  </si>
  <si>
    <t>Advance / Surplus</t>
  </si>
  <si>
    <t>GST Remaining</t>
  </si>
  <si>
    <t>DPR excess Hold</t>
  </si>
  <si>
    <t>290,   295,   307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</si>
  <si>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</si>
  <si>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</si>
  <si>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</si>
  <si>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</si>
  <si>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</si>
  <si>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</si>
  <si>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</si>
  <si>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</si>
  <si>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</si>
  <si>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</si>
  <si>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</si>
  <si>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</si>
  <si>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</si>
  <si>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</si>
  <si>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</si>
  <si>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</si>
  <si>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</si>
  <si>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Subcontractor:</t>
  </si>
  <si>
    <t>State:</t>
  </si>
  <si>
    <t>District:</t>
  </si>
  <si>
    <t>Block: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</si>
</sst>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6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2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5" xfId="1" applyNumberFormat="1" applyFont="1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14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 wrapText="1"/>
    </xf>
    <xf numFmtId="43" fontId="3" fillId="2" borderId="17" xfId="1" applyNumberFormat="1" applyFont="1" applyFill="1" applyBorder="1" applyAlignment="1">
      <alignment vertical="center"/>
    </xf>
    <xf numFmtId="43" fontId="5" fillId="2" borderId="17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9" xfId="0" quotePrefix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43" fontId="3" fillId="2" borderId="10" xfId="1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9" fontId="3" fillId="2" borderId="10" xfId="1" applyNumberFormat="1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quotePrefix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43" fontId="3" fillId="3" borderId="24" xfId="1" applyNumberFormat="1" applyFont="1" applyFill="1" applyBorder="1" applyAlignment="1">
      <alignment vertical="center"/>
    </xf>
    <xf numFmtId="9" fontId="3" fillId="3" borderId="24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43" fontId="3" fillId="3" borderId="23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5" fillId="2" borderId="26" xfId="0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vertical="center"/>
    </xf>
    <xf numFmtId="43" fontId="0" fillId="2" borderId="0" xfId="0" applyNumberFormat="1" applyFill="1" applyAlignment="1">
      <alignment vertical="center"/>
    </xf>
    <xf numFmtId="0" fontId="0" fillId="0" borderId="18" xfId="0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27" xfId="0" applyFont="1" applyFill="1" applyBorder="1" applyAlignment="1">
      <alignment horizontal="center" vertical="center" wrapText="1"/>
    </xf>
    <xf numFmtId="43" fontId="0" fillId="2" borderId="28" xfId="1" applyNumberFormat="1" applyFont="1" applyFill="1" applyBorder="1" applyAlignment="1">
      <alignment vertical="center"/>
    </xf>
    <xf numFmtId="43" fontId="0" fillId="3" borderId="25" xfId="1" applyNumberFormat="1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43" fontId="0" fillId="2" borderId="13" xfId="1" applyNumberFormat="1" applyFont="1" applyFill="1" applyBorder="1" applyAlignment="1">
      <alignment vertical="center"/>
    </xf>
    <xf numFmtId="43" fontId="0" fillId="2" borderId="18" xfId="1" applyNumberFormat="1" applyFont="1" applyFill="1" applyBorder="1" applyAlignment="1">
      <alignment vertical="center"/>
    </xf>
    <xf numFmtId="43" fontId="0" fillId="2" borderId="12" xfId="1" applyNumberFormat="1" applyFont="1" applyFill="1" applyBorder="1" applyAlignment="1">
      <alignment vertical="center"/>
    </xf>
    <xf numFmtId="43" fontId="2" fillId="2" borderId="2" xfId="1" applyNumberFormat="1" applyFont="1" applyFill="1" applyBorder="1" applyAlignment="1">
      <alignment vertical="center"/>
    </xf>
    <xf numFmtId="0" fontId="6" fillId="2" borderId="40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164" fontId="10" fillId="2" borderId="40" xfId="1" applyFont="1" applyFill="1" applyBorder="1" applyAlignment="1">
      <alignment horizontal="center" vertical="center"/>
    </xf>
    <xf numFmtId="164" fontId="6" fillId="2" borderId="40" xfId="1" applyFont="1" applyFill="1" applyBorder="1" applyAlignment="1">
      <alignment horizontal="center" vertical="center"/>
    </xf>
    <xf numFmtId="0" fontId="6" fillId="0" borderId="0" xfId="0" applyFont="1"/>
    <xf numFmtId="0" fontId="9" fillId="2" borderId="34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43" fontId="5" fillId="2" borderId="34" xfId="1" applyNumberFormat="1" applyFont="1" applyFill="1" applyBorder="1" applyAlignment="1">
      <alignment horizontal="center" vertical="center"/>
    </xf>
    <xf numFmtId="43" fontId="5" fillId="2" borderId="35" xfId="1" applyNumberFormat="1" applyFont="1" applyFill="1" applyBorder="1" applyAlignment="1">
      <alignment horizontal="center" vertical="center"/>
    </xf>
    <xf numFmtId="43" fontId="9" fillId="2" borderId="36" xfId="1" applyNumberFormat="1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43" fontId="9" fillId="2" borderId="39" xfId="1" applyNumberFormat="1" applyFont="1" applyFill="1" applyBorder="1" applyAlignment="1">
      <alignment horizontal="center" vertical="center"/>
    </xf>
    <xf numFmtId="43" fontId="5" fillId="2" borderId="29" xfId="1" applyNumberFormat="1" applyFont="1" applyFill="1" applyBorder="1" applyAlignment="1">
      <alignment horizontal="center" vertical="center"/>
    </xf>
    <xf numFmtId="43" fontId="5" fillId="2" borderId="30" xfId="1" applyNumberFormat="1" applyFont="1" applyFill="1" applyBorder="1" applyAlignment="1">
      <alignment horizontal="center" vertical="center"/>
    </xf>
    <xf numFmtId="43" fontId="5" fillId="2" borderId="31" xfId="1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4" fontId="9" fillId="2" borderId="4" xfId="0" applyNumberFormat="1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164" fontId="9" fillId="2" borderId="32" xfId="1" applyFont="1" applyFill="1" applyBorder="1" applyAlignment="1">
      <alignment horizontal="center" vertical="center"/>
    </xf>
    <xf numFmtId="164" fontId="9" fillId="2" borderId="33" xfId="1" applyFont="1" applyFill="1" applyBorder="1" applyAlignment="1">
      <alignment horizontal="center" vertical="center"/>
    </xf>
    <xf numFmtId="166" fontId="0" fillId="2" borderId="0" xfId="0" applyNumberFormat="1" applyFill="1" applyAlignment="1">
      <alignment vertical="center"/>
    </xf>
    <xf numFmtId="166" fontId="2" fillId="2" borderId="0" xfId="1" applyNumberFormat="1" applyFont="1" applyFill="1" applyBorder="1" applyAlignment="1">
      <alignment vertical="center"/>
    </xf>
    <xf numFmtId="166" fontId="3" fillId="2" borderId="2" xfId="0" applyNumberFormat="1" applyFont="1" applyFill="1" applyBorder="1" applyAlignment="1">
      <alignment vertical="center"/>
    </xf>
    <xf numFmtId="166" fontId="6" fillId="2" borderId="40" xfId="0" applyNumberFormat="1" applyFont="1" applyFill="1" applyBorder="1" applyAlignment="1">
      <alignment horizontal="center" vertical="center"/>
    </xf>
    <xf numFmtId="166" fontId="3" fillId="2" borderId="10" xfId="1" applyNumberFormat="1" applyFont="1" applyFill="1" applyBorder="1" applyAlignment="1">
      <alignment vertical="center"/>
    </xf>
    <xf numFmtId="166" fontId="3" fillId="3" borderId="24" xfId="1" applyNumberFormat="1" applyFont="1" applyFill="1" applyBorder="1" applyAlignment="1">
      <alignment vertical="center"/>
    </xf>
    <xf numFmtId="166" fontId="3" fillId="2" borderId="5" xfId="0" applyNumberFormat="1" applyFont="1" applyFill="1" applyBorder="1" applyAlignment="1">
      <alignment horizontal="center" vertical="center"/>
    </xf>
    <xf numFmtId="166" fontId="3" fillId="2" borderId="9" xfId="0" applyNumberFormat="1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2" borderId="9" xfId="1" applyNumberFormat="1" applyFont="1" applyFill="1" applyBorder="1" applyAlignment="1">
      <alignment vertical="center"/>
    </xf>
    <xf numFmtId="166" fontId="3" fillId="2" borderId="10" xfId="0" applyNumberFormat="1" applyFont="1" applyFill="1" applyBorder="1" applyAlignment="1">
      <alignment horizontal="center" vertical="center"/>
    </xf>
    <xf numFmtId="166" fontId="3" fillId="2" borderId="5" xfId="1" applyNumberFormat="1" applyFont="1" applyFill="1" applyBorder="1" applyAlignment="1">
      <alignment vertical="center"/>
    </xf>
    <xf numFmtId="166" fontId="3" fillId="2" borderId="2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zoomScale="90" zoomScaleNormal="90" workbookViewId="0">
      <selection activeCell="C1" sqref="C1:C1048576"/>
    </sheetView>
  </sheetViews>
  <sheetFormatPr defaultColWidth="9" defaultRowHeight="30" customHeight="1" x14ac:dyDescent="0.25"/>
  <cols>
    <col min="1" max="1" width="9" style="4"/>
    <col min="2" max="2" width="30" style="4" customWidth="1"/>
    <col min="3" max="3" width="16.85546875" style="109" bestFit="1" customWidth="1"/>
    <col min="4" max="4" width="27.7109375" style="4" bestFit="1" customWidth="1"/>
    <col min="5" max="5" width="11.5703125" style="4" customWidth="1"/>
    <col min="6" max="6" width="13.28515625" style="4" bestFit="1" customWidth="1"/>
    <col min="7" max="8" width="13.28515625" style="4" customWidth="1"/>
    <col min="9" max="9" width="17.140625" style="28" bestFit="1" customWidth="1"/>
    <col min="10" max="10" width="16.85546875" style="28" bestFit="1" customWidth="1"/>
    <col min="11" max="11" width="10.7109375" style="4" bestFit="1" customWidth="1"/>
    <col min="12" max="12" width="11.7109375" style="4" bestFit="1" customWidth="1"/>
    <col min="13" max="13" width="16.140625" style="4" bestFit="1" customWidth="1"/>
    <col min="14" max="14" width="12.42578125" style="4" bestFit="1" customWidth="1"/>
    <col min="15" max="15" width="17.140625" style="4" bestFit="1" customWidth="1"/>
    <col min="16" max="16" width="17.5703125" style="4" bestFit="1" customWidth="1"/>
    <col min="17" max="17" width="14.85546875" style="4" customWidth="1"/>
    <col min="18" max="18" width="21.7109375" style="4" hidden="1" customWidth="1"/>
    <col min="19" max="19" width="12.7109375" style="4" hidden="1" customWidth="1"/>
    <col min="20" max="22" width="14.5703125" style="4" hidden="1" customWidth="1"/>
    <col min="23" max="23" width="15" style="4" bestFit="1" customWidth="1"/>
    <col min="24" max="24" width="90" style="4" bestFit="1" customWidth="1"/>
    <col min="25" max="25" width="12.42578125" style="4" bestFit="1" customWidth="1"/>
    <col min="26" max="16384" width="9" style="4"/>
  </cols>
  <sheetData>
    <row r="1" spans="1:24" ht="30" customHeight="1" thickBot="1" x14ac:dyDescent="0.3">
      <c r="A1" s="91" t="s">
        <v>65</v>
      </c>
      <c r="B1" s="3" t="s">
        <v>12</v>
      </c>
      <c r="F1" s="5"/>
      <c r="G1" s="5"/>
      <c r="H1" s="5"/>
      <c r="I1" s="6"/>
      <c r="J1" s="6"/>
    </row>
    <row r="2" spans="1:24" ht="30" customHeight="1" thickBot="1" x14ac:dyDescent="0.3">
      <c r="A2" s="91" t="s">
        <v>66</v>
      </c>
      <c r="B2" s="7" t="s">
        <v>48</v>
      </c>
      <c r="C2" s="110"/>
      <c r="D2" s="8"/>
      <c r="E2" s="8"/>
      <c r="H2" s="9"/>
      <c r="J2" s="9" t="s">
        <v>7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59">
        <v>45373</v>
      </c>
    </row>
    <row r="3" spans="1:24" ht="30" customHeight="1" thickBot="1" x14ac:dyDescent="0.3">
      <c r="A3" s="91" t="s">
        <v>67</v>
      </c>
      <c r="B3" s="85" t="s">
        <v>49</v>
      </c>
      <c r="C3" s="110"/>
      <c r="D3" s="8"/>
      <c r="E3" s="8"/>
      <c r="H3" s="9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59"/>
    </row>
    <row r="4" spans="1:24" ht="15.75" thickBot="1" x14ac:dyDescent="0.3">
      <c r="A4" s="91" t="s">
        <v>68</v>
      </c>
      <c r="B4" s="11" t="s">
        <v>49</v>
      </c>
      <c r="C4" s="111"/>
      <c r="D4" s="11"/>
      <c r="E4" s="11"/>
      <c r="F4" s="11"/>
      <c r="G4" s="10"/>
      <c r="H4" s="10"/>
      <c r="I4" s="12"/>
      <c r="J4" s="12"/>
      <c r="K4" s="10"/>
      <c r="L4" s="10"/>
      <c r="M4" s="10"/>
      <c r="N4" s="10"/>
      <c r="R4" s="10"/>
      <c r="S4" s="13"/>
      <c r="T4" s="13"/>
      <c r="U4" s="13"/>
      <c r="V4" s="13"/>
      <c r="W4" s="13"/>
      <c r="X4" s="75"/>
    </row>
    <row r="5" spans="1:24" ht="54.75" thickBot="1" x14ac:dyDescent="0.3">
      <c r="A5" s="86" t="s">
        <v>50</v>
      </c>
      <c r="B5" s="87" t="s">
        <v>51</v>
      </c>
      <c r="C5" s="112" t="s">
        <v>52</v>
      </c>
      <c r="D5" s="88" t="s">
        <v>53</v>
      </c>
      <c r="E5" s="87" t="s">
        <v>54</v>
      </c>
      <c r="F5" s="87" t="s">
        <v>55</v>
      </c>
      <c r="G5" s="88" t="s">
        <v>56</v>
      </c>
      <c r="H5" s="89" t="s">
        <v>57</v>
      </c>
      <c r="I5" s="90" t="s">
        <v>0</v>
      </c>
      <c r="J5" s="87" t="s">
        <v>58</v>
      </c>
      <c r="K5" s="87" t="s">
        <v>59</v>
      </c>
      <c r="L5" s="87" t="s">
        <v>60</v>
      </c>
      <c r="M5" s="87" t="s">
        <v>61</v>
      </c>
      <c r="N5" s="87" t="s">
        <v>62</v>
      </c>
      <c r="O5" s="47" t="s">
        <v>1</v>
      </c>
      <c r="P5" s="47" t="s">
        <v>11</v>
      </c>
      <c r="Q5" s="36" t="s">
        <v>63</v>
      </c>
      <c r="R5" s="2" t="s">
        <v>2</v>
      </c>
      <c r="S5" s="2" t="s">
        <v>0</v>
      </c>
      <c r="T5" s="2" t="s">
        <v>6</v>
      </c>
      <c r="U5" s="1" t="s">
        <v>4</v>
      </c>
      <c r="V5" s="1" t="s">
        <v>5</v>
      </c>
      <c r="W5" s="69" t="s">
        <v>64</v>
      </c>
      <c r="X5" s="76" t="s">
        <v>3</v>
      </c>
    </row>
    <row r="6" spans="1:24" ht="30" customHeight="1" thickBot="1" x14ac:dyDescent="0.3">
      <c r="A6" s="49"/>
      <c r="B6" s="24"/>
      <c r="C6" s="113"/>
      <c r="D6" s="24"/>
      <c r="E6" s="24"/>
      <c r="F6" s="24"/>
      <c r="G6" s="24"/>
      <c r="H6" s="24"/>
      <c r="I6" s="55">
        <v>0.18</v>
      </c>
      <c r="J6" s="24"/>
      <c r="K6" s="55">
        <v>0.01</v>
      </c>
      <c r="L6" s="55">
        <v>0.05</v>
      </c>
      <c r="M6" s="55">
        <v>0.1</v>
      </c>
      <c r="N6" s="55">
        <v>0.1</v>
      </c>
      <c r="O6" s="55">
        <v>0.18</v>
      </c>
      <c r="P6" s="55"/>
      <c r="Q6" s="27"/>
      <c r="R6" s="16"/>
      <c r="S6" s="14"/>
      <c r="T6" s="17">
        <v>0.01</v>
      </c>
      <c r="U6" s="18">
        <v>0.05</v>
      </c>
      <c r="V6" s="15"/>
      <c r="W6" s="70"/>
      <c r="X6" s="77"/>
    </row>
    <row r="7" spans="1:24" s="68" customFormat="1" ht="30" customHeight="1" thickBot="1" x14ac:dyDescent="0.3">
      <c r="A7" s="61"/>
      <c r="B7" s="62"/>
      <c r="C7" s="114"/>
      <c r="D7" s="62"/>
      <c r="E7" s="62"/>
      <c r="F7" s="62"/>
      <c r="G7" s="62"/>
      <c r="H7" s="62"/>
      <c r="I7" s="63"/>
      <c r="J7" s="62"/>
      <c r="K7" s="63"/>
      <c r="L7" s="63"/>
      <c r="M7" s="63"/>
      <c r="N7" s="63"/>
      <c r="O7" s="63"/>
      <c r="P7" s="63"/>
      <c r="Q7" s="64"/>
      <c r="R7" s="60"/>
      <c r="S7" s="31"/>
      <c r="T7" s="65"/>
      <c r="U7" s="66"/>
      <c r="V7" s="32"/>
      <c r="W7" s="67"/>
      <c r="X7" s="78"/>
    </row>
    <row r="8" spans="1:24" ht="30" customHeight="1" x14ac:dyDescent="0.25">
      <c r="A8" s="52">
        <v>55449</v>
      </c>
      <c r="B8" s="53" t="s">
        <v>13</v>
      </c>
      <c r="C8" s="115">
        <v>45040</v>
      </c>
      <c r="D8" s="54" t="s">
        <v>41</v>
      </c>
      <c r="E8" s="54">
        <v>1</v>
      </c>
      <c r="F8" s="14">
        <v>779485</v>
      </c>
      <c r="G8" s="14">
        <v>108084</v>
      </c>
      <c r="H8" s="14">
        <f>ROUND(F8-G8,)</f>
        <v>671401</v>
      </c>
      <c r="I8" s="14">
        <f>ROUND(H8*I6,0)</f>
        <v>120852</v>
      </c>
      <c r="J8" s="14">
        <f>H8+I8</f>
        <v>792253</v>
      </c>
      <c r="K8" s="14">
        <f>ROUND(H8*$K$6,)</f>
        <v>6714</v>
      </c>
      <c r="L8" s="14">
        <f>ROUND(H8*$L$6,)</f>
        <v>33570</v>
      </c>
      <c r="M8" s="14">
        <f>ROUND(H8*$M$6,)</f>
        <v>67140</v>
      </c>
      <c r="N8" s="14">
        <f>ROUND(H8*$N$6,)</f>
        <v>67140</v>
      </c>
      <c r="O8" s="14">
        <f>I8</f>
        <v>120852</v>
      </c>
      <c r="P8" s="14">
        <v>119075</v>
      </c>
      <c r="Q8" s="19">
        <f>ROUND(J8-SUM(K8:P8),0)</f>
        <v>377762</v>
      </c>
      <c r="R8" s="20" t="s">
        <v>15</v>
      </c>
      <c r="S8" s="14">
        <v>377763</v>
      </c>
      <c r="T8" s="14">
        <v>0</v>
      </c>
      <c r="U8" s="15"/>
      <c r="V8" s="15"/>
      <c r="W8" s="37">
        <f>ROUND(S8-T8-U8-V8,)</f>
        <v>377763</v>
      </c>
      <c r="X8" s="72" t="s">
        <v>14</v>
      </c>
    </row>
    <row r="9" spans="1:24" ht="30" customHeight="1" x14ac:dyDescent="0.25">
      <c r="A9" s="52">
        <v>55449</v>
      </c>
      <c r="B9" s="44" t="s">
        <v>13</v>
      </c>
      <c r="C9" s="116">
        <v>45040</v>
      </c>
      <c r="D9" s="45">
        <v>324</v>
      </c>
      <c r="E9" s="45">
        <v>2</v>
      </c>
      <c r="F9" s="21">
        <v>91518</v>
      </c>
      <c r="G9" s="21">
        <v>36028</v>
      </c>
      <c r="H9" s="21">
        <f>ROUND(F9-G9,)</f>
        <v>55490</v>
      </c>
      <c r="I9" s="21">
        <f>ROUND(H9*I6,0)</f>
        <v>9988</v>
      </c>
      <c r="J9" s="21">
        <f>H9+I9</f>
        <v>65478</v>
      </c>
      <c r="K9" s="21">
        <f>ROUND(H9*$K$6,)</f>
        <v>555</v>
      </c>
      <c r="L9" s="21">
        <f>ROUND(H9*$L$6,)</f>
        <v>2775</v>
      </c>
      <c r="M9" s="21">
        <f>ROUND(H9*$M$6,)</f>
        <v>5549</v>
      </c>
      <c r="N9" s="21">
        <f>ROUND(H9*$N$6,)</f>
        <v>5549</v>
      </c>
      <c r="O9" s="21">
        <f>H9*O6</f>
        <v>9988.1999999999989</v>
      </c>
      <c r="P9" s="21">
        <v>768</v>
      </c>
      <c r="Q9" s="23">
        <f>ROUND(J9-SUM(K9:P9),0)</f>
        <v>40294</v>
      </c>
      <c r="R9" s="20" t="s">
        <v>32</v>
      </c>
      <c r="S9" s="14">
        <v>99000</v>
      </c>
      <c r="T9" s="14"/>
      <c r="U9" s="15"/>
      <c r="V9" s="15"/>
      <c r="W9" s="20">
        <v>99000</v>
      </c>
      <c r="X9" s="79" t="s">
        <v>29</v>
      </c>
    </row>
    <row r="10" spans="1:24" ht="30" customHeight="1" x14ac:dyDescent="0.25">
      <c r="A10" s="52">
        <v>55449</v>
      </c>
      <c r="B10" s="44" t="s">
        <v>13</v>
      </c>
      <c r="C10" s="116">
        <v>45209</v>
      </c>
      <c r="D10" s="45">
        <v>326</v>
      </c>
      <c r="E10" s="45">
        <v>4</v>
      </c>
      <c r="F10" s="21">
        <v>216336</v>
      </c>
      <c r="G10" s="21">
        <v>36028</v>
      </c>
      <c r="H10" s="21">
        <f>ROUND(F10-G10,)</f>
        <v>180308</v>
      </c>
      <c r="I10" s="21">
        <f>H10*18%</f>
        <v>32455.439999999999</v>
      </c>
      <c r="J10" s="21">
        <f>H10+I10</f>
        <v>212763.44</v>
      </c>
      <c r="K10" s="21">
        <f>ROUND(H10*$K$6,)</f>
        <v>1803</v>
      </c>
      <c r="L10" s="21">
        <f>ROUND(H10*$L$6,)</f>
        <v>9015</v>
      </c>
      <c r="M10" s="21">
        <f>ROUND(H10*$M$6,)</f>
        <v>18031</v>
      </c>
      <c r="N10" s="21">
        <f>ROUND(H10*$N$6,)</f>
        <v>18031</v>
      </c>
      <c r="O10" s="21">
        <f>I10</f>
        <v>32455.439999999999</v>
      </c>
      <c r="P10" s="21">
        <v>768</v>
      </c>
      <c r="Q10" s="23">
        <f>ROUND(J10-SUM(K10:P10),0)</f>
        <v>132660</v>
      </c>
      <c r="R10" s="20" t="s">
        <v>33</v>
      </c>
      <c r="S10" s="14">
        <v>41062</v>
      </c>
      <c r="T10" s="14"/>
      <c r="U10" s="15"/>
      <c r="V10" s="15"/>
      <c r="W10" s="48">
        <v>8711</v>
      </c>
      <c r="X10" s="79" t="s">
        <v>35</v>
      </c>
    </row>
    <row r="11" spans="1:24" ht="30" customHeight="1" x14ac:dyDescent="0.25">
      <c r="A11" s="52">
        <v>55449</v>
      </c>
      <c r="B11" s="44" t="s">
        <v>13</v>
      </c>
      <c r="C11" s="116">
        <v>45125</v>
      </c>
      <c r="D11" s="45">
        <v>321</v>
      </c>
      <c r="E11" s="45">
        <v>2</v>
      </c>
      <c r="F11" s="21">
        <v>155896</v>
      </c>
      <c r="G11" s="21"/>
      <c r="H11" s="21">
        <f>F11-G11</f>
        <v>155896</v>
      </c>
      <c r="I11" s="21">
        <f>H11*18%</f>
        <v>28061.279999999999</v>
      </c>
      <c r="J11" s="21">
        <f>H11+I11</f>
        <v>183957.28</v>
      </c>
      <c r="K11" s="21">
        <f>ROUND(H11*$K$6,)</f>
        <v>1559</v>
      </c>
      <c r="L11" s="21">
        <f>ROUND(H11*$L$6,)</f>
        <v>7795</v>
      </c>
      <c r="M11" s="21">
        <f>ROUND(H11*$M$6,)</f>
        <v>15590</v>
      </c>
      <c r="N11" s="21">
        <f>ROUND(H11*$N$6,)</f>
        <v>15590</v>
      </c>
      <c r="O11" s="21">
        <f>I11</f>
        <v>28061.279999999999</v>
      </c>
      <c r="P11" s="21">
        <v>769</v>
      </c>
      <c r="Q11" s="23">
        <f>ROUND(J11-SUM(K11:P11),0)</f>
        <v>114593</v>
      </c>
      <c r="R11" s="20" t="s">
        <v>34</v>
      </c>
      <c r="S11" s="14">
        <v>132660</v>
      </c>
      <c r="T11" s="14"/>
      <c r="U11" s="15"/>
      <c r="V11" s="15"/>
      <c r="W11" s="20">
        <v>41062</v>
      </c>
      <c r="X11" s="79" t="s">
        <v>30</v>
      </c>
    </row>
    <row r="12" spans="1:24" ht="30" customHeight="1" x14ac:dyDescent="0.25">
      <c r="A12" s="52">
        <v>55449</v>
      </c>
      <c r="B12" s="44" t="s">
        <v>13</v>
      </c>
      <c r="C12" s="116">
        <v>45248</v>
      </c>
      <c r="D12" s="45">
        <v>336</v>
      </c>
      <c r="E12" s="45">
        <v>5</v>
      </c>
      <c r="F12" s="21">
        <v>565202</v>
      </c>
      <c r="G12" s="21">
        <v>36028</v>
      </c>
      <c r="H12" s="21">
        <f>F12-G12</f>
        <v>529174</v>
      </c>
      <c r="I12" s="21">
        <f>H12*18%</f>
        <v>95251.319999999992</v>
      </c>
      <c r="J12" s="21">
        <f>H12+I12</f>
        <v>624425.31999999995</v>
      </c>
      <c r="K12" s="21">
        <f>H12*1%</f>
        <v>5291.74</v>
      </c>
      <c r="L12" s="21">
        <f>H12*5%</f>
        <v>26458.7</v>
      </c>
      <c r="M12" s="21">
        <f>H12*10%</f>
        <v>52917.4</v>
      </c>
      <c r="N12" s="21">
        <f>H12*10%</f>
        <v>52917.4</v>
      </c>
      <c r="O12" s="21">
        <f>H12*18%</f>
        <v>95251.319999999992</v>
      </c>
      <c r="P12" s="21">
        <v>80816</v>
      </c>
      <c r="Q12" s="23">
        <f>ROUND(J12-SUM(K12:P12),0)</f>
        <v>310773</v>
      </c>
      <c r="R12" s="20"/>
      <c r="S12" s="14"/>
      <c r="T12" s="14"/>
      <c r="U12" s="15"/>
      <c r="V12" s="15"/>
      <c r="W12" s="20">
        <v>132660</v>
      </c>
      <c r="X12" s="79" t="s">
        <v>31</v>
      </c>
    </row>
    <row r="13" spans="1:24" ht="30" customHeight="1" x14ac:dyDescent="0.25">
      <c r="A13" s="52">
        <v>55449</v>
      </c>
      <c r="B13" s="44" t="s">
        <v>38</v>
      </c>
      <c r="C13" s="116"/>
      <c r="D13" s="45" t="s">
        <v>39</v>
      </c>
      <c r="E13" s="45"/>
      <c r="F13" s="21">
        <v>158902</v>
      </c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3">
        <f>F13</f>
        <v>158902</v>
      </c>
      <c r="R13" s="20"/>
      <c r="S13" s="14"/>
      <c r="T13" s="14"/>
      <c r="U13" s="15"/>
      <c r="V13" s="15"/>
      <c r="W13" s="20">
        <v>310773</v>
      </c>
      <c r="X13" s="79" t="s">
        <v>36</v>
      </c>
    </row>
    <row r="14" spans="1:24" ht="30" customHeight="1" x14ac:dyDescent="0.25">
      <c r="A14" s="52">
        <v>55449</v>
      </c>
      <c r="B14" s="44" t="s">
        <v>40</v>
      </c>
      <c r="C14" s="116"/>
      <c r="D14" s="45">
        <v>326</v>
      </c>
      <c r="E14" s="45"/>
      <c r="F14" s="21">
        <f>O10</f>
        <v>32455.439999999999</v>
      </c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3">
        <f t="shared" ref="Q14:Q15" si="0">F14</f>
        <v>32455.439999999999</v>
      </c>
      <c r="R14" s="20"/>
      <c r="S14" s="14"/>
      <c r="T14" s="14"/>
      <c r="U14" s="15"/>
      <c r="V14" s="15"/>
      <c r="W14" s="20">
        <v>158902</v>
      </c>
      <c r="X14" s="79" t="s">
        <v>37</v>
      </c>
    </row>
    <row r="15" spans="1:24" ht="30" customHeight="1" x14ac:dyDescent="0.25">
      <c r="A15" s="52">
        <v>55449</v>
      </c>
      <c r="B15" s="44"/>
      <c r="C15" s="116"/>
      <c r="D15" s="45">
        <v>336</v>
      </c>
      <c r="E15" s="45"/>
      <c r="F15" s="21">
        <f>O12</f>
        <v>95251.319999999992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3">
        <f t="shared" si="0"/>
        <v>95251.319999999992</v>
      </c>
      <c r="R15" s="20"/>
      <c r="S15" s="14"/>
      <c r="T15" s="14"/>
      <c r="U15" s="15"/>
      <c r="V15" s="15"/>
      <c r="W15" s="20">
        <v>32455</v>
      </c>
      <c r="X15" s="79" t="s">
        <v>42</v>
      </c>
    </row>
    <row r="16" spans="1:24" ht="30" customHeight="1" thickBot="1" x14ac:dyDescent="0.3">
      <c r="A16" s="52">
        <v>55449</v>
      </c>
      <c r="B16" s="44"/>
      <c r="C16" s="116"/>
      <c r="D16" s="45"/>
      <c r="E16" s="45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3"/>
      <c r="R16" s="20"/>
      <c r="S16" s="14"/>
      <c r="T16" s="14"/>
      <c r="U16" s="15"/>
      <c r="V16" s="15"/>
      <c r="W16" s="26"/>
      <c r="X16" s="80"/>
    </row>
    <row r="17" spans="1:25" ht="30" customHeight="1" x14ac:dyDescent="0.25">
      <c r="A17" s="56"/>
      <c r="B17" s="57"/>
      <c r="C17" s="117"/>
      <c r="D17" s="58"/>
      <c r="E17" s="58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5"/>
      <c r="R17" s="34"/>
      <c r="S17" s="31"/>
      <c r="T17" s="31"/>
      <c r="U17" s="32"/>
      <c r="V17" s="32"/>
      <c r="W17" s="60"/>
      <c r="X17" s="81"/>
      <c r="Y17" s="71">
        <f>SUM(Q8:Q16)-SUM(W8:W16)</f>
        <v>101364.76000000001</v>
      </c>
    </row>
    <row r="18" spans="1:25" ht="30" customHeight="1" x14ac:dyDescent="0.25">
      <c r="A18" s="48">
        <v>54745</v>
      </c>
      <c r="B18" s="44" t="s">
        <v>16</v>
      </c>
      <c r="C18" s="116">
        <v>44971</v>
      </c>
      <c r="D18" s="45">
        <v>290</v>
      </c>
      <c r="E18" s="45"/>
      <c r="F18" s="21">
        <v>195752</v>
      </c>
      <c r="G18" s="21">
        <v>0</v>
      </c>
      <c r="H18" s="21">
        <f>F18-G18</f>
        <v>195752</v>
      </c>
      <c r="I18" s="21">
        <f>ROUND(H18*18%,0)</f>
        <v>35235</v>
      </c>
      <c r="J18" s="21">
        <f>ROUND(H18+I18,)</f>
        <v>230987</v>
      </c>
      <c r="K18" s="21">
        <f>H18*$K$6</f>
        <v>1957.52</v>
      </c>
      <c r="L18" s="21">
        <f>H18*$L$6</f>
        <v>9787.6</v>
      </c>
      <c r="M18" s="21">
        <f>H18*$M$6</f>
        <v>19575.2</v>
      </c>
      <c r="N18" s="21">
        <f>H18*$N$6</f>
        <v>19575.2</v>
      </c>
      <c r="O18" s="21">
        <f>I18</f>
        <v>35235</v>
      </c>
      <c r="P18" s="21">
        <v>0</v>
      </c>
      <c r="Q18" s="23">
        <f>ROUND(J18-SUM(K18:P18),0)</f>
        <v>144856</v>
      </c>
      <c r="R18" s="20" t="s">
        <v>17</v>
      </c>
      <c r="S18" s="14">
        <v>100000</v>
      </c>
      <c r="T18" s="14">
        <f>S18*$T$6</f>
        <v>1000</v>
      </c>
      <c r="U18" s="15">
        <v>0</v>
      </c>
      <c r="V18" s="15">
        <v>0</v>
      </c>
      <c r="W18" s="20">
        <f t="shared" ref="W18:W20" si="1">ROUND(S18-T18-U18-V18,0)</f>
        <v>99000</v>
      </c>
      <c r="X18" s="73" t="s">
        <v>18</v>
      </c>
    </row>
    <row r="19" spans="1:25" ht="30" customHeight="1" x14ac:dyDescent="0.25">
      <c r="A19" s="48">
        <v>54745</v>
      </c>
      <c r="B19" s="44" t="s">
        <v>16</v>
      </c>
      <c r="C19" s="116">
        <v>44991</v>
      </c>
      <c r="D19" s="45">
        <v>295</v>
      </c>
      <c r="E19" s="45"/>
      <c r="F19" s="21">
        <v>240733.71</v>
      </c>
      <c r="G19" s="21">
        <v>36028.71</v>
      </c>
      <c r="H19" s="21">
        <f>F19-G19</f>
        <v>204705</v>
      </c>
      <c r="I19" s="21">
        <f t="shared" ref="I19:I20" si="2">ROUND(H19*18%,0)</f>
        <v>36847</v>
      </c>
      <c r="J19" s="21">
        <f>ROUND(H19+I19,)</f>
        <v>241552</v>
      </c>
      <c r="K19" s="21">
        <f>H19*$K$6</f>
        <v>2047.05</v>
      </c>
      <c r="L19" s="21">
        <f>H19*$L$6</f>
        <v>10235.25</v>
      </c>
      <c r="M19" s="21">
        <f>H19*$M$6</f>
        <v>20470.5</v>
      </c>
      <c r="N19" s="21">
        <f>H19*$N$6</f>
        <v>20470.5</v>
      </c>
      <c r="O19" s="21">
        <f>I19</f>
        <v>36847</v>
      </c>
      <c r="P19" s="21">
        <v>0</v>
      </c>
      <c r="Q19" s="23">
        <f>ROUND(J19-SUM(K19:P19),0)</f>
        <v>151482</v>
      </c>
      <c r="R19" s="20" t="s">
        <v>19</v>
      </c>
      <c r="S19" s="14">
        <v>100000</v>
      </c>
      <c r="T19" s="14">
        <f>S19*$T$6</f>
        <v>1000</v>
      </c>
      <c r="U19" s="15">
        <v>0</v>
      </c>
      <c r="V19" s="15">
        <v>0</v>
      </c>
      <c r="W19" s="20">
        <f t="shared" si="1"/>
        <v>99000</v>
      </c>
      <c r="X19" s="73" t="s">
        <v>20</v>
      </c>
    </row>
    <row r="20" spans="1:25" ht="30" customHeight="1" x14ac:dyDescent="0.25">
      <c r="A20" s="48">
        <v>54745</v>
      </c>
      <c r="B20" s="44" t="s">
        <v>16</v>
      </c>
      <c r="C20" s="116">
        <v>45019</v>
      </c>
      <c r="D20" s="45">
        <v>307</v>
      </c>
      <c r="E20" s="45"/>
      <c r="F20" s="21">
        <v>335723</v>
      </c>
      <c r="G20" s="21">
        <v>0</v>
      </c>
      <c r="H20" s="21">
        <f>F20-G20</f>
        <v>335723</v>
      </c>
      <c r="I20" s="21">
        <f t="shared" si="2"/>
        <v>60430</v>
      </c>
      <c r="J20" s="21">
        <f>ROUND(H20+I20,)</f>
        <v>396153</v>
      </c>
      <c r="K20" s="21">
        <f>H20*$K$6</f>
        <v>3357.23</v>
      </c>
      <c r="L20" s="21">
        <f>H20*$L$6</f>
        <v>16786.150000000001</v>
      </c>
      <c r="M20" s="21">
        <f>H20*$M$6</f>
        <v>33572.300000000003</v>
      </c>
      <c r="N20" s="21">
        <f>H20*$N$6</f>
        <v>33572.300000000003</v>
      </c>
      <c r="O20" s="21">
        <f>I20</f>
        <v>60430</v>
      </c>
      <c r="P20" s="21">
        <v>106542</v>
      </c>
      <c r="Q20" s="23">
        <f>ROUND(J20-SUM(K20:P20),0)</f>
        <v>141893</v>
      </c>
      <c r="R20" s="20" t="s">
        <v>21</v>
      </c>
      <c r="S20" s="14">
        <v>90000</v>
      </c>
      <c r="T20" s="14">
        <f>S20*$T$6</f>
        <v>900</v>
      </c>
      <c r="U20" s="15">
        <v>0</v>
      </c>
      <c r="V20" s="15">
        <v>0</v>
      </c>
      <c r="W20" s="20">
        <f t="shared" si="1"/>
        <v>89100</v>
      </c>
      <c r="X20" s="73" t="s">
        <v>22</v>
      </c>
    </row>
    <row r="21" spans="1:25" ht="30" customHeight="1" x14ac:dyDescent="0.25">
      <c r="A21" s="48">
        <v>54745</v>
      </c>
      <c r="B21" s="44" t="s">
        <v>38</v>
      </c>
      <c r="C21" s="118"/>
      <c r="D21" s="45" t="s">
        <v>47</v>
      </c>
      <c r="E21" s="46"/>
      <c r="F21" s="21">
        <f>O18+O19+O20</f>
        <v>132512</v>
      </c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3">
        <f>F21</f>
        <v>132512</v>
      </c>
      <c r="R21" s="20" t="s">
        <v>23</v>
      </c>
      <c r="S21" s="14">
        <v>150000</v>
      </c>
      <c r="T21" s="14">
        <f>S21*$T$6</f>
        <v>1500</v>
      </c>
      <c r="U21" s="15"/>
      <c r="V21" s="15"/>
      <c r="W21" s="20">
        <f>S21-T21-U21-V21</f>
        <v>148500</v>
      </c>
      <c r="X21" s="73" t="s">
        <v>24</v>
      </c>
    </row>
    <row r="22" spans="1:25" ht="30" customHeight="1" x14ac:dyDescent="0.25">
      <c r="A22" s="48">
        <v>54745</v>
      </c>
      <c r="B22" s="21"/>
      <c r="C22" s="1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3"/>
      <c r="R22" s="20" t="s">
        <v>25</v>
      </c>
      <c r="S22" s="21">
        <v>2633</v>
      </c>
      <c r="T22" s="21">
        <v>0</v>
      </c>
      <c r="U22" s="21"/>
      <c r="V22" s="22"/>
      <c r="W22" s="20">
        <v>2633</v>
      </c>
      <c r="X22" s="73" t="s">
        <v>26</v>
      </c>
    </row>
    <row r="23" spans="1:25" ht="30" customHeight="1" x14ac:dyDescent="0.25">
      <c r="A23" s="48">
        <v>54745</v>
      </c>
      <c r="B23" s="21"/>
      <c r="C23" s="118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3"/>
      <c r="R23" s="20" t="s">
        <v>27</v>
      </c>
      <c r="S23" s="21">
        <v>148500</v>
      </c>
      <c r="T23" s="21"/>
      <c r="U23" s="21"/>
      <c r="V23" s="22"/>
      <c r="W23" s="20">
        <v>148500</v>
      </c>
      <c r="X23" s="73" t="s">
        <v>28</v>
      </c>
    </row>
    <row r="24" spans="1:25" ht="30" customHeight="1" x14ac:dyDescent="0.25">
      <c r="A24" s="48">
        <v>54745</v>
      </c>
      <c r="B24" s="21"/>
      <c r="C24" s="118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3"/>
      <c r="R24" s="20"/>
      <c r="S24" s="21"/>
      <c r="T24" s="21"/>
      <c r="U24" s="21"/>
      <c r="V24" s="22"/>
      <c r="W24" s="20"/>
      <c r="X24" s="74"/>
    </row>
    <row r="25" spans="1:25" ht="30" customHeight="1" thickBot="1" x14ac:dyDescent="0.3">
      <c r="A25" s="48">
        <v>54745</v>
      </c>
      <c r="B25" s="50"/>
      <c r="C25" s="119"/>
      <c r="D25" s="50"/>
      <c r="E25" s="50"/>
      <c r="F25" s="51"/>
      <c r="G25" s="51"/>
      <c r="H25" s="51"/>
      <c r="I25" s="24"/>
      <c r="J25" s="24"/>
      <c r="K25" s="24"/>
      <c r="L25" s="24"/>
      <c r="M25" s="24"/>
      <c r="N25" s="24"/>
      <c r="O25" s="24"/>
      <c r="P25" s="24"/>
      <c r="Q25" s="27"/>
      <c r="R25" s="26"/>
      <c r="S25" s="24"/>
      <c r="T25" s="24"/>
      <c r="U25" s="24"/>
      <c r="V25" s="25"/>
      <c r="W25" s="26"/>
      <c r="X25" s="82"/>
      <c r="Y25" s="71">
        <f>SUM(Q18:Q25)-SUM(W18:W25)</f>
        <v>-15990</v>
      </c>
    </row>
    <row r="26" spans="1:25" ht="30" customHeight="1" x14ac:dyDescent="0.25">
      <c r="A26" s="16"/>
      <c r="B26" s="14"/>
      <c r="C26" s="120"/>
      <c r="D26" s="14"/>
      <c r="E26" s="14"/>
      <c r="F26" s="14"/>
      <c r="G26" s="14"/>
      <c r="H26" s="14"/>
      <c r="I26" s="14"/>
      <c r="J26" s="14"/>
      <c r="K26" s="14"/>
      <c r="L26" s="14"/>
      <c r="M26" s="100" t="s">
        <v>8</v>
      </c>
      <c r="N26" s="101"/>
      <c r="O26" s="102"/>
      <c r="P26" s="30"/>
      <c r="Q26" s="43">
        <f>SUM(Q8:Q25)</f>
        <v>1833433.76</v>
      </c>
      <c r="R26" s="30"/>
      <c r="S26" s="30"/>
      <c r="T26" s="30"/>
      <c r="U26" s="30" t="s">
        <v>10</v>
      </c>
      <c r="V26" s="29"/>
      <c r="W26" s="38">
        <f>SUM(W6:W25)</f>
        <v>1748059</v>
      </c>
      <c r="X26" s="83"/>
    </row>
    <row r="27" spans="1:25" ht="30" customHeight="1" x14ac:dyDescent="0.25">
      <c r="A27" s="16"/>
      <c r="B27" s="14"/>
      <c r="C27" s="120"/>
      <c r="D27" s="14"/>
      <c r="E27" s="14"/>
      <c r="F27" s="14">
        <f t="shared" ref="F27:P27" si="3">SUM(F8:F25)</f>
        <v>2999766.4699999997</v>
      </c>
      <c r="G27" s="14">
        <f t="shared" si="3"/>
        <v>252196.71</v>
      </c>
      <c r="H27" s="14">
        <f t="shared" si="3"/>
        <v>2328449</v>
      </c>
      <c r="I27" s="14">
        <f t="shared" si="3"/>
        <v>419120.04</v>
      </c>
      <c r="J27" s="14">
        <f t="shared" si="3"/>
        <v>2747569.04</v>
      </c>
      <c r="K27" s="14">
        <f t="shared" si="3"/>
        <v>23284.539999999997</v>
      </c>
      <c r="L27" s="14">
        <f t="shared" si="3"/>
        <v>116422.70000000001</v>
      </c>
      <c r="M27" s="14">
        <f t="shared" si="3"/>
        <v>232845.40000000002</v>
      </c>
      <c r="N27" s="14">
        <f t="shared" si="3"/>
        <v>232845.40000000002</v>
      </c>
      <c r="O27" s="14">
        <f t="shared" si="3"/>
        <v>419120.24</v>
      </c>
      <c r="P27" s="14">
        <f t="shared" si="3"/>
        <v>308738</v>
      </c>
      <c r="Q27" s="19"/>
      <c r="R27" s="14"/>
      <c r="S27" s="14"/>
      <c r="T27" s="14"/>
      <c r="U27" s="14"/>
      <c r="V27" s="15"/>
      <c r="W27" s="20"/>
      <c r="X27" s="84"/>
      <c r="Y27" s="4">
        <f>SUM(Y7:Y26)</f>
        <v>85374.760000000009</v>
      </c>
    </row>
    <row r="28" spans="1:25" ht="30" customHeight="1" x14ac:dyDescent="0.25">
      <c r="A28" s="16"/>
      <c r="B28" s="14"/>
      <c r="C28" s="120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9"/>
      <c r="R28" s="14"/>
      <c r="S28" s="14"/>
      <c r="T28" s="14"/>
      <c r="U28" s="30" t="s">
        <v>9</v>
      </c>
      <c r="V28" s="15"/>
      <c r="W28" s="39">
        <f>Q26-W26</f>
        <v>85374.760000000009</v>
      </c>
      <c r="X28" s="84"/>
    </row>
    <row r="29" spans="1:25" ht="30" customHeight="1" thickBot="1" x14ac:dyDescent="0.3">
      <c r="A29" s="40"/>
      <c r="B29" s="41"/>
      <c r="C29" s="12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2"/>
      <c r="R29" s="14"/>
      <c r="S29" s="14"/>
      <c r="T29" s="14"/>
      <c r="U29" s="14"/>
      <c r="V29" s="15"/>
      <c r="W29" s="26"/>
      <c r="X29" s="82"/>
    </row>
    <row r="30" spans="1:25" ht="30" customHeight="1" thickBot="1" x14ac:dyDescent="0.3"/>
    <row r="31" spans="1:25" ht="30" customHeight="1" thickBot="1" x14ac:dyDescent="0.3">
      <c r="J31" s="103" t="s">
        <v>12</v>
      </c>
      <c r="K31" s="103"/>
      <c r="L31" s="103"/>
      <c r="M31" s="103"/>
    </row>
    <row r="32" spans="1:25" ht="30" customHeight="1" thickBot="1" x14ac:dyDescent="0.3">
      <c r="J32" s="104">
        <v>45622</v>
      </c>
      <c r="K32" s="103"/>
      <c r="L32" s="103"/>
      <c r="M32" s="103"/>
    </row>
    <row r="33" spans="10:13" ht="30" customHeight="1" x14ac:dyDescent="0.25">
      <c r="J33" s="105" t="s">
        <v>43</v>
      </c>
      <c r="K33" s="106"/>
      <c r="L33" s="107">
        <f>L27+M27+N27</f>
        <v>582113.5</v>
      </c>
      <c r="M33" s="108"/>
    </row>
    <row r="34" spans="10:13" ht="30" customHeight="1" x14ac:dyDescent="0.25">
      <c r="J34" s="92" t="s">
        <v>44</v>
      </c>
      <c r="K34" s="93"/>
      <c r="L34" s="94">
        <f>W28</f>
        <v>85374.760000000009</v>
      </c>
      <c r="M34" s="95"/>
    </row>
    <row r="35" spans="10:13" ht="30" customHeight="1" x14ac:dyDescent="0.25">
      <c r="J35" s="92" t="s">
        <v>45</v>
      </c>
      <c r="K35" s="93"/>
      <c r="L35" s="96">
        <f>O27-Q13-Q14-Q15-Q21</f>
        <v>-0.52000000001862645</v>
      </c>
      <c r="M35" s="96"/>
    </row>
    <row r="36" spans="10:13" ht="30" customHeight="1" thickBot="1" x14ac:dyDescent="0.3">
      <c r="J36" s="97" t="s">
        <v>46</v>
      </c>
      <c r="K36" s="98"/>
      <c r="L36" s="99">
        <f>P27</f>
        <v>308738</v>
      </c>
      <c r="M36" s="99"/>
    </row>
  </sheetData>
  <mergeCells count="11">
    <mergeCell ref="M26:O26"/>
    <mergeCell ref="J31:M31"/>
    <mergeCell ref="J32:M32"/>
    <mergeCell ref="J33:K33"/>
    <mergeCell ref="L33:M33"/>
    <mergeCell ref="J34:K34"/>
    <mergeCell ref="L34:M34"/>
    <mergeCell ref="J35:K35"/>
    <mergeCell ref="L35:M35"/>
    <mergeCell ref="J36:K36"/>
    <mergeCell ref="L36:M36"/>
  </mergeCells>
  <pageMargins left="0.7" right="0.7" top="0.75" bottom="0.75" header="0.3" footer="0.3"/>
  <pageSetup orientation="portrait" r:id="rId1"/>
  <ignoredErrors>
    <ignoredError sqref="O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2022-06-10T14:20:18Z</cp:lastPrinted>
  <dcterms:created xsi:type="dcterms:W3CDTF">2022-06-10T14:11:52Z</dcterms:created>
  <dcterms:modified xsi:type="dcterms:W3CDTF">2025-05-29T12:38:14Z</dcterms:modified>
</cp:coreProperties>
</file>