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5ADFEEB3-87FB-47BF-8C1F-81CE549B62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1" l="1"/>
  <c r="E18" i="1" l="1"/>
  <c r="G18" i="1" s="1"/>
  <c r="L18" i="1" l="1"/>
  <c r="H18" i="1"/>
  <c r="I18" i="1" s="1"/>
  <c r="K18" i="1"/>
  <c r="J18" i="1"/>
  <c r="E33" i="1"/>
  <c r="G33" i="1" s="1"/>
  <c r="K33" i="1" s="1"/>
  <c r="U32" i="1"/>
  <c r="G32" i="1"/>
  <c r="K32" i="1" s="1"/>
  <c r="J32" i="1" l="1"/>
  <c r="J33" i="1"/>
  <c r="M18" i="1"/>
  <c r="H33" i="1"/>
  <c r="N33" i="1" s="1"/>
  <c r="H32" i="1"/>
  <c r="N32" i="1" s="1"/>
  <c r="E28" i="1"/>
  <c r="G28" i="1" s="1"/>
  <c r="I32" i="1" l="1"/>
  <c r="O32" i="1" s="1"/>
  <c r="I33" i="1"/>
  <c r="O33" i="1" s="1"/>
  <c r="H28" i="1"/>
  <c r="N28" i="1" s="1"/>
  <c r="K28" i="1"/>
  <c r="J28" i="1"/>
  <c r="E9" i="1"/>
  <c r="G9" i="1" s="1"/>
  <c r="I28" i="1" l="1"/>
  <c r="O28" i="1" s="1"/>
  <c r="H9" i="1"/>
  <c r="K9" i="1"/>
  <c r="J9" i="1"/>
  <c r="I9" i="1" l="1"/>
  <c r="P23" i="1" l="1"/>
  <c r="S23" i="1" s="1"/>
  <c r="E23" i="1"/>
  <c r="G23" i="1" s="1"/>
  <c r="K23" i="1" l="1"/>
  <c r="J23" i="1"/>
  <c r="L23" i="1"/>
  <c r="H23" i="1"/>
  <c r="I23" i="1" s="1"/>
  <c r="O23" i="1" l="1"/>
  <c r="P27" i="1"/>
  <c r="E27" i="1"/>
  <c r="G27" i="1" s="1"/>
  <c r="K27" i="1" s="1"/>
  <c r="J27" i="1" l="1"/>
  <c r="H27" i="1"/>
  <c r="N27" i="1" s="1"/>
  <c r="G36" i="1"/>
  <c r="H36" i="1" s="1"/>
  <c r="K36" i="1" l="1"/>
  <c r="J36" i="1"/>
  <c r="I27" i="1"/>
  <c r="O27" i="1" s="1"/>
  <c r="I36" i="1"/>
  <c r="N36" i="1"/>
  <c r="R7" i="1"/>
  <c r="R42" i="1"/>
  <c r="R41" i="1"/>
  <c r="G7" i="1"/>
  <c r="H7" i="1" s="1"/>
  <c r="G10" i="1"/>
  <c r="H10" i="1" s="1"/>
  <c r="G42" i="1"/>
  <c r="G41" i="1"/>
  <c r="O36" i="1" l="1"/>
  <c r="L41" i="1"/>
  <c r="M41" i="1"/>
  <c r="K41" i="1"/>
  <c r="H41" i="1"/>
  <c r="U7" i="1"/>
  <c r="U42" i="1"/>
  <c r="L10" i="1"/>
  <c r="K10" i="1"/>
  <c r="M10" i="1"/>
  <c r="J10" i="1"/>
  <c r="N42" i="1"/>
  <c r="J7" i="1"/>
  <c r="L7" i="1"/>
  <c r="K7" i="1"/>
  <c r="M7" i="1"/>
  <c r="L8" i="1"/>
  <c r="J41" i="1"/>
  <c r="I42" i="1" l="1"/>
  <c r="O42" i="1" s="1"/>
  <c r="N7" i="1" l="1"/>
  <c r="I7" i="1"/>
  <c r="O7" i="1" l="1"/>
  <c r="N8" i="1"/>
  <c r="O8" i="1" s="1"/>
  <c r="N9" i="1" l="1"/>
  <c r="O9" i="1" l="1"/>
  <c r="N10" i="1"/>
  <c r="I10" i="1"/>
  <c r="O10" i="1" l="1"/>
  <c r="N41" i="1" l="1"/>
  <c r="I41" i="1"/>
  <c r="O41" i="1" s="1"/>
</calcChain>
</file>

<file path=xl/sharedStrings.xml><?xml version="1.0" encoding="utf-8"?>
<sst xmlns="http://schemas.openxmlformats.org/spreadsheetml/2006/main" count="57" uniqueCount="50">
  <si>
    <t>Amount</t>
  </si>
  <si>
    <t>PAYMENT NOTE No.</t>
  </si>
  <si>
    <t>UTR</t>
  </si>
  <si>
    <t>SD (5%)</t>
  </si>
  <si>
    <t>Advance paid</t>
  </si>
  <si>
    <t>M/s Lokvinayak Infrastructurwe</t>
  </si>
  <si>
    <t>25-04-2023 25-04-2023 NEFT/AXISP00384260584/SPUP23/0291/LOKVINAYAK INFRA 490000.00</t>
  </si>
  <si>
    <t>SPUP23/0291</t>
  </si>
  <si>
    <t>RIUP23/1560</t>
  </si>
  <si>
    <t>10-08-2023 NEFT/AXISP00414729130/RIUP23/1560/LOKVINAYAK INFR 196000.00</t>
  </si>
  <si>
    <t>10-05-2023 NEFT/AXISP00389275302/RIUP23/192/LOKVINAYAK INFRA ₹ 2,94,000.00</t>
  </si>
  <si>
    <t>/RIUP23/192</t>
  </si>
  <si>
    <t>11-08-2023 NEFT/AXISP00415007047/RIUP23/1474/LOKVINAYAK INFR 196000.00</t>
  </si>
  <si>
    <t>14-08-2023 NEFT/AXISP00415803576/RIUP23/1530/LOKVINAYAK INFR ₹ 3,92,000.00</t>
  </si>
  <si>
    <t>06-07-2023 NEFT/AXISP00404632181/RIUP23/1023/LOKVINAYAK INFR ₹ 1,96,000.00</t>
  </si>
  <si>
    <t>Sukrete Village OHT work</t>
  </si>
  <si>
    <t>RIUP23/1689</t>
  </si>
  <si>
    <t>28-08-2023 NEFT/AXISP00418849240/RIUP23/1689/LOKVINAYAK INFRAST/ICIC0003848 33545.00</t>
  </si>
  <si>
    <t>RIUP23/2069</t>
  </si>
  <si>
    <t>18-09-2023 NEFT/AXISP00425658715/RIUP23/2069/LOKVINAYAK INFRAST/ICIC0003848 211814.00</t>
  </si>
  <si>
    <t>14-09-2023 NEFT/AXISP00424905751/RIUP23/2008/LOKVINAYAK INFRAST/ICIC0003848 166678.00</t>
  </si>
  <si>
    <t>18-09-2023 NEFT/AXISP00425658714/RIUP23/2070/LOKVINAYAK INFRAST/ICIC0003848 203662.00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</si>
  <si>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</si>
  <si>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</si>
  <si>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</si>
  <si>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</si>
  <si>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</si>
  <si>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</si>
  <si>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</si>
  <si>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</si>
  <si>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</si>
  <si>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</si>
  <si>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</si>
  <si>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</si>
  <si>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</si>
  <si>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</si>
  <si>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</si>
  <si>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</si>
  <si>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</si>
  <si>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</si>
  <si>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</si>
  <si>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</si>
  <si>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</si>
  <si>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Total_Amount</t>
  </si>
  <si>
    <t>Malpura  Village OHT Construction in 50KL 12M Work</t>
  </si>
  <si>
    <t xml:space="preserve"> Nanhera Village OHT work at 175KL 12M staging Work</t>
  </si>
  <si>
    <t>Athai Village OHT Work 100KL 12M stagingWork</t>
  </si>
  <si>
    <t>CHACHROLI Village OHT Work  150KL 12M staging Work</t>
  </si>
  <si>
    <t xml:space="preserve">Chaurawala Village OHT Work 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</si>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</sst>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sz val="12"/>
      <color rgb="FF333333"/>
      <name val="Times New Roman"/>
      <family val="1"/>
    </font>
    <font>
      <sz val="11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4" fontId="2" fillId="2" borderId="5" xfId="1" applyNumberFormat="1" applyFont="1" applyFill="1" applyBorder="1" applyAlignment="1">
      <alignment vertical="center"/>
    </xf>
    <xf numFmtId="14" fontId="4" fillId="2" borderId="0" xfId="1" applyNumberFormat="1" applyFont="1" applyFill="1" applyBorder="1" applyAlignment="1">
      <alignment vertical="center"/>
    </xf>
    <xf numFmtId="14" fontId="2" fillId="2" borderId="3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vertical="center"/>
    </xf>
    <xf numFmtId="14" fontId="2" fillId="2" borderId="4" xfId="1" applyNumberFormat="1" applyFont="1" applyFill="1" applyBorder="1" applyAlignment="1">
      <alignment vertical="center"/>
    </xf>
    <xf numFmtId="14" fontId="2" fillId="2" borderId="6" xfId="1" applyNumberFormat="1" applyFont="1" applyFill="1" applyBorder="1" applyAlignment="1">
      <alignment vertical="center"/>
    </xf>
    <xf numFmtId="164" fontId="2" fillId="2" borderId="3" xfId="1" applyFont="1" applyFill="1" applyBorder="1" applyAlignment="1">
      <alignment vertical="center"/>
    </xf>
    <xf numFmtId="164" fontId="2" fillId="2" borderId="0" xfId="1" applyFont="1" applyFill="1" applyAlignment="1">
      <alignment vertical="center"/>
    </xf>
    <xf numFmtId="164" fontId="2" fillId="0" borderId="0" xfId="1" applyFont="1" applyAlignment="1">
      <alignment vertical="center"/>
    </xf>
    <xf numFmtId="164" fontId="2" fillId="2" borderId="0" xfId="1" applyFont="1" applyFill="1" applyBorder="1" applyAlignment="1">
      <alignment vertical="center"/>
    </xf>
    <xf numFmtId="164" fontId="4" fillId="2" borderId="0" xfId="1" applyFont="1" applyFill="1" applyBorder="1" applyAlignment="1">
      <alignment vertical="center"/>
    </xf>
    <xf numFmtId="164" fontId="2" fillId="2" borderId="0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vertical="center"/>
    </xf>
    <xf numFmtId="164" fontId="5" fillId="2" borderId="0" xfId="1" applyFont="1" applyFill="1" applyBorder="1" applyAlignment="1">
      <alignment vertical="center"/>
    </xf>
    <xf numFmtId="164" fontId="2" fillId="2" borderId="6" xfId="1" applyFont="1" applyFill="1" applyBorder="1" applyAlignment="1">
      <alignment vertical="center"/>
    </xf>
    <xf numFmtId="164" fontId="3" fillId="2" borderId="6" xfId="1" applyFont="1" applyFill="1" applyBorder="1" applyAlignment="1">
      <alignment horizontal="center" vertical="center" wrapText="1"/>
    </xf>
    <xf numFmtId="164" fontId="2" fillId="2" borderId="4" xfId="1" applyFont="1" applyFill="1" applyBorder="1" applyAlignment="1">
      <alignment vertical="center"/>
    </xf>
    <xf numFmtId="164" fontId="2" fillId="2" borderId="4" xfId="1" applyFont="1" applyFill="1" applyBorder="1" applyAlignment="1">
      <alignment vertical="center" wrapText="1"/>
    </xf>
    <xf numFmtId="164" fontId="2" fillId="3" borderId="3" xfId="1" applyFont="1" applyFill="1" applyBorder="1" applyAlignment="1">
      <alignment vertical="center"/>
    </xf>
    <xf numFmtId="164" fontId="2" fillId="3" borderId="3" xfId="1" applyFont="1" applyFill="1" applyBorder="1" applyAlignment="1">
      <alignment horizontal="center" vertical="center" wrapText="1"/>
    </xf>
    <xf numFmtId="164" fontId="2" fillId="3" borderId="3" xfId="1" applyFont="1" applyFill="1" applyBorder="1" applyAlignment="1">
      <alignment horizontal="center" vertical="center"/>
    </xf>
    <xf numFmtId="164" fontId="2" fillId="3" borderId="0" xfId="1" applyFont="1" applyFill="1" applyAlignment="1">
      <alignment vertical="center"/>
    </xf>
    <xf numFmtId="164" fontId="2" fillId="2" borderId="3" xfId="1" applyFont="1" applyFill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/>
    </xf>
    <xf numFmtId="164" fontId="2" fillId="0" borderId="3" xfId="1" applyFont="1" applyBorder="1" applyAlignment="1">
      <alignment vertical="center"/>
    </xf>
    <xf numFmtId="164" fontId="2" fillId="2" borderId="3" xfId="1" applyFont="1" applyFill="1" applyBorder="1" applyAlignment="1">
      <alignment vertical="center" wrapText="1"/>
    </xf>
    <xf numFmtId="164" fontId="2" fillId="3" borderId="3" xfId="1" applyFont="1" applyFill="1" applyBorder="1" applyAlignment="1">
      <alignment vertical="center" wrapText="1"/>
    </xf>
    <xf numFmtId="164" fontId="6" fillId="0" borderId="3" xfId="1" applyFont="1" applyBorder="1"/>
    <xf numFmtId="164" fontId="7" fillId="0" borderId="3" xfId="1" applyFont="1" applyBorder="1"/>
    <xf numFmtId="164" fontId="2" fillId="2" borderId="3" xfId="1" applyFont="1" applyFill="1" applyBorder="1" applyAlignment="1">
      <alignment horizontal="right" vertical="center"/>
    </xf>
    <xf numFmtId="164" fontId="2" fillId="2" borderId="2" xfId="1" applyFont="1" applyFill="1" applyBorder="1" applyAlignment="1">
      <alignment vertical="center"/>
    </xf>
    <xf numFmtId="164" fontId="2" fillId="2" borderId="2" xfId="1" applyFont="1" applyFill="1" applyBorder="1" applyAlignment="1">
      <alignment horizontal="center" vertical="center" wrapText="1"/>
    </xf>
    <xf numFmtId="164" fontId="2" fillId="2" borderId="2" xfId="1" applyFont="1" applyFill="1" applyBorder="1" applyAlignment="1">
      <alignment horizontal="center" vertical="center"/>
    </xf>
    <xf numFmtId="164" fontId="2" fillId="0" borderId="2" xfId="1" applyFont="1" applyBorder="1" applyAlignment="1">
      <alignment vertical="center"/>
    </xf>
    <xf numFmtId="164" fontId="2" fillId="2" borderId="5" xfId="1" applyFont="1" applyFill="1" applyBorder="1" applyAlignment="1">
      <alignment vertical="center"/>
    </xf>
    <xf numFmtId="164" fontId="2" fillId="2" borderId="5" xfId="1" applyFont="1" applyFill="1" applyBorder="1" applyAlignment="1">
      <alignment vertical="center" wrapText="1"/>
    </xf>
    <xf numFmtId="164" fontId="2" fillId="2" borderId="6" xfId="1" applyFont="1" applyFill="1" applyBorder="1" applyAlignment="1">
      <alignment vertical="center" wrapText="1"/>
    </xf>
    <xf numFmtId="164" fontId="3" fillId="2" borderId="6" xfId="1" applyFont="1" applyFill="1" applyBorder="1" applyAlignment="1">
      <alignment vertical="center"/>
    </xf>
    <xf numFmtId="164" fontId="3" fillId="2" borderId="4" xfId="1" applyFont="1" applyFill="1" applyBorder="1" applyAlignment="1">
      <alignment vertical="center"/>
    </xf>
    <xf numFmtId="164" fontId="2" fillId="2" borderId="0" xfId="1" applyFont="1" applyFill="1" applyAlignment="1">
      <alignment vertical="center" wrapText="1"/>
    </xf>
    <xf numFmtId="14" fontId="2" fillId="2" borderId="0" xfId="1" applyNumberFormat="1" applyFont="1" applyFill="1" applyAlignment="1">
      <alignment vertical="center"/>
    </xf>
    <xf numFmtId="14" fontId="2" fillId="2" borderId="1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2" fillId="2" borderId="0" xfId="1" applyNumberFormat="1" applyFont="1" applyFill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/>
    </xf>
    <xf numFmtId="0" fontId="2" fillId="3" borderId="3" xfId="1" applyNumberFormat="1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2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14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9" fillId="2" borderId="6" xfId="1" applyFont="1" applyFill="1" applyBorder="1" applyAlignment="1">
      <alignment horizontal="center" vertical="center"/>
    </xf>
    <xf numFmtId="164" fontId="8" fillId="2" borderId="6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6"/>
  <sheetViews>
    <sheetView tabSelected="1" zoomScale="85" zoomScaleNormal="85" workbookViewId="0">
      <selection activeCell="R5" sqref="R5"/>
    </sheetView>
  </sheetViews>
  <sheetFormatPr defaultColWidth="9" defaultRowHeight="15.75" x14ac:dyDescent="0.25"/>
  <cols>
    <col min="1" max="1" width="12.42578125" style="47" bestFit="1" customWidth="1"/>
    <col min="2" max="2" width="30.42578125" style="40" customWidth="1"/>
    <col min="3" max="3" width="14.5703125" style="41" bestFit="1" customWidth="1"/>
    <col min="4" max="4" width="19.5703125" style="8" customWidth="1"/>
    <col min="5" max="5" width="17" style="8" customWidth="1"/>
    <col min="6" max="6" width="15.5703125" style="8" bestFit="1" customWidth="1"/>
    <col min="7" max="7" width="18.5703125" style="8" bestFit="1" customWidth="1"/>
    <col min="8" max="8" width="16.42578125" style="8" bestFit="1" customWidth="1"/>
    <col min="9" max="9" width="17.7109375" style="8" customWidth="1"/>
    <col min="10" max="11" width="12.42578125" style="8" bestFit="1" customWidth="1"/>
    <col min="12" max="12" width="13" style="8" customWidth="1"/>
    <col min="13" max="13" width="14.28515625" style="8" customWidth="1"/>
    <col min="14" max="14" width="16.7109375" style="8" bestFit="1" customWidth="1"/>
    <col min="15" max="15" width="15.7109375" style="8" bestFit="1" customWidth="1"/>
    <col min="16" max="16" width="24" style="8" bestFit="1" customWidth="1"/>
    <col min="17" max="17" width="47.85546875" style="8" customWidth="1"/>
    <col min="18" max="18" width="31.28515625" style="8" customWidth="1"/>
    <col min="19" max="19" width="18.7109375" style="8" customWidth="1"/>
    <col min="20" max="20" width="28.7109375" style="8" customWidth="1"/>
    <col min="21" max="21" width="31.85546875" style="8" bestFit="1" customWidth="1"/>
    <col min="22" max="22" width="108.140625" style="8" bestFit="1" customWidth="1"/>
    <col min="23" max="23" width="16.42578125" style="8" bestFit="1" customWidth="1"/>
    <col min="24" max="16384" width="9" style="8"/>
  </cols>
  <sheetData>
    <row r="1" spans="1:69" x14ac:dyDescent="0.25">
      <c r="A1" s="54" t="s">
        <v>22</v>
      </c>
      <c r="B1" s="55" t="s">
        <v>5</v>
      </c>
      <c r="E1" s="9"/>
      <c r="F1" s="9"/>
      <c r="G1" s="9"/>
      <c r="H1" s="10"/>
      <c r="I1" s="10"/>
    </row>
    <row r="2" spans="1:69" x14ac:dyDescent="0.25">
      <c r="A2" s="54" t="s">
        <v>23</v>
      </c>
      <c r="B2" t="s">
        <v>24</v>
      </c>
      <c r="C2" s="2"/>
      <c r="D2" s="11"/>
      <c r="G2" s="12"/>
      <c r="I2" s="12"/>
      <c r="J2" s="10"/>
      <c r="K2" s="10"/>
      <c r="L2" s="10"/>
      <c r="O2" s="10"/>
      <c r="Q2" s="10"/>
      <c r="R2" s="10"/>
      <c r="S2" s="10"/>
      <c r="T2" s="10"/>
      <c r="U2" s="10"/>
      <c r="V2" s="10"/>
    </row>
    <row r="3" spans="1:69" ht="16.5" thickBot="1" x14ac:dyDescent="0.3">
      <c r="A3" s="54" t="s">
        <v>25</v>
      </c>
      <c r="B3" t="s">
        <v>26</v>
      </c>
      <c r="C3" s="2"/>
      <c r="D3" s="11"/>
      <c r="G3" s="12"/>
      <c r="I3" s="12"/>
      <c r="J3" s="10"/>
      <c r="K3" s="10"/>
      <c r="L3" s="10"/>
      <c r="O3" s="10"/>
      <c r="Q3" s="10"/>
      <c r="R3" s="10"/>
      <c r="S3" s="10"/>
      <c r="T3" s="10"/>
      <c r="U3" s="10"/>
      <c r="V3" s="10"/>
    </row>
    <row r="4" spans="1:69" ht="16.5" thickBot="1" x14ac:dyDescent="0.3">
      <c r="A4" s="54" t="s">
        <v>27</v>
      </c>
      <c r="B4" t="s">
        <v>26</v>
      </c>
      <c r="C4" s="42"/>
      <c r="D4" s="13"/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Q4" s="14"/>
      <c r="R4" s="14"/>
      <c r="S4" s="14"/>
      <c r="T4" s="14"/>
      <c r="U4" s="14"/>
      <c r="V4" s="14"/>
    </row>
    <row r="5" spans="1:69" ht="31.5" x14ac:dyDescent="0.25">
      <c r="A5" s="56" t="s">
        <v>28</v>
      </c>
      <c r="B5" s="57" t="s">
        <v>29</v>
      </c>
      <c r="C5" s="58" t="s">
        <v>30</v>
      </c>
      <c r="D5" s="59" t="s">
        <v>31</v>
      </c>
      <c r="E5" s="57" t="s">
        <v>32</v>
      </c>
      <c r="F5" s="57" t="s">
        <v>33</v>
      </c>
      <c r="G5" s="59" t="s">
        <v>34</v>
      </c>
      <c r="H5" s="60" t="s">
        <v>35</v>
      </c>
      <c r="I5" s="61" t="s">
        <v>0</v>
      </c>
      <c r="J5" s="57" t="s">
        <v>36</v>
      </c>
      <c r="K5" s="57" t="s">
        <v>37</v>
      </c>
      <c r="L5" s="57" t="s">
        <v>38</v>
      </c>
      <c r="M5" s="57" t="s">
        <v>39</v>
      </c>
      <c r="N5" s="57" t="s">
        <v>40</v>
      </c>
      <c r="O5" s="57" t="s">
        <v>41</v>
      </c>
      <c r="P5" s="16" t="s">
        <v>1</v>
      </c>
      <c r="Q5" s="57" t="s">
        <v>42</v>
      </c>
      <c r="R5" s="16" t="s">
        <v>49</v>
      </c>
      <c r="S5" s="16" t="s">
        <v>3</v>
      </c>
      <c r="T5" s="16" t="s">
        <v>4</v>
      </c>
      <c r="U5" s="57" t="s">
        <v>43</v>
      </c>
      <c r="V5" s="16" t="s">
        <v>2</v>
      </c>
    </row>
    <row r="6" spans="1:69" ht="16.5" thickBot="1" x14ac:dyDescent="0.3">
      <c r="A6" s="49"/>
      <c r="B6" s="18"/>
      <c r="C6" s="5"/>
      <c r="D6" s="17"/>
      <c r="E6" s="17"/>
      <c r="F6" s="17"/>
      <c r="G6" s="17"/>
      <c r="H6" s="17">
        <v>0.18</v>
      </c>
      <c r="I6" s="17"/>
      <c r="J6" s="17">
        <v>0.02</v>
      </c>
      <c r="K6" s="17">
        <v>0.05</v>
      </c>
      <c r="L6" s="17">
        <v>0</v>
      </c>
      <c r="M6" s="17">
        <v>0.1</v>
      </c>
      <c r="N6" s="17">
        <v>0.18</v>
      </c>
      <c r="O6" s="17"/>
      <c r="P6" s="17"/>
      <c r="Q6" s="17"/>
      <c r="R6" s="17">
        <v>0.01</v>
      </c>
      <c r="S6" s="17">
        <v>0.05</v>
      </c>
      <c r="T6" s="17"/>
      <c r="U6" s="17"/>
      <c r="V6" s="17"/>
    </row>
    <row r="7" spans="1:69" s="22" customFormat="1" x14ac:dyDescent="0.25">
      <c r="A7" s="50"/>
      <c r="B7" s="20"/>
      <c r="C7" s="43"/>
      <c r="D7" s="21"/>
      <c r="E7" s="19"/>
      <c r="F7" s="19"/>
      <c r="G7" s="19">
        <f t="shared" ref="G7:G10" si="0">ROUND(E7-F7,)</f>
        <v>0</v>
      </c>
      <c r="H7" s="19">
        <f t="shared" ref="H7:H10" si="1">ROUND(G7*$H$6,0)</f>
        <v>0</v>
      </c>
      <c r="I7" s="19">
        <f t="shared" ref="I7:I10" si="2">G7+H7</f>
        <v>0</v>
      </c>
      <c r="J7" s="19">
        <f t="shared" ref="J7:J10" si="3">ROUND(G7*$J$6,)</f>
        <v>0</v>
      </c>
      <c r="K7" s="19">
        <f t="shared" ref="K7:K10" si="4">ROUND(G7*$K$6,)</f>
        <v>0</v>
      </c>
      <c r="L7" s="19">
        <f t="shared" ref="L7:L10" si="5">ROUND(G7*$L$6,)</f>
        <v>0</v>
      </c>
      <c r="M7" s="19">
        <f t="shared" ref="M7:M10" si="6">ROUND(G7*$M$6,)</f>
        <v>0</v>
      </c>
      <c r="N7" s="19">
        <f t="shared" ref="N7:N10" si="7">H7</f>
        <v>0</v>
      </c>
      <c r="O7" s="19">
        <f t="shared" ref="O7:O10" si="8">ROUND(I7-SUM(J7:N7),0)</f>
        <v>0</v>
      </c>
      <c r="P7" s="19"/>
      <c r="Q7" s="19"/>
      <c r="R7" s="19">
        <f>Q7*$R$6</f>
        <v>0</v>
      </c>
      <c r="S7" s="19">
        <v>0</v>
      </c>
      <c r="T7" s="19">
        <v>0</v>
      </c>
      <c r="U7" s="19">
        <f t="shared" ref="U7" si="9">Q7-R7</f>
        <v>0</v>
      </c>
      <c r="V7" s="19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 x14ac:dyDescent="0.25">
      <c r="A8" s="51">
        <v>58726</v>
      </c>
      <c r="B8" s="23" t="s">
        <v>15</v>
      </c>
      <c r="C8" s="3">
        <v>45146</v>
      </c>
      <c r="D8" s="24">
        <v>6</v>
      </c>
      <c r="E8" s="7">
        <v>413437.5</v>
      </c>
      <c r="F8" s="7">
        <v>319200</v>
      </c>
      <c r="G8" s="7">
        <v>94237.5</v>
      </c>
      <c r="H8" s="7">
        <v>16962.75</v>
      </c>
      <c r="I8" s="7">
        <v>111200.25</v>
      </c>
      <c r="J8" s="7">
        <v>1884.75</v>
      </c>
      <c r="K8" s="7">
        <v>4711.875</v>
      </c>
      <c r="L8" s="7">
        <f t="shared" si="5"/>
        <v>0</v>
      </c>
      <c r="M8" s="7"/>
      <c r="N8" s="7">
        <f t="shared" si="7"/>
        <v>16962.75</v>
      </c>
      <c r="O8" s="7">
        <f t="shared" si="8"/>
        <v>87641</v>
      </c>
      <c r="P8" s="7" t="s">
        <v>8</v>
      </c>
      <c r="Q8" s="7">
        <v>200000</v>
      </c>
      <c r="R8" s="7">
        <v>4000</v>
      </c>
      <c r="S8" s="7">
        <v>0</v>
      </c>
      <c r="T8" s="7">
        <v>0</v>
      </c>
      <c r="U8" s="7">
        <v>196000</v>
      </c>
      <c r="V8" s="25" t="s">
        <v>9</v>
      </c>
    </row>
    <row r="9" spans="1:69" x14ac:dyDescent="0.25">
      <c r="A9" s="51">
        <v>58726</v>
      </c>
      <c r="B9" s="23" t="s">
        <v>15</v>
      </c>
      <c r="C9" s="3">
        <v>45177</v>
      </c>
      <c r="D9" s="24">
        <v>8</v>
      </c>
      <c r="E9" s="7">
        <f>2756250*15%</f>
        <v>413437.5</v>
      </c>
      <c r="F9" s="7">
        <v>117697.7</v>
      </c>
      <c r="G9" s="7">
        <f>E9-F9</f>
        <v>295739.8</v>
      </c>
      <c r="H9" s="7">
        <f>G9*18%</f>
        <v>53233.163999999997</v>
      </c>
      <c r="I9" s="7">
        <f>G9+H9</f>
        <v>348972.96399999998</v>
      </c>
      <c r="J9" s="7">
        <f>G9*2%</f>
        <v>5914.7960000000003</v>
      </c>
      <c r="K9" s="7">
        <f>G9*5%</f>
        <v>14786.99</v>
      </c>
      <c r="L9" s="7">
        <v>0</v>
      </c>
      <c r="M9" s="7">
        <v>0</v>
      </c>
      <c r="N9" s="7">
        <f t="shared" si="7"/>
        <v>53233.163999999997</v>
      </c>
      <c r="O9" s="7">
        <f t="shared" si="8"/>
        <v>275038</v>
      </c>
      <c r="P9" s="7"/>
      <c r="Q9" s="7">
        <v>166678</v>
      </c>
      <c r="R9" s="7"/>
      <c r="S9" s="7"/>
      <c r="T9" s="7"/>
      <c r="U9" s="7">
        <v>166678</v>
      </c>
      <c r="V9" s="25" t="s">
        <v>20</v>
      </c>
    </row>
    <row r="10" spans="1:69" x14ac:dyDescent="0.25">
      <c r="A10" s="51"/>
      <c r="B10" s="26"/>
      <c r="C10" s="3"/>
      <c r="D10" s="7"/>
      <c r="E10" s="7"/>
      <c r="F10" s="7"/>
      <c r="G10" s="7">
        <f t="shared" si="0"/>
        <v>0</v>
      </c>
      <c r="H10" s="7">
        <f t="shared" si="1"/>
        <v>0</v>
      </c>
      <c r="I10" s="7">
        <f t="shared" si="2"/>
        <v>0</v>
      </c>
      <c r="J10" s="7">
        <f t="shared" si="3"/>
        <v>0</v>
      </c>
      <c r="K10" s="7">
        <f t="shared" si="4"/>
        <v>0</v>
      </c>
      <c r="L10" s="7">
        <f t="shared" si="5"/>
        <v>0</v>
      </c>
      <c r="M10" s="7">
        <f t="shared" si="6"/>
        <v>0</v>
      </c>
      <c r="N10" s="7">
        <f t="shared" si="7"/>
        <v>0</v>
      </c>
      <c r="O10" s="7">
        <f t="shared" si="8"/>
        <v>0</v>
      </c>
      <c r="P10" s="7"/>
      <c r="Q10" s="7"/>
      <c r="R10" s="7"/>
      <c r="S10" s="7"/>
      <c r="T10" s="7"/>
      <c r="U10" s="7"/>
      <c r="V10" s="25"/>
    </row>
    <row r="11" spans="1:69" x14ac:dyDescent="0.25">
      <c r="A11" s="51"/>
      <c r="B11" s="26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5"/>
    </row>
    <row r="12" spans="1:69" s="22" customFormat="1" x14ac:dyDescent="0.25">
      <c r="A12" s="50"/>
      <c r="B12" s="27"/>
      <c r="C12" s="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46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x14ac:dyDescent="0.25">
      <c r="A13" s="51">
        <v>57211</v>
      </c>
      <c r="B13" s="26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 t="s">
        <v>11</v>
      </c>
      <c r="Q13" s="7">
        <v>300000</v>
      </c>
      <c r="R13" s="7"/>
      <c r="S13" s="7"/>
      <c r="T13" s="7"/>
      <c r="U13" s="7">
        <v>294000</v>
      </c>
      <c r="V13" s="28" t="s">
        <v>10</v>
      </c>
    </row>
    <row r="14" spans="1:69" x14ac:dyDescent="0.25">
      <c r="A14" s="51"/>
      <c r="B14" s="26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5"/>
    </row>
    <row r="15" spans="1:69" x14ac:dyDescent="0.25">
      <c r="A15" s="51"/>
      <c r="B15" s="26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5"/>
    </row>
    <row r="16" spans="1:69" x14ac:dyDescent="0.25">
      <c r="A16" s="51"/>
      <c r="B16" s="26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5"/>
    </row>
    <row r="17" spans="1:69" s="22" customFormat="1" x14ac:dyDescent="0.25">
      <c r="A17" s="50"/>
      <c r="B17" s="27"/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46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ht="47.25" x14ac:dyDescent="0.25">
      <c r="A18" s="51">
        <v>57210</v>
      </c>
      <c r="B18" s="23" t="s">
        <v>44</v>
      </c>
      <c r="C18" s="3">
        <v>45146</v>
      </c>
      <c r="D18" s="24">
        <v>4</v>
      </c>
      <c r="E18" s="7">
        <f>1365000*10%</f>
        <v>136500</v>
      </c>
      <c r="F18" s="7">
        <v>0</v>
      </c>
      <c r="G18" s="7">
        <f>+E18+F18</f>
        <v>136500</v>
      </c>
      <c r="H18" s="7">
        <f>+G18*18%</f>
        <v>24570</v>
      </c>
      <c r="I18" s="7">
        <f>+H18+G18</f>
        <v>161070</v>
      </c>
      <c r="J18" s="7">
        <f>+G18*2%</f>
        <v>2730</v>
      </c>
      <c r="K18" s="7">
        <f>+G18*5%</f>
        <v>6825</v>
      </c>
      <c r="L18" s="7">
        <f>+G18*18%</f>
        <v>24570</v>
      </c>
      <c r="M18" s="7">
        <f>+I18-J18-K18-L18</f>
        <v>126945</v>
      </c>
      <c r="N18" s="7">
        <v>24570</v>
      </c>
      <c r="O18" s="7">
        <v>126945</v>
      </c>
      <c r="P18" s="7"/>
      <c r="Q18" s="7">
        <v>300000</v>
      </c>
      <c r="R18" s="7"/>
      <c r="S18" s="7"/>
      <c r="T18" s="7"/>
      <c r="U18" s="7">
        <v>294000</v>
      </c>
      <c r="V18" s="25" t="s">
        <v>10</v>
      </c>
    </row>
    <row r="19" spans="1:69" x14ac:dyDescent="0.25">
      <c r="A19" s="51">
        <v>57210</v>
      </c>
      <c r="B19" s="26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200000</v>
      </c>
      <c r="R19" s="7"/>
      <c r="S19" s="7"/>
      <c r="T19" s="7"/>
      <c r="U19" s="7">
        <v>196000</v>
      </c>
      <c r="V19" s="25" t="s">
        <v>12</v>
      </c>
    </row>
    <row r="20" spans="1:69" x14ac:dyDescent="0.25">
      <c r="A20" s="51"/>
      <c r="B20" s="26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25"/>
    </row>
    <row r="21" spans="1:69" x14ac:dyDescent="0.25">
      <c r="A21" s="51"/>
      <c r="B21" s="26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25"/>
    </row>
    <row r="22" spans="1:69" s="22" customFormat="1" x14ac:dyDescent="0.25">
      <c r="A22" s="50"/>
      <c r="B22" s="27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46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ht="31.5" x14ac:dyDescent="0.25">
      <c r="A23" s="51">
        <v>57209</v>
      </c>
      <c r="B23" s="26" t="s">
        <v>45</v>
      </c>
      <c r="C23" s="3">
        <v>45146</v>
      </c>
      <c r="D23" s="7">
        <v>5</v>
      </c>
      <c r="E23" s="7">
        <f>2598750*15%</f>
        <v>389812.5</v>
      </c>
      <c r="F23" s="7">
        <v>312125</v>
      </c>
      <c r="G23" s="7">
        <f>+E23-F23</f>
        <v>77687.5</v>
      </c>
      <c r="H23" s="7">
        <f>+G23*18%</f>
        <v>13983.75</v>
      </c>
      <c r="I23" s="7">
        <f>+G23+H23</f>
        <v>91671.25</v>
      </c>
      <c r="J23" s="7">
        <f>+G23*2%</f>
        <v>1553.75</v>
      </c>
      <c r="K23" s="7">
        <f>+G23*5%</f>
        <v>3884.375</v>
      </c>
      <c r="L23" s="7">
        <f>+G23*18%</f>
        <v>13983.75</v>
      </c>
      <c r="M23" s="7"/>
      <c r="N23" s="7"/>
      <c r="O23" s="7">
        <f>+I23-J23-K23-L23</f>
        <v>72249.375</v>
      </c>
      <c r="P23" s="7" t="e">
        <f>#REF!*$P$6</f>
        <v>#REF!</v>
      </c>
      <c r="Q23" s="7">
        <v>400000</v>
      </c>
      <c r="R23" s="7">
        <v>0</v>
      </c>
      <c r="S23" s="7" t="e">
        <f>#REF!-P23</f>
        <v>#REF!</v>
      </c>
      <c r="T23" s="7" t="s">
        <v>13</v>
      </c>
      <c r="U23" s="7">
        <v>392000</v>
      </c>
      <c r="V23" s="25" t="s">
        <v>13</v>
      </c>
    </row>
    <row r="24" spans="1:69" x14ac:dyDescent="0.25">
      <c r="A24" s="51"/>
      <c r="B24" s="26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5"/>
    </row>
    <row r="25" spans="1:69" x14ac:dyDescent="0.25">
      <c r="A25" s="51"/>
      <c r="B25" s="26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25"/>
    </row>
    <row r="26" spans="1:69" s="22" customFormat="1" x14ac:dyDescent="0.25">
      <c r="A26" s="50"/>
      <c r="B26" s="27"/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46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ht="31.5" x14ac:dyDescent="0.25">
      <c r="A27" s="51">
        <v>57205</v>
      </c>
      <c r="B27" s="26" t="s">
        <v>46</v>
      </c>
      <c r="C27" s="3">
        <v>45146</v>
      </c>
      <c r="D27" s="7">
        <v>1</v>
      </c>
      <c r="E27" s="7">
        <f>1960000*15%</f>
        <v>294000</v>
      </c>
      <c r="F27" s="7">
        <v>73625</v>
      </c>
      <c r="G27" s="7">
        <f>E27-F27</f>
        <v>220375</v>
      </c>
      <c r="H27" s="7">
        <f t="shared" ref="H27:H28" si="10">ROUND(G27*$H$6,0)</f>
        <v>39668</v>
      </c>
      <c r="I27" s="7">
        <f>G27+H27</f>
        <v>260043</v>
      </c>
      <c r="J27" s="7">
        <f>ROUND(G27*2%,)</f>
        <v>4408</v>
      </c>
      <c r="K27" s="7">
        <f>ROUND(G27*$K$6,)</f>
        <v>11019</v>
      </c>
      <c r="L27" s="7"/>
      <c r="M27" s="7"/>
      <c r="N27" s="7">
        <f>H27</f>
        <v>39668</v>
      </c>
      <c r="O27" s="7">
        <f>ROUND(I27-SUM(J27:N27),0)</f>
        <v>204948</v>
      </c>
      <c r="P27" s="7" t="e">
        <f>#REF!*$P$6</f>
        <v>#REF!</v>
      </c>
      <c r="Q27" s="7">
        <v>200000</v>
      </c>
      <c r="R27" s="7">
        <v>0</v>
      </c>
      <c r="S27" s="7">
        <v>196000</v>
      </c>
      <c r="T27" s="7" t="s">
        <v>14</v>
      </c>
      <c r="U27" s="7">
        <v>196000</v>
      </c>
      <c r="V27" s="25" t="s">
        <v>14</v>
      </c>
    </row>
    <row r="28" spans="1:69" ht="31.5" x14ac:dyDescent="0.25">
      <c r="A28" s="51">
        <v>57205</v>
      </c>
      <c r="B28" s="26" t="s">
        <v>46</v>
      </c>
      <c r="C28" s="3">
        <v>45177</v>
      </c>
      <c r="D28" s="7">
        <v>7</v>
      </c>
      <c r="E28" s="7">
        <f>1960000*15%</f>
        <v>294000</v>
      </c>
      <c r="F28" s="7">
        <v>84629.77</v>
      </c>
      <c r="G28" s="7">
        <f t="shared" ref="G28" si="11">ROUND(E28-F28,)</f>
        <v>209370</v>
      </c>
      <c r="H28" s="7">
        <f t="shared" si="10"/>
        <v>37687</v>
      </c>
      <c r="I28" s="7">
        <f t="shared" ref="I28" si="12">G28+H28</f>
        <v>247057</v>
      </c>
      <c r="J28" s="7">
        <f t="shared" ref="J28" si="13">ROUND(G28*$J$6,)</f>
        <v>4187</v>
      </c>
      <c r="K28" s="7">
        <f t="shared" ref="K28" si="14">ROUND(G28*$K$6,)</f>
        <v>10469</v>
      </c>
      <c r="L28" s="7"/>
      <c r="M28" s="7"/>
      <c r="N28" s="7">
        <f>H28</f>
        <v>37687</v>
      </c>
      <c r="O28" s="7">
        <f>ROUND(I28-SUM(J28:N28),0)</f>
        <v>194714</v>
      </c>
      <c r="P28" s="7"/>
      <c r="Q28" s="7">
        <v>203662</v>
      </c>
      <c r="R28" s="7"/>
      <c r="S28" s="7"/>
      <c r="T28" s="7"/>
      <c r="U28" s="7">
        <v>203662</v>
      </c>
      <c r="V28" s="29" t="s">
        <v>21</v>
      </c>
    </row>
    <row r="29" spans="1:69" x14ac:dyDescent="0.25">
      <c r="A29" s="51"/>
      <c r="B29" s="26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5"/>
    </row>
    <row r="30" spans="1:69" x14ac:dyDescent="0.25">
      <c r="A30" s="51"/>
      <c r="B30" s="26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25"/>
    </row>
    <row r="31" spans="1:69" s="22" customFormat="1" x14ac:dyDescent="0.25">
      <c r="A31" s="50"/>
      <c r="B31" s="27"/>
      <c r="C31" s="4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46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 ht="47.25" x14ac:dyDescent="0.25">
      <c r="A32" s="51">
        <v>57204</v>
      </c>
      <c r="B32" s="26" t="s">
        <v>47</v>
      </c>
      <c r="C32" s="3">
        <v>45146</v>
      </c>
      <c r="D32" s="7">
        <v>3</v>
      </c>
      <c r="E32" s="7">
        <v>371250</v>
      </c>
      <c r="F32" s="7">
        <v>335181</v>
      </c>
      <c r="G32" s="7">
        <f t="shared" ref="G32:G33" si="15">ROUND(E32-F32,)</f>
        <v>36069</v>
      </c>
      <c r="H32" s="7">
        <f t="shared" ref="H32:H33" si="16">ROUND(G32*$H$6,0)</f>
        <v>6492</v>
      </c>
      <c r="I32" s="7">
        <f t="shared" ref="I32" si="17">G32+H32</f>
        <v>42561</v>
      </c>
      <c r="J32" s="7">
        <f>G32*J6</f>
        <v>721.38</v>
      </c>
      <c r="K32" s="7">
        <f>G32*K6</f>
        <v>1803.45</v>
      </c>
      <c r="L32" s="7"/>
      <c r="M32" s="7"/>
      <c r="N32" s="7">
        <f>H32</f>
        <v>6492</v>
      </c>
      <c r="O32" s="7">
        <f>ROUND(I32-SUM(J32:N32),0)</f>
        <v>33544</v>
      </c>
      <c r="P32" s="7" t="s">
        <v>16</v>
      </c>
      <c r="Q32" s="7">
        <v>33545</v>
      </c>
      <c r="R32" s="7">
        <v>0</v>
      </c>
      <c r="S32" s="7">
        <v>0</v>
      </c>
      <c r="T32" s="7">
        <v>0</v>
      </c>
      <c r="U32" s="7">
        <f>Q32-R32</f>
        <v>33545</v>
      </c>
      <c r="V32" s="25" t="s">
        <v>17</v>
      </c>
    </row>
    <row r="33" spans="1:69" ht="47.25" x14ac:dyDescent="0.25">
      <c r="A33" s="51">
        <v>57204</v>
      </c>
      <c r="B33" s="26" t="s">
        <v>47</v>
      </c>
      <c r="C33" s="3">
        <v>45178</v>
      </c>
      <c r="D33" s="7">
        <v>9</v>
      </c>
      <c r="E33" s="7">
        <f>2475000*15%</f>
        <v>371250</v>
      </c>
      <c r="F33" s="7">
        <v>143493.29999999999</v>
      </c>
      <c r="G33" s="7">
        <f t="shared" si="15"/>
        <v>227757</v>
      </c>
      <c r="H33" s="7">
        <f t="shared" si="16"/>
        <v>40996</v>
      </c>
      <c r="I33" s="7">
        <f>G33+H33</f>
        <v>268753</v>
      </c>
      <c r="J33" s="7">
        <f>G33*J6</f>
        <v>4555.1400000000003</v>
      </c>
      <c r="K33" s="7">
        <f>G33*K6</f>
        <v>11387.85</v>
      </c>
      <c r="L33" s="7"/>
      <c r="M33" s="7"/>
      <c r="N33" s="7">
        <f>H33</f>
        <v>40996</v>
      </c>
      <c r="O33" s="7">
        <f>ROUND(I33-SUM(J33:N33),0)</f>
        <v>211814</v>
      </c>
      <c r="P33" s="7" t="s">
        <v>18</v>
      </c>
      <c r="Q33" s="7">
        <v>211814</v>
      </c>
      <c r="R33" s="7">
        <v>0</v>
      </c>
      <c r="S33" s="7">
        <v>0</v>
      </c>
      <c r="T33" s="7">
        <v>0</v>
      </c>
      <c r="U33" s="7">
        <f>Q33-R33</f>
        <v>211814</v>
      </c>
      <c r="V33" s="25" t="s">
        <v>19</v>
      </c>
    </row>
    <row r="34" spans="1:69" x14ac:dyDescent="0.25">
      <c r="A34" s="51"/>
      <c r="B34" s="26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25"/>
    </row>
    <row r="35" spans="1:69" s="22" customFormat="1" x14ac:dyDescent="0.25">
      <c r="A35" s="50"/>
      <c r="B35" s="27"/>
      <c r="C35" s="4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46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 x14ac:dyDescent="0.25">
      <c r="A36" s="51">
        <v>57203</v>
      </c>
      <c r="B36" s="26" t="s">
        <v>48</v>
      </c>
      <c r="C36" s="3">
        <v>45146</v>
      </c>
      <c r="D36" s="7">
        <v>9</v>
      </c>
      <c r="E36" s="7">
        <v>376570</v>
      </c>
      <c r="F36" s="7">
        <v>151280</v>
      </c>
      <c r="G36" s="7">
        <f>+E36-F36</f>
        <v>225290</v>
      </c>
      <c r="H36" s="7">
        <f>+G36*18%</f>
        <v>40552.199999999997</v>
      </c>
      <c r="I36" s="7">
        <f>+H36+G36</f>
        <v>265842.2</v>
      </c>
      <c r="J36" s="7">
        <f>G36*2%</f>
        <v>4505.8</v>
      </c>
      <c r="K36" s="7">
        <f>+G36*5%</f>
        <v>11264.5</v>
      </c>
      <c r="L36" s="7"/>
      <c r="M36" s="7"/>
      <c r="N36" s="7">
        <f>+H36</f>
        <v>40552.199999999997</v>
      </c>
      <c r="O36" s="7">
        <f>+I36-J36-K36-L36-M36-N36</f>
        <v>209519.7</v>
      </c>
      <c r="P36" s="7"/>
      <c r="Q36" s="7"/>
      <c r="R36" s="7"/>
      <c r="S36" s="7"/>
      <c r="T36" s="7"/>
      <c r="U36" s="7"/>
      <c r="V36" s="25"/>
    </row>
    <row r="37" spans="1:69" x14ac:dyDescent="0.25">
      <c r="A37" s="51"/>
      <c r="B37" s="26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25"/>
    </row>
    <row r="38" spans="1:69" x14ac:dyDescent="0.25">
      <c r="A38" s="51"/>
      <c r="B38" s="23"/>
      <c r="C38" s="44"/>
      <c r="D38" s="24"/>
      <c r="E38" s="30"/>
      <c r="F38" s="30"/>
      <c r="G38" s="3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69" x14ac:dyDescent="0.25">
      <c r="A39" s="51"/>
      <c r="B39" s="26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46"/>
    </row>
    <row r="40" spans="1:69" s="22" customFormat="1" x14ac:dyDescent="0.25">
      <c r="A40" s="50"/>
      <c r="B40" s="20"/>
      <c r="C40" s="43"/>
      <c r="D40" s="21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 x14ac:dyDescent="0.25">
      <c r="A41" s="52">
        <v>55698</v>
      </c>
      <c r="B41" s="32"/>
      <c r="C41" s="45"/>
      <c r="D41" s="33"/>
      <c r="E41" s="31"/>
      <c r="F41" s="31"/>
      <c r="G41" s="31">
        <f>ROUND(E41-F41,)</f>
        <v>0</v>
      </c>
      <c r="H41" s="31">
        <f>ROUND(G41*$H$6,0)</f>
        <v>0</v>
      </c>
      <c r="I41" s="31">
        <f>G41+H41</f>
        <v>0</v>
      </c>
      <c r="J41" s="31">
        <f>ROUND(G41*$J$6,)</f>
        <v>0</v>
      </c>
      <c r="K41" s="31">
        <f>(G41*$K$6)</f>
        <v>0</v>
      </c>
      <c r="L41" s="31">
        <f>ROUND(G41*$L$6,)</f>
        <v>0</v>
      </c>
      <c r="M41" s="31">
        <f>ROUND(G41*$M$6,)</f>
        <v>0</v>
      </c>
      <c r="N41" s="31">
        <f>H41</f>
        <v>0</v>
      </c>
      <c r="O41" s="31">
        <f>ROUND(I41-SUM(J41:N41),0)</f>
        <v>0</v>
      </c>
      <c r="P41" s="31" t="s">
        <v>7</v>
      </c>
      <c r="Q41" s="31">
        <v>500000</v>
      </c>
      <c r="R41" s="31">
        <f>Q41*$R$6</f>
        <v>5000</v>
      </c>
      <c r="S41" s="31">
        <v>0</v>
      </c>
      <c r="T41" s="31">
        <v>0</v>
      </c>
      <c r="U41" s="31">
        <v>490000</v>
      </c>
      <c r="V41" s="34" t="s">
        <v>6</v>
      </c>
    </row>
    <row r="42" spans="1:69" x14ac:dyDescent="0.25">
      <c r="A42" s="51"/>
      <c r="B42" s="23"/>
      <c r="C42" s="44"/>
      <c r="D42" s="24"/>
      <c r="E42" s="7"/>
      <c r="F42" s="7"/>
      <c r="G42" s="7">
        <f>ROUND(E42-F42,)</f>
        <v>0</v>
      </c>
      <c r="H42" s="7"/>
      <c r="I42" s="7">
        <f>G42+H42</f>
        <v>0</v>
      </c>
      <c r="J42" s="7">
        <v>0</v>
      </c>
      <c r="K42" s="7">
        <v>0</v>
      </c>
      <c r="L42" s="7">
        <v>0</v>
      </c>
      <c r="M42" s="7">
        <v>0</v>
      </c>
      <c r="N42" s="7">
        <f>H42</f>
        <v>0</v>
      </c>
      <c r="O42" s="7">
        <f>ROUND(I42-SUM(J42:N42),0)</f>
        <v>0</v>
      </c>
      <c r="P42" s="7"/>
      <c r="Q42" s="7"/>
      <c r="R42" s="7">
        <f>Q42*$R$6</f>
        <v>0</v>
      </c>
      <c r="S42" s="7">
        <v>0</v>
      </c>
      <c r="T42" s="7">
        <v>0</v>
      </c>
      <c r="U42" s="7">
        <f>Q42-R42</f>
        <v>0</v>
      </c>
      <c r="V42" s="25"/>
    </row>
    <row r="43" spans="1:69" ht="16.5" thickBot="1" x14ac:dyDescent="0.3">
      <c r="A43" s="53"/>
      <c r="B43" s="36"/>
      <c r="C43" s="1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46"/>
    </row>
    <row r="44" spans="1:69" x14ac:dyDescent="0.25">
      <c r="A44" s="48"/>
      <c r="B44" s="37"/>
      <c r="C44" s="6"/>
      <c r="D44" s="15"/>
      <c r="E44" s="15"/>
      <c r="F44" s="38"/>
      <c r="G44" s="15"/>
      <c r="H44" s="15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15"/>
      <c r="W44" s="38"/>
    </row>
    <row r="45" spans="1:69" x14ac:dyDescent="0.25">
      <c r="A45" s="51"/>
      <c r="B45" s="26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69" ht="16.5" thickBot="1" x14ac:dyDescent="0.3">
      <c r="A46" s="49"/>
      <c r="B46" s="18"/>
      <c r="C46" s="5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39"/>
      <c r="T46" s="17"/>
      <c r="U46" s="39"/>
      <c r="V4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2025-05-31T06:39:27Z</dcterms:modified>
</cp:coreProperties>
</file>