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749141B5-8AB3-41A7-80D7-A091590C6D8D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TMT" sheetId="2" r:id="rId2"/>
    <sheet name="Diesel" sheetId="3" r:id="rId3"/>
    <sheet name="Cement" sheetId="4" r:id="rId4"/>
  </sheets>
  <definedNames>
    <definedName name="_xlnm.Print_Area" localSheetId="0">Sheet1!$A$1:$S$101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O57" i="1" s="1"/>
  <c r="E58" i="1" s="1"/>
  <c r="P58" i="1" s="1"/>
  <c r="J57" i="1" l="1"/>
  <c r="K57" i="1"/>
  <c r="H57" i="1"/>
  <c r="I57" i="1" s="1"/>
  <c r="P57" i="1" l="1"/>
  <c r="G55" i="1" l="1"/>
  <c r="G84" i="1"/>
  <c r="J84" i="1" s="1"/>
  <c r="G79" i="1"/>
  <c r="S64" i="1"/>
  <c r="Q89" i="1"/>
  <c r="S83" i="1"/>
  <c r="J55" i="1" l="1"/>
  <c r="K55" i="1"/>
  <c r="H55" i="1"/>
  <c r="I55" i="1" s="1"/>
  <c r="O55" i="1"/>
  <c r="E56" i="1" s="1"/>
  <c r="P56" i="1" s="1"/>
  <c r="K84" i="1"/>
  <c r="H84" i="1"/>
  <c r="I84" i="1" s="1"/>
  <c r="O84" i="1"/>
  <c r="E85" i="1" s="1"/>
  <c r="P85" i="1" s="1"/>
  <c r="J79" i="1"/>
  <c r="K79" i="1"/>
  <c r="H79" i="1"/>
  <c r="I79" i="1" s="1"/>
  <c r="O79" i="1"/>
  <c r="E80" i="1" s="1"/>
  <c r="P80" i="1" s="1"/>
  <c r="F89" i="1"/>
  <c r="P55" i="1" l="1"/>
  <c r="P84" i="1"/>
  <c r="S87" i="1" s="1"/>
  <c r="P79" i="1"/>
  <c r="S81" i="1" s="1"/>
  <c r="G65" i="1"/>
  <c r="E69" i="1"/>
  <c r="G69" i="1" s="1"/>
  <c r="H69" i="1" s="1"/>
  <c r="K65" i="1" l="1"/>
  <c r="O65" i="1"/>
  <c r="H65" i="1"/>
  <c r="J65" i="1"/>
  <c r="J69" i="1"/>
  <c r="K69" i="1"/>
  <c r="I69" i="1"/>
  <c r="O69" i="1"/>
  <c r="E70" i="1" s="1"/>
  <c r="P70" i="1" s="1"/>
  <c r="G15" i="1"/>
  <c r="M15" i="1" s="1"/>
  <c r="I65" i="1" l="1"/>
  <c r="P65" i="1" s="1"/>
  <c r="E66" i="1"/>
  <c r="P66" i="1" s="1"/>
  <c r="P69" i="1"/>
  <c r="S72" i="1" s="1"/>
  <c r="H15" i="1"/>
  <c r="J15" i="1"/>
  <c r="K15" i="1"/>
  <c r="L15" i="1"/>
  <c r="G13" i="1"/>
  <c r="K13" i="1" s="1"/>
  <c r="G52" i="1"/>
  <c r="G37" i="1"/>
  <c r="K37" i="1" s="1"/>
  <c r="G51" i="1"/>
  <c r="O51" i="1" s="1"/>
  <c r="E53" i="1" s="1"/>
  <c r="P53" i="1" s="1"/>
  <c r="G75" i="1"/>
  <c r="O75" i="1" s="1"/>
  <c r="E76" i="1" s="1"/>
  <c r="P76" i="1" s="1"/>
  <c r="G36" i="1"/>
  <c r="K36" i="1" s="1"/>
  <c r="P48" i="1"/>
  <c r="O12" i="1"/>
  <c r="S68" i="1" l="1"/>
  <c r="O15" i="1"/>
  <c r="E16" i="1"/>
  <c r="P16" i="1" s="1"/>
  <c r="I15" i="1"/>
  <c r="L13" i="1"/>
  <c r="M13" i="1"/>
  <c r="H13" i="1"/>
  <c r="O13" i="1" s="1"/>
  <c r="E14" i="1" s="1"/>
  <c r="P14" i="1" s="1"/>
  <c r="J13" i="1"/>
  <c r="K52" i="1"/>
  <c r="O52" i="1"/>
  <c r="E54" i="1" s="1"/>
  <c r="P54" i="1" s="1"/>
  <c r="J52" i="1"/>
  <c r="H52" i="1"/>
  <c r="I52" i="1" s="1"/>
  <c r="M37" i="1"/>
  <c r="L37" i="1"/>
  <c r="H37" i="1"/>
  <c r="E39" i="1" s="1"/>
  <c r="P39" i="1" s="1"/>
  <c r="I37" i="1"/>
  <c r="J37" i="1"/>
  <c r="O37" i="1"/>
  <c r="L75" i="1"/>
  <c r="J51" i="1"/>
  <c r="K51" i="1"/>
  <c r="H51" i="1"/>
  <c r="I51" i="1" s="1"/>
  <c r="H75" i="1"/>
  <c r="I75" i="1" s="1"/>
  <c r="J75" i="1"/>
  <c r="K75" i="1"/>
  <c r="M36" i="1"/>
  <c r="H36" i="1"/>
  <c r="I36" i="1" s="1"/>
  <c r="L36" i="1"/>
  <c r="J36" i="1"/>
  <c r="O36" i="1"/>
  <c r="E38" i="1" s="1"/>
  <c r="P38" i="1" s="1"/>
  <c r="F22" i="4"/>
  <c r="F21" i="4"/>
  <c r="H21" i="4" s="1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40" i="2"/>
  <c r="R40" i="2" s="1"/>
  <c r="P40" i="2"/>
  <c r="Q39" i="2"/>
  <c r="R39" i="2" s="1"/>
  <c r="P39" i="2"/>
  <c r="Q38" i="2"/>
  <c r="R38" i="2" s="1"/>
  <c r="P38" i="2"/>
  <c r="Q37" i="2"/>
  <c r="R37" i="2" s="1"/>
  <c r="P37" i="2"/>
  <c r="Q36" i="2"/>
  <c r="R36" i="2" s="1"/>
  <c r="P36" i="2"/>
  <c r="Q35" i="2"/>
  <c r="R35" i="2" s="1"/>
  <c r="P35" i="2"/>
  <c r="Q34" i="2"/>
  <c r="R34" i="2" s="1"/>
  <c r="P34" i="2"/>
  <c r="Q33" i="2"/>
  <c r="R33" i="2" s="1"/>
  <c r="P33" i="2"/>
  <c r="Q32" i="2"/>
  <c r="R32" i="2" s="1"/>
  <c r="P32" i="2"/>
  <c r="Q31" i="2"/>
  <c r="R31" i="2" s="1"/>
  <c r="P31" i="2"/>
  <c r="Q30" i="2"/>
  <c r="R30" i="2" s="1"/>
  <c r="P30" i="2"/>
  <c r="Q29" i="2"/>
  <c r="R29" i="2" s="1"/>
  <c r="P29" i="2"/>
  <c r="Q28" i="2"/>
  <c r="R28" i="2" s="1"/>
  <c r="P28" i="2"/>
  <c r="Q27" i="2"/>
  <c r="R27" i="2" s="1"/>
  <c r="P27" i="2"/>
  <c r="Q26" i="2"/>
  <c r="R26" i="2" s="1"/>
  <c r="P26" i="2"/>
  <c r="Q25" i="2"/>
  <c r="R25" i="2" s="1"/>
  <c r="P25" i="2"/>
  <c r="Q24" i="2"/>
  <c r="R24" i="2" s="1"/>
  <c r="P24" i="2"/>
  <c r="Q23" i="2"/>
  <c r="R23" i="2" s="1"/>
  <c r="P23" i="2"/>
  <c r="Q22" i="2"/>
  <c r="R22" i="2" s="1"/>
  <c r="P22" i="2"/>
  <c r="Q21" i="2"/>
  <c r="R21" i="2" s="1"/>
  <c r="P21" i="2"/>
  <c r="Q20" i="2"/>
  <c r="R20" i="2" s="1"/>
  <c r="P20" i="2"/>
  <c r="Q19" i="2"/>
  <c r="R19" i="2" s="1"/>
  <c r="P19" i="2"/>
  <c r="Q18" i="2"/>
  <c r="R18" i="2" s="1"/>
  <c r="P18" i="2"/>
  <c r="Q17" i="2"/>
  <c r="R17" i="2" s="1"/>
  <c r="P17" i="2"/>
  <c r="Q16" i="2"/>
  <c r="R16" i="2" s="1"/>
  <c r="P16" i="2"/>
  <c r="Q15" i="2"/>
  <c r="R15" i="2" s="1"/>
  <c r="P15" i="2"/>
  <c r="Q14" i="2"/>
  <c r="R14" i="2" s="1"/>
  <c r="P14" i="2"/>
  <c r="Q13" i="2"/>
  <c r="R13" i="2" s="1"/>
  <c r="P13" i="2"/>
  <c r="Q12" i="2"/>
  <c r="R12" i="2" s="1"/>
  <c r="P12" i="2"/>
  <c r="Q11" i="2"/>
  <c r="R11" i="2" s="1"/>
  <c r="P11" i="2"/>
  <c r="Q10" i="2"/>
  <c r="R10" i="2" s="1"/>
  <c r="P10" i="2"/>
  <c r="Q9" i="2"/>
  <c r="R9" i="2" s="1"/>
  <c r="P9" i="2"/>
  <c r="Q8" i="2"/>
  <c r="R8" i="2" s="1"/>
  <c r="P8" i="2"/>
  <c r="Q7" i="2"/>
  <c r="R7" i="2" s="1"/>
  <c r="P7" i="2"/>
  <c r="Q6" i="2"/>
  <c r="R6" i="2" s="1"/>
  <c r="P6" i="2"/>
  <c r="Q5" i="2"/>
  <c r="R5" i="2" s="1"/>
  <c r="P5" i="2"/>
  <c r="Q4" i="2"/>
  <c r="R4" i="2" s="1"/>
  <c r="P4" i="2"/>
  <c r="Q3" i="2"/>
  <c r="R3" i="2" s="1"/>
  <c r="P3" i="2"/>
  <c r="Q2" i="2"/>
  <c r="R2" i="2" s="1"/>
  <c r="P2" i="2"/>
  <c r="G73" i="1"/>
  <c r="O73" i="1" s="1"/>
  <c r="E74" i="1" s="1"/>
  <c r="P74" i="1" s="1"/>
  <c r="P15" i="1" l="1"/>
  <c r="P52" i="1"/>
  <c r="I13" i="1"/>
  <c r="P13" i="1" s="1"/>
  <c r="P51" i="1"/>
  <c r="S61" i="1" s="1"/>
  <c r="P37" i="1"/>
  <c r="P75" i="1"/>
  <c r="P36" i="1"/>
  <c r="R41" i="2"/>
  <c r="H5" i="4"/>
  <c r="H9" i="4"/>
  <c r="H15" i="4"/>
  <c r="H17" i="4"/>
  <c r="I5" i="4"/>
  <c r="J5" i="4" s="1"/>
  <c r="I11" i="4"/>
  <c r="J11" i="4" s="1"/>
  <c r="I17" i="4"/>
  <c r="J17" i="4" s="1"/>
  <c r="H7" i="4"/>
  <c r="H13" i="4"/>
  <c r="H19" i="4"/>
  <c r="I7" i="4"/>
  <c r="J7" i="4" s="1"/>
  <c r="I13" i="4"/>
  <c r="J13" i="4" s="1"/>
  <c r="I21" i="4"/>
  <c r="J21" i="4" s="1"/>
  <c r="H4" i="4"/>
  <c r="H10" i="4"/>
  <c r="H14" i="4"/>
  <c r="H18" i="4"/>
  <c r="H20" i="4"/>
  <c r="I2" i="4"/>
  <c r="J2" i="4" s="1"/>
  <c r="I4" i="4"/>
  <c r="J4" i="4" s="1"/>
  <c r="I6" i="4"/>
  <c r="J6" i="4" s="1"/>
  <c r="I8" i="4"/>
  <c r="J8" i="4" s="1"/>
  <c r="I10" i="4"/>
  <c r="J10" i="4" s="1"/>
  <c r="I12" i="4"/>
  <c r="J12" i="4" s="1"/>
  <c r="I14" i="4"/>
  <c r="J14" i="4" s="1"/>
  <c r="I16" i="4"/>
  <c r="J16" i="4" s="1"/>
  <c r="I18" i="4"/>
  <c r="J18" i="4" s="1"/>
  <c r="I20" i="4"/>
  <c r="J20" i="4" s="1"/>
  <c r="I22" i="4"/>
  <c r="J22" i="4" s="1"/>
  <c r="H3" i="4"/>
  <c r="H11" i="4"/>
  <c r="I3" i="4"/>
  <c r="J3" i="4" s="1"/>
  <c r="I9" i="4"/>
  <c r="J9" i="4" s="1"/>
  <c r="I15" i="4"/>
  <c r="J15" i="4" s="1"/>
  <c r="I19" i="4"/>
  <c r="J19" i="4" s="1"/>
  <c r="H2" i="4"/>
  <c r="H6" i="4"/>
  <c r="H8" i="4"/>
  <c r="H12" i="4"/>
  <c r="H16" i="4"/>
  <c r="H22" i="4"/>
  <c r="H73" i="1"/>
  <c r="I73" i="1" s="1"/>
  <c r="J73" i="1"/>
  <c r="K73" i="1"/>
  <c r="G46" i="1"/>
  <c r="G44" i="1"/>
  <c r="J44" i="1" s="1"/>
  <c r="N33" i="1"/>
  <c r="O27" i="1"/>
  <c r="O11" i="1"/>
  <c r="G10" i="1"/>
  <c r="G33" i="1"/>
  <c r="L33" i="1" s="1"/>
  <c r="N89" i="1" l="1"/>
  <c r="J23" i="4"/>
  <c r="P73" i="1"/>
  <c r="S78" i="1" s="1"/>
  <c r="O44" i="1"/>
  <c r="E45" i="1" s="1"/>
  <c r="G45" i="1" s="1"/>
  <c r="L45" i="1" s="1"/>
  <c r="H44" i="1"/>
  <c r="I44" i="1" s="1"/>
  <c r="K44" i="1"/>
  <c r="K46" i="1"/>
  <c r="J46" i="1"/>
  <c r="H46" i="1"/>
  <c r="I46" i="1" s="1"/>
  <c r="O46" i="1"/>
  <c r="E47" i="1" s="1"/>
  <c r="G47" i="1" s="1"/>
  <c r="K10" i="1"/>
  <c r="M10" i="1"/>
  <c r="L10" i="1"/>
  <c r="H10" i="1"/>
  <c r="O10" i="1" s="1"/>
  <c r="E12" i="1" s="1"/>
  <c r="G12" i="1" s="1"/>
  <c r="J10" i="1"/>
  <c r="K33" i="1"/>
  <c r="O33" i="1"/>
  <c r="E35" i="1" s="1"/>
  <c r="P35" i="1" s="1"/>
  <c r="M33" i="1"/>
  <c r="J33" i="1"/>
  <c r="H33" i="1"/>
  <c r="I33" i="1" s="1"/>
  <c r="K32" i="1"/>
  <c r="M32" i="1"/>
  <c r="O32" i="1"/>
  <c r="E34" i="1" s="1"/>
  <c r="P34" i="1" s="1"/>
  <c r="J32" i="1"/>
  <c r="H32" i="1"/>
  <c r="I32" i="1" s="1"/>
  <c r="E26" i="1"/>
  <c r="N90" i="1" l="1"/>
  <c r="H97" i="1" s="1"/>
  <c r="G26" i="1"/>
  <c r="J26" i="1" s="1"/>
  <c r="I47" i="1"/>
  <c r="L47" i="1"/>
  <c r="L12" i="1"/>
  <c r="I12" i="1"/>
  <c r="I45" i="1"/>
  <c r="P45" i="1" s="1"/>
  <c r="P44" i="1"/>
  <c r="P46" i="1"/>
  <c r="I10" i="1"/>
  <c r="P10" i="1" s="1"/>
  <c r="P33" i="1"/>
  <c r="P32" i="1"/>
  <c r="S43" i="1" s="1"/>
  <c r="L26" i="1" l="1"/>
  <c r="H26" i="1"/>
  <c r="O26" i="1" s="1"/>
  <c r="E27" i="1" s="1"/>
  <c r="G27" i="1" s="1"/>
  <c r="I27" i="1" s="1"/>
  <c r="K26" i="1"/>
  <c r="M26" i="1"/>
  <c r="P12" i="1"/>
  <c r="P47" i="1"/>
  <c r="S49" i="1" s="1"/>
  <c r="O25" i="1"/>
  <c r="G25" i="1"/>
  <c r="I25" i="1" s="1"/>
  <c r="I26" i="1" l="1"/>
  <c r="P26" i="1" s="1"/>
  <c r="L27" i="1"/>
  <c r="P27" i="1" s="1"/>
  <c r="L25" i="1"/>
  <c r="P25" i="1" s="1"/>
  <c r="G24" i="1"/>
  <c r="K24" i="1" s="1"/>
  <c r="H24" i="1" l="1"/>
  <c r="O24" i="1" s="1"/>
  <c r="L24" i="1"/>
  <c r="M24" i="1"/>
  <c r="J24" i="1"/>
  <c r="I24" i="1" l="1"/>
  <c r="P24" i="1" s="1"/>
  <c r="G23" i="1" l="1"/>
  <c r="J23" i="1" s="1"/>
  <c r="O22" i="1"/>
  <c r="G22" i="1"/>
  <c r="I22" i="1" s="1"/>
  <c r="E21" i="1"/>
  <c r="E20" i="1"/>
  <c r="G20" i="1" s="1"/>
  <c r="E19" i="1"/>
  <c r="G19" i="1" s="1"/>
  <c r="E18" i="1"/>
  <c r="G18" i="1" s="1"/>
  <c r="G21" i="1" l="1"/>
  <c r="L21" i="1" s="1"/>
  <c r="L22" i="1"/>
  <c r="P22" i="1" s="1"/>
  <c r="K19" i="1"/>
  <c r="J19" i="1"/>
  <c r="M19" i="1"/>
  <c r="L19" i="1"/>
  <c r="H19" i="1"/>
  <c r="O19" i="1" s="1"/>
  <c r="K18" i="1"/>
  <c r="J18" i="1"/>
  <c r="M18" i="1"/>
  <c r="L18" i="1"/>
  <c r="H18" i="1"/>
  <c r="O18" i="1" s="1"/>
  <c r="L20" i="1"/>
  <c r="H20" i="1"/>
  <c r="O20" i="1" s="1"/>
  <c r="K20" i="1"/>
  <c r="J20" i="1"/>
  <c r="M20" i="1"/>
  <c r="K23" i="1"/>
  <c r="H23" i="1"/>
  <c r="O23" i="1" s="1"/>
  <c r="L23" i="1"/>
  <c r="M23" i="1"/>
  <c r="E9" i="1"/>
  <c r="G9" i="1" s="1"/>
  <c r="M21" i="1" l="1"/>
  <c r="J21" i="1"/>
  <c r="K21" i="1"/>
  <c r="H21" i="1"/>
  <c r="O21" i="1" s="1"/>
  <c r="I20" i="1"/>
  <c r="P20" i="1" s="1"/>
  <c r="I19" i="1"/>
  <c r="P19" i="1" s="1"/>
  <c r="I23" i="1"/>
  <c r="P23" i="1" s="1"/>
  <c r="I18" i="1"/>
  <c r="P18" i="1" s="1"/>
  <c r="K9" i="1"/>
  <c r="J9" i="1"/>
  <c r="L9" i="1"/>
  <c r="H9" i="1"/>
  <c r="O9" i="1" s="1"/>
  <c r="M9" i="1"/>
  <c r="E8" i="1"/>
  <c r="I21" i="1" l="1"/>
  <c r="P21" i="1" s="1"/>
  <c r="S31" i="1" s="1"/>
  <c r="I9" i="1"/>
  <c r="P9" i="1" s="1"/>
  <c r="G8" i="1" l="1"/>
  <c r="L8" i="1" l="1"/>
  <c r="M8" i="1"/>
  <c r="M89" i="1" s="1"/>
  <c r="H8" i="1"/>
  <c r="J8" i="1"/>
  <c r="J89" i="1" s="1"/>
  <c r="K8" i="1"/>
  <c r="K89" i="1" s="1"/>
  <c r="O8" i="1" l="1"/>
  <c r="O89" i="1" s="1"/>
  <c r="I8" i="1"/>
  <c r="E11" i="1" l="1"/>
  <c r="G11" i="1" s="1"/>
  <c r="I11" i="1" s="1"/>
  <c r="P8" i="1"/>
  <c r="L11" i="1" l="1"/>
  <c r="L89" i="1" s="1"/>
  <c r="P11" i="1" l="1"/>
  <c r="H99" i="1" s="1"/>
  <c r="H96" i="1"/>
  <c r="P89" i="1" l="1"/>
  <c r="Q91" i="1" s="1"/>
  <c r="H98" i="1" s="1"/>
  <c r="S17" i="1"/>
  <c r="S89" i="1" s="1"/>
</calcChain>
</file>

<file path=xl/sharedStrings.xml><?xml version="1.0" encoding="utf-8"?>
<sst xmlns="http://schemas.openxmlformats.org/spreadsheetml/2006/main" count="476" uniqueCount="189">
  <si>
    <t>Amount</t>
  </si>
  <si>
    <t>UTR</t>
  </si>
  <si>
    <t>OHT Construction work</t>
  </si>
  <si>
    <t>Shree Ganesh Enterprises</t>
  </si>
  <si>
    <t>06-05-2023 NEFT/AXISP00387805316/SPUP23/0341/SHREE GANESH ENTERP 806480.00</t>
  </si>
  <si>
    <t>Bhandura Village OHT Construction work 600 Kl 14 mtr</t>
  </si>
  <si>
    <t>12-04-2023 12-04-2023 NEFT/AXISP00381313162/SPUP23/0102/SHREE GANESH EN 198000.00</t>
  </si>
  <si>
    <t>21-04-2023 NEFT/AXISP00383589777/SPUP23/0226/SHREE GANESH EN 736168.00</t>
  </si>
  <si>
    <t>02-06-2023 NEFT/AXISP00395047110/RIUP23/474/SHREE GANESH ENT 536450.00</t>
  </si>
  <si>
    <t>28-06-2023 NEFT/AXISP00401570065/RIUP23/938/SHREE GANESH ENT ₹ 2,49,726.00</t>
  </si>
  <si>
    <t>15-07-2023 NEFT/AXISP00407207178/RIUP23/1063/SHREE GANESH EN 310711.00</t>
  </si>
  <si>
    <t>GST Release note</t>
  </si>
  <si>
    <t>1  &amp; 3</t>
  </si>
  <si>
    <t>24-07-2023 NEFT/AXISP00408935248/RIUP23/1185/SHREE GANESH EN 369346.00</t>
  </si>
  <si>
    <t>02-08-2023 NEFT/AXISP00412018436/RIUP23/1333/SHREE GANESH EN 315133.00</t>
  </si>
  <si>
    <t>28-08-2023 NEFT/AXISP00418849253/RIUP23/1750/SHREE GANESH ENTER/PUNB0395500 198000.00</t>
  </si>
  <si>
    <t xml:space="preserve">Bhandura Village pipe line  work </t>
  </si>
  <si>
    <t>22-08-2023 NEFT/AXISP00417367262/RIUP23/1636/SHREE GANESH EN 480157.00</t>
  </si>
  <si>
    <t>GST RELEASE NOTE</t>
  </si>
  <si>
    <t>01-09-2023 NEFT/AXISP00420941787/RIUP23/1816/SHREE GANESH ENTER/PUNB0395500 ₹ 5,20,203.00</t>
  </si>
  <si>
    <t>15-09-2023 NEFT/AXISP00425358566/RIUP23/2039/SHREE GANESH ENTER/PUNB0395500 360090.00</t>
  </si>
  <si>
    <t>13-09-2023 NEFT/AXISP00424689685/RIUP23/2007/SHREE GANESH ENTER/PUNB0395500 198000.00</t>
  </si>
  <si>
    <t>02-08-2023 NEFT/AXISP00412018438/RIUP23/1332/SHREE GANESH EN 226330.00</t>
  </si>
  <si>
    <t>13-09-2023 NEFT/AXISP00424687445/RIUP23/2000/SHREE GANESH ENTER/PUNB0395500 396000.00</t>
  </si>
  <si>
    <t>19-10-2023 NEFT/AXISP00435739498/RIUP23/2784/SHREE GANESH ENTER/PUNB0395500 496315.00</t>
  </si>
  <si>
    <t>05-12-2023 NEFT/AXISP00449670532/RIUP23/3593/SHREE GANESH ENTER/PUNB0395500 198000.00</t>
  </si>
  <si>
    <t>22-12-2023 NEFT/AXISP00454921189/RIUP23/3781/SHREE GANESH ENTER/PUNB0395500 ₹ 2,05,697.00</t>
  </si>
  <si>
    <t>02-12-2023 NEFT/AXISP00449103425/RIUP23/3454/SHREE GANESH ENTER/PUNB0395500 471302.00</t>
  </si>
  <si>
    <t>2&amp;4</t>
  </si>
  <si>
    <t>22-12-2023 NEFT/AXISP00455032163/RIUP23/3782/SHREE GANESH ENTER/PUNB0395500 107964.00</t>
  </si>
  <si>
    <t>08-11-2023 NEFT/AXISP00441999435/RIUP23/2886/SHREE GANESH ENTER/PUNB0395500 305832.00</t>
  </si>
  <si>
    <t>22-12-2023 NEFT/AXISP00454921188/RIUP23/3783/SHREE GANESH ENTER/PUNB0395500 ₹ 32,400.00</t>
  </si>
  <si>
    <t>01-11-2023 NEFT/AXISP00439227018/RIUP23/3002/SHREE GANESH ENTER/PUNB0395500 169200.00</t>
  </si>
  <si>
    <t>28-12-2023 NEFT/AXISP00456408412/RIUP23/3996/SHREE GANESH ENTER/PUNB0395500 297000.00</t>
  </si>
  <si>
    <t>28-12-2023 NEFT/AXISP00456421506/RIUP23/3998/SHREE GANESH ENTER/PUNB0395500 297000.00</t>
  </si>
  <si>
    <t>Total Paid</t>
  </si>
  <si>
    <t>Balance Payable</t>
  </si>
  <si>
    <t>06-01-2024 NEFT/AXISP00460284753/RIUP23/4022/SHREE GANESH ENTER/PUNB0395500 ₹ 1,72,849.00</t>
  </si>
  <si>
    <t xml:space="preserve">                                                            </t>
  </si>
  <si>
    <t>BILL NO/BILL DATE</t>
  </si>
  <si>
    <t>PURCHASE FROM</t>
  </si>
  <si>
    <t>8MM</t>
  </si>
  <si>
    <t>10MM</t>
  </si>
  <si>
    <t>12MM</t>
  </si>
  <si>
    <t>16MM</t>
  </si>
  <si>
    <t>20MM</t>
  </si>
  <si>
    <t>Date Of Issue</t>
  </si>
  <si>
    <t>Issue Slip No</t>
  </si>
  <si>
    <t>Name of Party</t>
  </si>
  <si>
    <t>SIZE (IN MM)</t>
  </si>
  <si>
    <t>QTY (TON)</t>
  </si>
  <si>
    <t xml:space="preserve"> </t>
  </si>
  <si>
    <t>GST (18%)</t>
  </si>
  <si>
    <t>Amount (In Rs.)</t>
  </si>
  <si>
    <t>ISSUE</t>
  </si>
  <si>
    <t>DEBIT NOTE NO.</t>
  </si>
  <si>
    <t>CONTRACTOR INVOICE DETAIL</t>
  </si>
  <si>
    <t>20.03.2023</t>
  </si>
  <si>
    <t>Shri Ganesh Enterprises</t>
  </si>
  <si>
    <t>BHANDURA SADAR VILLAGE</t>
  </si>
  <si>
    <t>270/10.04.2023</t>
  </si>
  <si>
    <t>02.04.2023</t>
  </si>
  <si>
    <t>484/29.05.2023</t>
  </si>
  <si>
    <t>14.04.2023</t>
  </si>
  <si>
    <t>NIRDHANA VILLAGE</t>
  </si>
  <si>
    <t>310/25.04.2023</t>
  </si>
  <si>
    <t>20.05.2023</t>
  </si>
  <si>
    <t>507/20.06.2023</t>
  </si>
  <si>
    <t>02.06.2023</t>
  </si>
  <si>
    <t>Bhandura village</t>
  </si>
  <si>
    <t>570/07.07.2023</t>
  </si>
  <si>
    <t>03.06.2023</t>
  </si>
  <si>
    <t>689/17.07.2023</t>
  </si>
  <si>
    <t>17.06.2023</t>
  </si>
  <si>
    <t>29.06.2023</t>
  </si>
  <si>
    <t>04.07.2023</t>
  </si>
  <si>
    <t>07.08.2023</t>
  </si>
  <si>
    <t>BHANDAURA (SADAR)</t>
  </si>
  <si>
    <t>735/ 14.08.2023</t>
  </si>
  <si>
    <t>BILL NO 7 BHANDAURA 14.08.2023</t>
  </si>
  <si>
    <t>26.09.2023</t>
  </si>
  <si>
    <t>867/ 08.11.2023</t>
  </si>
  <si>
    <t>BILL NIRDHANA 08.11.2023</t>
  </si>
  <si>
    <t>03.11.2023</t>
  </si>
  <si>
    <t>25.12.2023</t>
  </si>
  <si>
    <t>QTY (BAG)</t>
  </si>
  <si>
    <t>IN TON</t>
  </si>
  <si>
    <t>RATE (PER TON)</t>
  </si>
  <si>
    <t>GST (28%)</t>
  </si>
  <si>
    <t xml:space="preserve">ISSUE FOR </t>
  </si>
  <si>
    <t>30.05.2023</t>
  </si>
  <si>
    <t>SHRI GANESH ENTERPRISES</t>
  </si>
  <si>
    <t>BHANDURA Village</t>
  </si>
  <si>
    <t>04.06.2023</t>
  </si>
  <si>
    <t>22.06.2023</t>
  </si>
  <si>
    <t>747/ 28.08.2023</t>
  </si>
  <si>
    <t>BILL BHANDURA 28.08.2023</t>
  </si>
  <si>
    <t>06.07.2023</t>
  </si>
  <si>
    <t>BILL NO. 7 BHANDAURA 14.08.2023</t>
  </si>
  <si>
    <t>09.09.2023</t>
  </si>
  <si>
    <t>829/ 20.10.2023</t>
  </si>
  <si>
    <t>BILL BHANDURA 20.10.2023</t>
  </si>
  <si>
    <t>16.09.2023</t>
  </si>
  <si>
    <t>03.10.2023</t>
  </si>
  <si>
    <t>07.10.2023</t>
  </si>
  <si>
    <t>09.10.2023</t>
  </si>
  <si>
    <t>21.10.2023</t>
  </si>
  <si>
    <t>26.10.2023</t>
  </si>
  <si>
    <t>30.10.2023</t>
  </si>
  <si>
    <t>917/16.12.2023</t>
  </si>
  <si>
    <t>BILL BHANDAURA 16.12.2023</t>
  </si>
  <si>
    <t>01.12.2023</t>
  </si>
  <si>
    <t>31.12.2023</t>
  </si>
  <si>
    <t>03.01.2024</t>
  </si>
  <si>
    <t>BHANDAURA</t>
  </si>
  <si>
    <t>09-11-2023 NEFT/AXISP00442779065/RIUP23/3201/SHREE GANESH ENTER/PUNB0395500 198000.00</t>
  </si>
  <si>
    <t>Total Hold</t>
  </si>
  <si>
    <t>Advance / Surplus</t>
  </si>
  <si>
    <t>GST Remaining</t>
  </si>
  <si>
    <t>Advance Village Wise</t>
  </si>
  <si>
    <t>5,6,7 &amp; 8</t>
  </si>
  <si>
    <t>24-01-2024 NEFT/AXISP00464445253/RIUP23/4126/SHREE GANESH ENTER/PUNB0395500 ₹ 1,10,165.00</t>
  </si>
  <si>
    <t>24-01-2024 NEFT/AXISP00464445256/RIUP23/4447/SHREE GANESH ENTER/PUNB0395500 ₹ 1,05,369.00</t>
  </si>
  <si>
    <t>25-01-2024 NEFT/AXISP00464816816/RIUP23/4449/SHREE GANESH ENTER/PUNB0395500 32400.00</t>
  </si>
  <si>
    <t>18-01-2024 NEFT/AXISP00463439418/RIUP23/4372/SHREE GANESH ENTER/PUNB0395500 85358.00</t>
  </si>
  <si>
    <t>05-01-2024 NEFT/AXISP00459736183/RIUP23/4082/SHREE GANESH ENTER/PUNB0395500 ₹ 83,842.00</t>
  </si>
  <si>
    <t>Hold Release</t>
  </si>
  <si>
    <t>25-01-2024 NEFT/AXISP00464816817/RIUP23/4446/SHREE GANESH ENTER/PUNB0395500 71014.00</t>
  </si>
  <si>
    <t>GST</t>
  </si>
  <si>
    <t>12-02-2024 NEFT/AXISP00470368413/RIUP23/4642/SHREE GANESH ENTER/PUNB0395500 297000.00</t>
  </si>
  <si>
    <t>20-02-2024 NEFT/AXISP00472661152/RIUP23/4706/SHREE GANESH ENTER/PUNB0395500 ₹ 13,45,396.00</t>
  </si>
  <si>
    <t>15-03-2024 NEFT/AXISP00481321982/RIUP23/4684/SHREE GANESH ENTER/PUNB0395500 62580.00</t>
  </si>
  <si>
    <t>18-03-2024 NEFT/AXISP00482006281/RIUP23/5111/SHREE GANESH ENTER/PUNB0395500 513240.00</t>
  </si>
  <si>
    <t>04-03-2024 NEFT/AXISP00476815315/RIUP23/4957/SHREE GANESH ENTER/PUNB0395500 386420.00</t>
  </si>
  <si>
    <t>Advance of 61376 recovered here</t>
  </si>
  <si>
    <t>31-03-2024 NEFT/AXISP00486642301/RIUP23/5330/SHREE GANESH ENTER/PUNB0395500 350679.00</t>
  </si>
  <si>
    <t>31-03-2024 NEFT/AXISP00486642300/RIUP23/5329/SHREE GANESH ENTER/PUNB0395500 433263.00</t>
  </si>
  <si>
    <t>06-04-2024 NEFT/AXISP00489186655/RIUP24/066/SHREE GANESH ENTER/PUNB0395500 383759.00</t>
  </si>
  <si>
    <t>22-03-2024 NEFT/AXISP00483289133/RIUP23/5238/SHREE GANESH ENTER/PUNB0395500 594000.00</t>
  </si>
  <si>
    <t>21-05-2024 NEFT/AXISP00501624780/RIUP24/0575/SHREE GANESH ENTER/PUNB0395500 297000.00</t>
  </si>
  <si>
    <t>21-05-2024 NEFT/AXISP00501624781/RIUP24/0458/SHREE GANESH ENTER/PUNB0395500 313020.00</t>
  </si>
  <si>
    <t>14-05-2024 NEFT/AXISP00499706358/RIUP24/0473/SHREE GANESH ENTER/PUNB0395500 247500.00</t>
  </si>
  <si>
    <t>14-05-2024 NEFT/AXISP00499706359/RIUP24/0474/SHREE GANESH ENTER/PUNB0395500 247500.00</t>
  </si>
  <si>
    <t>11-06-2024 NEFT/AXISP00508263018/RIUP24/0804/SHREE GANESH ENTER/PUNB0395500 198000.00</t>
  </si>
  <si>
    <t>07-06-2024 NEFT/AXISP00507505914/RIUP24/0803/SHREE GANESH ENTER/PUNB0395500 297000.00</t>
  </si>
  <si>
    <t>29-03-2024 NEFT/AXISP00485676702/RIUP23/5303/SHREE GANESH ENTER/PUNB0395500 17753.00</t>
  </si>
  <si>
    <t>05-07-2024 NEFT/AXISP00515811468/RIUP24/0721/SHREE GANESH ENTER/PUNB0395500 59940.00</t>
  </si>
  <si>
    <t>05-07-2024 NEFT/AXISP00515811474/RIUP24/0967/SHREE GANESH ENTER/PUNB0395500 381198.00</t>
  </si>
  <si>
    <t>DPR Excess Hold Amount</t>
  </si>
  <si>
    <t>DPR Excess Hold</t>
  </si>
  <si>
    <t>03-09-2024 NEFT/AXISP00535803796/RIUP24/1604/SHREE GANESH ENTER/PUNB0395500 247500.00</t>
  </si>
  <si>
    <t>30-10-2024 NEFT/AXISP00561390213/RIUP24/2358/SHREE GANESH ENTER/PUNB0395500 495000.00</t>
  </si>
  <si>
    <t>07-12-2024 NEFT/AXISP00581571418/RIUP24/1455/SHREE GANESH ENTER/PUNB0395500 129868.00</t>
  </si>
  <si>
    <t>13-12-2024 NEFT/AXISP00584258415/RIUP24/1454/SHREE GANESH ENTER/PUNB0395500 59940.00</t>
  </si>
  <si>
    <t>19-12-2024 NEFT/AXISP00586371457/RIUP24/2742/SHREE GANESH ENTER/PUNB0395500 99000.00</t>
  </si>
  <si>
    <t>06-03-2025 NEFT/AXISP00628995535/RIUP24/2992/SHREE GANESH ENTER/PUNB0395500 166680.00</t>
  </si>
  <si>
    <t>12-03-2025 NEFT/AXISP00632194502/RIUP24/2993/SHREE GANESH ENTER/PUNB0395500 400000.00</t>
  </si>
  <si>
    <t>Updated On 07/04/2025</t>
  </si>
  <si>
    <t>Badhedi village - OHT work - 250, 16</t>
  </si>
  <si>
    <t>Uttar Pradesh</t>
  </si>
  <si>
    <t>Muzaffarnagar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</si>
  <si>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</si>
  <si>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</si>
  <si>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</si>
  <si>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</si>
  <si>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</si>
  <si>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</si>
  <si>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</si>
  <si>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</si>
  <si>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</si>
  <si>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</si>
  <si>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</si>
  <si>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</si>
  <si>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</si>
  <si>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</si>
  <si>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</si>
  <si>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</si>
  <si>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</si>
  <si>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</si>
  <si>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</si>
  <si>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Nirdhana village  Block - Charthawal DG FOUNDATION AND WATER RECHARGE UNIT work</t>
  </si>
  <si>
    <t>17-04-2024</t>
  </si>
  <si>
    <t xml:space="preserve">BADHEDI  Village OHT work at </t>
  </si>
  <si>
    <t>SEEMLI VILLAGE OHT WORK 150 KL 12M</t>
  </si>
  <si>
    <t xml:space="preserve">SOHJANI JATAN  VILLAGE OHT WORK AT </t>
  </si>
  <si>
    <t>Bhandura village - BW work</t>
  </si>
  <si>
    <t xml:space="preserve">NIRMANA VILLAGE PUMP HOUSE CONSTRUCTION work AT  </t>
  </si>
  <si>
    <t xml:space="preserve">NIRMANA VILLAGE 200KL 14MTR STAGING OHT CONSTRUCTION work AT  </t>
  </si>
  <si>
    <t>Nirdhana Village OHT Construction work 425 Kl 14 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</si>
</sst>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color theme="1"/>
      <name val="Comic Sans MS"/>
      <family val="4"/>
    </font>
    <font>
      <sz val="11"/>
      <color rgb="FFFF000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3" fillId="2" borderId="0" xfId="0" applyFont="1" applyFill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0" fillId="2" borderId="0" xfId="1" applyNumberFormat="1" applyFont="1" applyFill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43" fontId="5" fillId="4" borderId="6" xfId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43" fontId="5" fillId="0" borderId="6" xfId="1" applyFont="1" applyFill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2" fontId="8" fillId="4" borderId="4" xfId="0" applyNumberFormat="1" applyFont="1" applyFill="1" applyBorder="1" applyAlignment="1">
      <alignment horizontal="center" vertical="center"/>
    </xf>
    <xf numFmtId="43" fontId="5" fillId="4" borderId="6" xfId="1" applyFont="1" applyFill="1" applyBorder="1" applyAlignment="1">
      <alignment horizontal="center" vertical="center"/>
    </xf>
    <xf numFmtId="43" fontId="0" fillId="2" borderId="0" xfId="1" applyFont="1" applyFill="1" applyAlignment="1">
      <alignment vertical="center"/>
    </xf>
    <xf numFmtId="0" fontId="3" fillId="2" borderId="22" xfId="0" applyFont="1" applyFill="1" applyBorder="1" applyAlignment="1">
      <alignment vertical="center" wrapText="1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165" fontId="0" fillId="2" borderId="24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165" fontId="10" fillId="2" borderId="0" xfId="1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165" fontId="10" fillId="2" borderId="13" xfId="1" applyNumberFormat="1" applyFont="1" applyFill="1" applyBorder="1" applyAlignment="1">
      <alignment vertical="center"/>
    </xf>
    <xf numFmtId="0" fontId="10" fillId="2" borderId="13" xfId="1" applyNumberFormat="1" applyFont="1" applyFill="1" applyBorder="1" applyAlignment="1">
      <alignment horizontal="center" vertical="center"/>
    </xf>
    <xf numFmtId="9" fontId="10" fillId="2" borderId="13" xfId="1" applyNumberFormat="1" applyFont="1" applyFill="1" applyBorder="1" applyAlignment="1">
      <alignment vertical="center"/>
    </xf>
    <xf numFmtId="165" fontId="10" fillId="2" borderId="12" xfId="1" applyNumberFormat="1" applyFont="1" applyFill="1" applyBorder="1" applyAlignment="1">
      <alignment vertical="center"/>
    </xf>
    <xf numFmtId="165" fontId="10" fillId="2" borderId="14" xfId="1" applyNumberFormat="1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1" fontId="12" fillId="3" borderId="22" xfId="2" applyNumberFormat="1" applyFont="1" applyFill="1" applyBorder="1" applyAlignment="1">
      <alignment vertical="center"/>
    </xf>
    <xf numFmtId="165" fontId="10" fillId="3" borderId="22" xfId="1" applyNumberFormat="1" applyFont="1" applyFill="1" applyBorder="1" applyAlignment="1">
      <alignment vertical="center"/>
    </xf>
    <xf numFmtId="0" fontId="10" fillId="3" borderId="22" xfId="1" applyNumberFormat="1" applyFont="1" applyFill="1" applyBorder="1" applyAlignment="1">
      <alignment horizontal="center" vertical="center"/>
    </xf>
    <xf numFmtId="9" fontId="10" fillId="3" borderId="22" xfId="1" applyNumberFormat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0" fillId="2" borderId="23" xfId="0" applyFont="1" applyFill="1" applyBorder="1" applyAlignment="1">
      <alignment horizontal="center" vertical="center" wrapText="1"/>
    </xf>
    <xf numFmtId="15" fontId="10" fillId="2" borderId="23" xfId="0" applyNumberFormat="1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165" fontId="10" fillId="2" borderId="23" xfId="1" applyNumberFormat="1" applyFont="1" applyFill="1" applyBorder="1" applyAlignment="1">
      <alignment vertical="center"/>
    </xf>
    <xf numFmtId="165" fontId="13" fillId="7" borderId="23" xfId="1" applyNumberFormat="1" applyFont="1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165" fontId="0" fillId="2" borderId="23" xfId="0" applyNumberFormat="1" applyFill="1" applyBorder="1" applyAlignment="1">
      <alignment vertical="center"/>
    </xf>
    <xf numFmtId="1" fontId="12" fillId="3" borderId="23" xfId="2" applyNumberFormat="1" applyFont="1" applyFill="1" applyBorder="1" applyAlignment="1">
      <alignment vertical="center"/>
    </xf>
    <xf numFmtId="165" fontId="10" fillId="3" borderId="23" xfId="1" applyNumberFormat="1" applyFont="1" applyFill="1" applyBorder="1" applyAlignment="1">
      <alignment vertical="center"/>
    </xf>
    <xf numFmtId="0" fontId="10" fillId="3" borderId="23" xfId="1" applyNumberFormat="1" applyFont="1" applyFill="1" applyBorder="1" applyAlignment="1">
      <alignment horizontal="center" vertical="center"/>
    </xf>
    <xf numFmtId="9" fontId="10" fillId="3" borderId="23" xfId="1" applyNumberFormat="1" applyFont="1" applyFill="1" applyBorder="1" applyAlignment="1">
      <alignment vertical="center"/>
    </xf>
    <xf numFmtId="165" fontId="10" fillId="2" borderId="23" xfId="1" applyNumberFormat="1" applyFont="1" applyFill="1" applyBorder="1" applyAlignment="1">
      <alignment horizontal="right" vertical="center"/>
    </xf>
    <xf numFmtId="14" fontId="10" fillId="2" borderId="23" xfId="1" applyNumberFormat="1" applyFont="1" applyFill="1" applyBorder="1" applyAlignment="1">
      <alignment vertical="center"/>
    </xf>
    <xf numFmtId="0" fontId="10" fillId="2" borderId="23" xfId="1" applyNumberFormat="1" applyFont="1" applyFill="1" applyBorder="1" applyAlignment="1">
      <alignment horizontal="center" vertical="center"/>
    </xf>
    <xf numFmtId="43" fontId="10" fillId="2" borderId="23" xfId="1" applyFont="1" applyFill="1" applyBorder="1" applyAlignment="1">
      <alignment vertical="center"/>
    </xf>
    <xf numFmtId="0" fontId="12" fillId="3" borderId="23" xfId="2" applyNumberFormat="1" applyFont="1" applyFill="1" applyBorder="1" applyAlignment="1">
      <alignment horizontal="center" vertical="center"/>
    </xf>
    <xf numFmtId="1" fontId="12" fillId="2" borderId="0" xfId="2" applyNumberFormat="1" applyFont="1" applyFill="1" applyBorder="1" applyAlignment="1">
      <alignment vertical="center"/>
    </xf>
    <xf numFmtId="1" fontId="12" fillId="2" borderId="8" xfId="2" applyNumberFormat="1" applyFont="1" applyFill="1" applyBorder="1" applyAlignment="1">
      <alignment vertical="center"/>
    </xf>
    <xf numFmtId="1" fontId="12" fillId="2" borderId="9" xfId="2" applyNumberFormat="1" applyFont="1" applyFill="1" applyBorder="1" applyAlignment="1">
      <alignment vertical="center"/>
    </xf>
    <xf numFmtId="1" fontId="12" fillId="3" borderId="9" xfId="2" applyNumberFormat="1" applyFont="1" applyFill="1" applyBorder="1" applyAlignment="1">
      <alignment vertical="center"/>
    </xf>
    <xf numFmtId="43" fontId="13" fillId="7" borderId="23" xfId="1" applyFont="1" applyFill="1" applyBorder="1" applyAlignment="1">
      <alignment vertical="center"/>
    </xf>
    <xf numFmtId="165" fontId="0" fillId="2" borderId="25" xfId="0" applyNumberFormat="1" applyFill="1" applyBorder="1" applyAlignment="1">
      <alignment vertical="center"/>
    </xf>
    <xf numFmtId="165" fontId="12" fillId="2" borderId="22" xfId="1" applyNumberFormat="1" applyFont="1" applyFill="1" applyBorder="1" applyAlignment="1">
      <alignment vertical="center"/>
    </xf>
    <xf numFmtId="165" fontId="10" fillId="2" borderId="22" xfId="1" applyNumberFormat="1" applyFont="1" applyFill="1" applyBorder="1" applyAlignment="1">
      <alignment vertical="center"/>
    </xf>
    <xf numFmtId="0" fontId="10" fillId="2" borderId="22" xfId="1" applyNumberFormat="1" applyFont="1" applyFill="1" applyBorder="1" applyAlignment="1">
      <alignment horizontal="center" vertical="center"/>
    </xf>
    <xf numFmtId="165" fontId="12" fillId="2" borderId="23" xfId="1" applyNumberFormat="1" applyFont="1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165" fontId="12" fillId="2" borderId="24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165" fontId="14" fillId="2" borderId="0" xfId="1" applyNumberFormat="1" applyFont="1" applyFill="1" applyBorder="1" applyAlignment="1">
      <alignment vertical="center"/>
    </xf>
    <xf numFmtId="165" fontId="15" fillId="2" borderId="0" xfId="1" applyNumberFormat="1" applyFont="1" applyFill="1" applyBorder="1" applyAlignment="1">
      <alignment horizontal="center" vertical="center"/>
    </xf>
    <xf numFmtId="165" fontId="14" fillId="2" borderId="0" xfId="1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165" fontId="16" fillId="3" borderId="2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 wrapText="1"/>
    </xf>
    <xf numFmtId="14" fontId="3" fillId="2" borderId="22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43" fontId="17" fillId="2" borderId="22" xfId="1" applyFont="1" applyFill="1" applyBorder="1" applyAlignment="1">
      <alignment horizontal="center" vertical="center"/>
    </xf>
    <xf numFmtId="43" fontId="3" fillId="2" borderId="22" xfId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21" xfId="1" applyNumberFormat="1" applyFont="1" applyFill="1" applyBorder="1" applyAlignment="1">
      <alignment horizontal="center" vertical="center"/>
    </xf>
    <xf numFmtId="165" fontId="3" fillId="2" borderId="17" xfId="1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5" fontId="3" fillId="2" borderId="18" xfId="1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101"/>
  <sheetViews>
    <sheetView tabSelected="1" zoomScaleNormal="100" zoomScaleSheetLayoutView="70" workbookViewId="0">
      <pane ySplit="5" topLeftCell="A6" activePane="bottomLeft" state="frozen"/>
      <selection pane="bottomLeft" activeCell="C10" sqref="C10"/>
    </sheetView>
  </sheetViews>
  <sheetFormatPr defaultColWidth="9" defaultRowHeight="14.4" x14ac:dyDescent="0.3"/>
  <cols>
    <col min="1" max="1" width="14.6640625" style="1" customWidth="1"/>
    <col min="2" max="2" width="30" style="48" customWidth="1"/>
    <col min="3" max="3" width="14" style="48" bestFit="1" customWidth="1"/>
    <col min="4" max="4" width="11.6640625" style="49" bestFit="1" customWidth="1"/>
    <col min="5" max="5" width="15.44140625" style="48" bestFit="1" customWidth="1"/>
    <col min="6" max="6" width="18.109375" style="48" bestFit="1" customWidth="1"/>
    <col min="7" max="7" width="15.44140625" style="48" customWidth="1"/>
    <col min="8" max="8" width="14.6640625" style="3" customWidth="1"/>
    <col min="9" max="9" width="17.109375" style="3" customWidth="1"/>
    <col min="10" max="10" width="17.109375" style="48" customWidth="1"/>
    <col min="11" max="11" width="16.6640625" style="48" bestFit="1" customWidth="1"/>
    <col min="12" max="12" width="19.33203125" style="48" customWidth="1"/>
    <col min="13" max="13" width="18.109375" style="48" bestFit="1" customWidth="1"/>
    <col min="14" max="14" width="16.6640625" style="48" bestFit="1" customWidth="1"/>
    <col min="15" max="15" width="19.44140625" style="48" customWidth="1"/>
    <col min="16" max="16" width="20.44140625" style="48" customWidth="1"/>
    <col min="17" max="17" width="19.88671875" style="48" bestFit="1" customWidth="1"/>
    <col min="18" max="18" width="112.33203125" style="48" customWidth="1"/>
    <col min="19" max="19" width="19.33203125" style="48" customWidth="1"/>
    <col min="20" max="20" width="16.44140625" style="48" customWidth="1"/>
    <col min="21" max="16384" width="9" style="48"/>
  </cols>
  <sheetData>
    <row r="1" spans="1:49" ht="18" x14ac:dyDescent="0.3">
      <c r="A1" s="106" t="s">
        <v>161</v>
      </c>
      <c r="B1" s="98" t="s">
        <v>3</v>
      </c>
      <c r="C1" s="99"/>
      <c r="D1" s="100"/>
      <c r="E1" s="99"/>
      <c r="F1" s="99"/>
      <c r="G1" s="99"/>
      <c r="H1" s="101"/>
      <c r="I1" s="101"/>
      <c r="J1" s="99"/>
    </row>
    <row r="2" spans="1:49" ht="19.8" x14ac:dyDescent="0.3">
      <c r="A2" s="106" t="s">
        <v>162</v>
      </c>
      <c r="B2" t="s">
        <v>159</v>
      </c>
      <c r="C2" s="2"/>
      <c r="D2" s="44"/>
      <c r="E2" s="99"/>
      <c r="F2" s="99"/>
      <c r="G2" s="102"/>
      <c r="H2" s="103"/>
      <c r="I2" s="102" t="s">
        <v>2</v>
      </c>
      <c r="J2" s="104"/>
      <c r="K2" s="50"/>
      <c r="L2" s="50"/>
      <c r="M2" s="50"/>
      <c r="N2" s="50"/>
      <c r="O2" s="50"/>
      <c r="P2" s="50"/>
    </row>
    <row r="3" spans="1:49" ht="20.399999999999999" thickBot="1" x14ac:dyDescent="0.35">
      <c r="A3" s="106" t="s">
        <v>163</v>
      </c>
      <c r="B3" t="s">
        <v>160</v>
      </c>
      <c r="C3" s="2"/>
      <c r="D3" s="44"/>
      <c r="E3" s="99"/>
      <c r="F3" s="99"/>
      <c r="G3" s="102"/>
      <c r="H3" s="103"/>
      <c r="I3" s="102"/>
      <c r="J3" s="104"/>
      <c r="K3" s="50"/>
      <c r="L3" s="50"/>
      <c r="M3" s="50"/>
      <c r="N3" s="50"/>
      <c r="O3" s="50"/>
      <c r="P3" s="50"/>
    </row>
    <row r="4" spans="1:49" ht="16.8" thickBot="1" x14ac:dyDescent="0.35">
      <c r="A4" s="106" t="s">
        <v>164</v>
      </c>
      <c r="B4" t="s">
        <v>160</v>
      </c>
      <c r="C4" s="51"/>
      <c r="D4" s="52"/>
      <c r="E4" s="51"/>
      <c r="F4" s="50"/>
      <c r="G4" s="50"/>
      <c r="H4" s="53"/>
      <c r="I4" s="53"/>
      <c r="J4" s="50"/>
      <c r="K4" s="50"/>
      <c r="L4" s="50"/>
      <c r="M4" s="50"/>
      <c r="Q4" s="54"/>
      <c r="R4" s="54"/>
    </row>
    <row r="5" spans="1:49" ht="32.4" x14ac:dyDescent="0.3">
      <c r="A5" s="107" t="s">
        <v>165</v>
      </c>
      <c r="B5" s="108" t="s">
        <v>166</v>
      </c>
      <c r="C5" s="109" t="s">
        <v>167</v>
      </c>
      <c r="D5" s="110" t="s">
        <v>168</v>
      </c>
      <c r="E5" s="108" t="s">
        <v>169</v>
      </c>
      <c r="F5" s="108" t="s">
        <v>170</v>
      </c>
      <c r="G5" s="110" t="s">
        <v>171</v>
      </c>
      <c r="H5" s="111" t="s">
        <v>172</v>
      </c>
      <c r="I5" s="112" t="s">
        <v>0</v>
      </c>
      <c r="J5" s="108" t="s">
        <v>173</v>
      </c>
      <c r="K5" s="108" t="s">
        <v>174</v>
      </c>
      <c r="L5" s="108" t="s">
        <v>175</v>
      </c>
      <c r="M5" s="108" t="s">
        <v>176</v>
      </c>
      <c r="N5" s="55" t="s">
        <v>148</v>
      </c>
      <c r="O5" s="55" t="s">
        <v>177</v>
      </c>
      <c r="P5" s="55" t="s">
        <v>178</v>
      </c>
      <c r="Q5" s="108" t="s">
        <v>179</v>
      </c>
      <c r="R5" s="108" t="s">
        <v>1</v>
      </c>
      <c r="S5" s="43" t="s">
        <v>119</v>
      </c>
    </row>
    <row r="6" spans="1:49" ht="16.2" thickBot="1" x14ac:dyDescent="0.35">
      <c r="A6" s="45"/>
      <c r="B6" s="56"/>
      <c r="C6" s="56"/>
      <c r="D6" s="57"/>
      <c r="E6" s="56"/>
      <c r="F6" s="56"/>
      <c r="G6" s="56"/>
      <c r="H6" s="58">
        <v>0.18</v>
      </c>
      <c r="I6" s="56"/>
      <c r="J6" s="58">
        <v>0.01</v>
      </c>
      <c r="K6" s="58">
        <v>0.05</v>
      </c>
      <c r="L6" s="58">
        <v>0</v>
      </c>
      <c r="M6" s="58">
        <v>0.1</v>
      </c>
      <c r="N6" s="58"/>
      <c r="O6" s="58">
        <v>0.18</v>
      </c>
      <c r="P6" s="56"/>
      <c r="Q6" s="59"/>
      <c r="R6" s="60"/>
      <c r="S6" s="61"/>
    </row>
    <row r="7" spans="1:49" s="67" customFormat="1" ht="16.2" x14ac:dyDescent="0.3">
      <c r="A7" s="62"/>
      <c r="B7" s="63"/>
      <c r="C7" s="63"/>
      <c r="D7" s="64"/>
      <c r="E7" s="63"/>
      <c r="F7" s="63"/>
      <c r="G7" s="63"/>
      <c r="H7" s="65"/>
      <c r="I7" s="63"/>
      <c r="J7" s="65"/>
      <c r="K7" s="65"/>
      <c r="L7" s="65"/>
      <c r="M7" s="65"/>
      <c r="N7" s="65"/>
      <c r="O7" s="65"/>
      <c r="P7" s="63"/>
      <c r="Q7" s="63"/>
      <c r="R7" s="63"/>
      <c r="S7" s="66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spans="1:49" ht="46.8" x14ac:dyDescent="0.3">
      <c r="A8" s="45">
        <v>56974</v>
      </c>
      <c r="B8" s="68" t="s">
        <v>188</v>
      </c>
      <c r="C8" s="69">
        <v>45041</v>
      </c>
      <c r="D8" s="70">
        <v>2</v>
      </c>
      <c r="E8" s="71">
        <f>4905375*25%</f>
        <v>1226343.75</v>
      </c>
      <c r="F8" s="71">
        <v>266248</v>
      </c>
      <c r="G8" s="71">
        <f>ROUND(E8-F8,)</f>
        <v>960096</v>
      </c>
      <c r="H8" s="71">
        <f>ROUND(G8*$H$6,0)</f>
        <v>172817</v>
      </c>
      <c r="I8" s="71">
        <f>G8+H8</f>
        <v>1132913</v>
      </c>
      <c r="J8" s="71">
        <f>ROUND(G8*$J$6,)</f>
        <v>9601</v>
      </c>
      <c r="K8" s="71">
        <f>ROUND(G8*$K$6,)</f>
        <v>48005</v>
      </c>
      <c r="L8" s="71">
        <f>ROUND(G8*$L$6,)</f>
        <v>0</v>
      </c>
      <c r="M8" s="71">
        <f>ROUND(G8*$M$6,)</f>
        <v>96010</v>
      </c>
      <c r="N8" s="71"/>
      <c r="O8" s="72">
        <f>H8</f>
        <v>172817</v>
      </c>
      <c r="P8" s="71">
        <f>ROUND(I8-SUM(J8:O8),0)</f>
        <v>806480</v>
      </c>
      <c r="Q8" s="71">
        <v>806480</v>
      </c>
      <c r="R8" s="73" t="s">
        <v>4</v>
      </c>
      <c r="S8" s="73"/>
    </row>
    <row r="9" spans="1:49" ht="46.8" x14ac:dyDescent="0.3">
      <c r="A9" s="45">
        <v>56974</v>
      </c>
      <c r="B9" s="68" t="s">
        <v>188</v>
      </c>
      <c r="C9" s="69">
        <v>45097</v>
      </c>
      <c r="D9" s="70">
        <v>4</v>
      </c>
      <c r="E9" s="71">
        <f>4905375*15%</f>
        <v>735806.25</v>
      </c>
      <c r="F9" s="71">
        <v>438513</v>
      </c>
      <c r="G9" s="71">
        <f>ROUND(E9-F9,)</f>
        <v>297293</v>
      </c>
      <c r="H9" s="71">
        <f>ROUND(G9*$H$6,0)</f>
        <v>53513</v>
      </c>
      <c r="I9" s="71">
        <f>G9+H9</f>
        <v>350806</v>
      </c>
      <c r="J9" s="71">
        <f>ROUND(G9*$J$6,)</f>
        <v>2973</v>
      </c>
      <c r="K9" s="71">
        <f>ROUND(G9*$K$6,)</f>
        <v>14865</v>
      </c>
      <c r="L9" s="71">
        <f>ROUND(G9*$L$6,)</f>
        <v>0</v>
      </c>
      <c r="M9" s="71">
        <f>ROUND(G9*$M$6,)</f>
        <v>29729</v>
      </c>
      <c r="N9" s="71"/>
      <c r="O9" s="72">
        <f>H9</f>
        <v>53513</v>
      </c>
      <c r="P9" s="71">
        <f>ROUND(I9-SUM(J9:O9),0)</f>
        <v>249726</v>
      </c>
      <c r="Q9" s="71">
        <v>249726</v>
      </c>
      <c r="R9" s="73" t="s">
        <v>9</v>
      </c>
      <c r="S9" s="73"/>
    </row>
    <row r="10" spans="1:49" ht="46.8" x14ac:dyDescent="0.3">
      <c r="A10" s="45">
        <v>56974</v>
      </c>
      <c r="B10" s="68" t="s">
        <v>188</v>
      </c>
      <c r="C10" s="69">
        <v>45239</v>
      </c>
      <c r="D10" s="70">
        <v>12</v>
      </c>
      <c r="E10" s="71">
        <v>1637600</v>
      </c>
      <c r="F10" s="71">
        <v>605098</v>
      </c>
      <c r="G10" s="71">
        <f>ROUND(E10-F10,)</f>
        <v>1032502</v>
      </c>
      <c r="H10" s="71">
        <f>ROUND(G10*$H$6,0)</f>
        <v>185850</v>
      </c>
      <c r="I10" s="71">
        <f>G10+H10</f>
        <v>1218352</v>
      </c>
      <c r="J10" s="71">
        <f>ROUND(G10*$J$6,)</f>
        <v>10325</v>
      </c>
      <c r="K10" s="71">
        <f>ROUND(G10*$K$6,)</f>
        <v>51625</v>
      </c>
      <c r="L10" s="71">
        <f>ROUND(G10*$L$6,)</f>
        <v>0</v>
      </c>
      <c r="M10" s="71">
        <f>ROUND(G10*$M$6,)</f>
        <v>103250</v>
      </c>
      <c r="N10" s="71"/>
      <c r="O10" s="72">
        <f>H10</f>
        <v>185850</v>
      </c>
      <c r="P10" s="71">
        <f>ROUND(I10-SUM(J10:O10),0)</f>
        <v>867302</v>
      </c>
      <c r="Q10" s="71">
        <v>226330</v>
      </c>
      <c r="R10" s="73" t="s">
        <v>22</v>
      </c>
      <c r="S10" s="73"/>
    </row>
    <row r="11" spans="1:49" ht="15.6" x14ac:dyDescent="0.3">
      <c r="A11" s="45">
        <v>56974</v>
      </c>
      <c r="B11" s="68" t="s">
        <v>11</v>
      </c>
      <c r="C11" s="71"/>
      <c r="D11" s="70" t="s">
        <v>28</v>
      </c>
      <c r="E11" s="71">
        <f>O8+O9</f>
        <v>226330</v>
      </c>
      <c r="F11" s="71"/>
      <c r="G11" s="71">
        <f t="shared" ref="G11" si="0">ROUND(E11-F11,)</f>
        <v>226330</v>
      </c>
      <c r="H11" s="71">
        <v>0</v>
      </c>
      <c r="I11" s="71">
        <f t="shared" ref="I11" si="1">G11+H11</f>
        <v>226330</v>
      </c>
      <c r="J11" s="71">
        <v>0</v>
      </c>
      <c r="K11" s="71">
        <v>0</v>
      </c>
      <c r="L11" s="71">
        <f t="shared" ref="L11" si="2">ROUND(G11*$L$6,)</f>
        <v>0</v>
      </c>
      <c r="M11" s="71">
        <v>0</v>
      </c>
      <c r="N11" s="71"/>
      <c r="O11" s="71">
        <f t="shared" ref="O11" si="3">H11</f>
        <v>0</v>
      </c>
      <c r="P11" s="72">
        <f t="shared" ref="P11" si="4">ROUND(I11-SUM(J11:O11),0)</f>
        <v>226330</v>
      </c>
      <c r="Q11" s="71">
        <v>396000</v>
      </c>
      <c r="R11" s="73" t="s">
        <v>23</v>
      </c>
      <c r="S11" s="74"/>
    </row>
    <row r="12" spans="1:49" ht="15.6" x14ac:dyDescent="0.3">
      <c r="A12" s="45">
        <v>56974</v>
      </c>
      <c r="B12" s="68" t="s">
        <v>11</v>
      </c>
      <c r="C12" s="71"/>
      <c r="D12" s="70">
        <v>12</v>
      </c>
      <c r="E12" s="71">
        <f>O10</f>
        <v>185850</v>
      </c>
      <c r="F12" s="71"/>
      <c r="G12" s="71">
        <f t="shared" ref="G12" si="5">ROUND(E12-F12,)</f>
        <v>185850</v>
      </c>
      <c r="H12" s="71">
        <v>0</v>
      </c>
      <c r="I12" s="71">
        <f t="shared" ref="I12" si="6">G12+H12</f>
        <v>185850</v>
      </c>
      <c r="J12" s="71">
        <v>0</v>
      </c>
      <c r="K12" s="71">
        <v>0</v>
      </c>
      <c r="L12" s="71">
        <f t="shared" ref="L12" si="7">ROUND(G12*$L$6,)</f>
        <v>0</v>
      </c>
      <c r="M12" s="71">
        <v>0</v>
      </c>
      <c r="N12" s="71"/>
      <c r="O12" s="71">
        <f t="shared" ref="O12" si="8">H12</f>
        <v>0</v>
      </c>
      <c r="P12" s="72">
        <f t="shared" ref="P12" si="9">ROUND(I12-SUM(J12:O12),0)</f>
        <v>185850</v>
      </c>
      <c r="Q12" s="71">
        <v>471302</v>
      </c>
      <c r="R12" s="73" t="s">
        <v>27</v>
      </c>
      <c r="S12" s="73"/>
    </row>
    <row r="13" spans="1:49" ht="46.8" x14ac:dyDescent="0.3">
      <c r="A13" s="45">
        <v>56974</v>
      </c>
      <c r="B13" s="68" t="s">
        <v>188</v>
      </c>
      <c r="C13" s="69">
        <v>45350</v>
      </c>
      <c r="D13" s="70">
        <v>20</v>
      </c>
      <c r="E13" s="71">
        <v>514250</v>
      </c>
      <c r="F13" s="71">
        <v>328607</v>
      </c>
      <c r="G13" s="71">
        <f>ROUND(E13-F13,)</f>
        <v>185643</v>
      </c>
      <c r="H13" s="71">
        <f>ROUND(G13*$H$6,0)</f>
        <v>33416</v>
      </c>
      <c r="I13" s="71">
        <f>G13+H13</f>
        <v>219059</v>
      </c>
      <c r="J13" s="71">
        <f>ROUND(G13*$J$6,)</f>
        <v>1856</v>
      </c>
      <c r="K13" s="71">
        <f>ROUND(G13*$K$6,)</f>
        <v>9282</v>
      </c>
      <c r="L13" s="71">
        <f>ROUND(G13*$L$6,)</f>
        <v>0</v>
      </c>
      <c r="M13" s="71">
        <f>ROUND(G13*$M$6,)</f>
        <v>18564</v>
      </c>
      <c r="N13" s="71"/>
      <c r="O13" s="72">
        <f>H13</f>
        <v>33416</v>
      </c>
      <c r="P13" s="71">
        <f>ROUND(I13-SUM(J13:O13),0)</f>
        <v>155941</v>
      </c>
      <c r="Q13" s="71">
        <v>297000</v>
      </c>
      <c r="R13" s="73" t="s">
        <v>129</v>
      </c>
      <c r="S13" s="73"/>
    </row>
    <row r="14" spans="1:49" ht="15.6" x14ac:dyDescent="0.3">
      <c r="A14" s="45">
        <v>56974</v>
      </c>
      <c r="B14" s="68"/>
      <c r="C14" s="69"/>
      <c r="D14" s="70">
        <v>20</v>
      </c>
      <c r="E14" s="71">
        <f>O13</f>
        <v>33416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2">
        <f>E14</f>
        <v>33416</v>
      </c>
      <c r="Q14" s="71">
        <v>383759</v>
      </c>
      <c r="R14" s="73" t="s">
        <v>137</v>
      </c>
      <c r="S14" s="73"/>
    </row>
    <row r="15" spans="1:49" ht="15.6" x14ac:dyDescent="0.3">
      <c r="A15" s="45">
        <v>56974</v>
      </c>
      <c r="B15" s="68"/>
      <c r="C15" s="69">
        <v>45306</v>
      </c>
      <c r="D15" s="70">
        <v>16</v>
      </c>
      <c r="E15" s="71">
        <v>1028500</v>
      </c>
      <c r="F15" s="71">
        <v>571642</v>
      </c>
      <c r="G15" s="71">
        <f>ROUND(E15-F15,)</f>
        <v>456858</v>
      </c>
      <c r="H15" s="71">
        <f>ROUND(G15*$H$6,0)</f>
        <v>82234</v>
      </c>
      <c r="I15" s="71">
        <f>G15+H15</f>
        <v>539092</v>
      </c>
      <c r="J15" s="71">
        <f>ROUND(G15*$J$6,)</f>
        <v>4569</v>
      </c>
      <c r="K15" s="71">
        <f>ROUND(G15*$K$6,)</f>
        <v>22843</v>
      </c>
      <c r="L15" s="71">
        <f>ROUND(G15*$L$6,)</f>
        <v>0</v>
      </c>
      <c r="M15" s="71">
        <f>ROUND(G15*$M$6,)</f>
        <v>45686</v>
      </c>
      <c r="N15" s="71"/>
      <c r="O15" s="72">
        <f>H15</f>
        <v>82234</v>
      </c>
      <c r="P15" s="71">
        <f>ROUND(I15-SUM(J15:O15),0)</f>
        <v>383760</v>
      </c>
      <c r="Q15" s="71"/>
      <c r="R15" s="73"/>
      <c r="S15" s="73"/>
    </row>
    <row r="16" spans="1:49" ht="15.6" x14ac:dyDescent="0.3">
      <c r="A16" s="45">
        <v>56974</v>
      </c>
      <c r="B16" s="68" t="s">
        <v>11</v>
      </c>
      <c r="C16" s="69"/>
      <c r="D16" s="70">
        <v>16</v>
      </c>
      <c r="E16" s="71">
        <f>H15</f>
        <v>82234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2">
        <f>E16</f>
        <v>82234</v>
      </c>
      <c r="Q16" s="71"/>
      <c r="R16" s="73"/>
      <c r="S16" s="73"/>
    </row>
    <row r="17" spans="1:49" s="67" customFormat="1" ht="16.2" x14ac:dyDescent="0.3">
      <c r="A17" s="75"/>
      <c r="B17" s="76"/>
      <c r="C17" s="76"/>
      <c r="D17" s="77"/>
      <c r="E17" s="76"/>
      <c r="F17" s="76"/>
      <c r="G17" s="76"/>
      <c r="H17" s="78"/>
      <c r="I17" s="76"/>
      <c r="J17" s="78"/>
      <c r="K17" s="78"/>
      <c r="L17" s="78"/>
      <c r="M17" s="78"/>
      <c r="N17" s="78"/>
      <c r="O17" s="78"/>
      <c r="P17" s="76"/>
      <c r="Q17" s="76"/>
      <c r="R17" s="76"/>
      <c r="S17" s="74">
        <f>SUM(P8:P16,0)-SUM(Q8:Q16,0)</f>
        <v>160442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spans="1:49" ht="46.8" x14ac:dyDescent="0.3">
      <c r="A18" s="45">
        <v>56157</v>
      </c>
      <c r="B18" s="68" t="s">
        <v>5</v>
      </c>
      <c r="C18" s="69">
        <v>45026</v>
      </c>
      <c r="D18" s="70">
        <v>1</v>
      </c>
      <c r="E18" s="71">
        <f>6600000*25%</f>
        <v>1650000</v>
      </c>
      <c r="F18" s="71">
        <v>537896</v>
      </c>
      <c r="G18" s="71">
        <f>ROUND(E18-F18,)</f>
        <v>1112104</v>
      </c>
      <c r="H18" s="71">
        <f>ROUND(G18*$H$6,0)</f>
        <v>200179</v>
      </c>
      <c r="I18" s="71">
        <f>G18+H18</f>
        <v>1312283</v>
      </c>
      <c r="J18" s="71">
        <f>ROUND(G18*$J$6,)</f>
        <v>11121</v>
      </c>
      <c r="K18" s="71">
        <f>ROUND(G18*$K$6,)</f>
        <v>55605</v>
      </c>
      <c r="L18" s="71">
        <f>ROUND(G18*$L$6,)</f>
        <v>0</v>
      </c>
      <c r="M18" s="71">
        <f>ROUND(G18*$M$6,)</f>
        <v>111210</v>
      </c>
      <c r="N18" s="71"/>
      <c r="O18" s="72">
        <f>H18</f>
        <v>200179</v>
      </c>
      <c r="P18" s="71">
        <f t="shared" ref="P18:P23" si="10">ROUND(I18-SUM(J18:O18),0)</f>
        <v>934168</v>
      </c>
      <c r="Q18" s="71">
        <v>198000</v>
      </c>
      <c r="R18" s="73" t="s">
        <v>6</v>
      </c>
      <c r="S18" s="73"/>
    </row>
    <row r="19" spans="1:49" ht="46.8" x14ac:dyDescent="0.3">
      <c r="A19" s="45">
        <v>56157</v>
      </c>
      <c r="B19" s="68" t="s">
        <v>5</v>
      </c>
      <c r="C19" s="69">
        <v>45075</v>
      </c>
      <c r="D19" s="70">
        <v>3</v>
      </c>
      <c r="E19" s="71">
        <f>6600000*15%</f>
        <v>990000</v>
      </c>
      <c r="F19" s="71">
        <v>351369</v>
      </c>
      <c r="G19" s="71">
        <f>ROUND(E19-F19,)</f>
        <v>638631</v>
      </c>
      <c r="H19" s="71">
        <f>ROUND(G19*$H$6,0)</f>
        <v>114954</v>
      </c>
      <c r="I19" s="71">
        <f>G19+H19</f>
        <v>753585</v>
      </c>
      <c r="J19" s="71">
        <f>ROUND(G19*$J$6,)</f>
        <v>6386</v>
      </c>
      <c r="K19" s="71">
        <f>ROUND(G19*$K$6,)</f>
        <v>31932</v>
      </c>
      <c r="L19" s="71">
        <f>ROUND(G19*$L$6,)</f>
        <v>0</v>
      </c>
      <c r="M19" s="71">
        <f>ROUND(G19*$M$6,)</f>
        <v>63863</v>
      </c>
      <c r="N19" s="71"/>
      <c r="O19" s="72">
        <f>H19</f>
        <v>114954</v>
      </c>
      <c r="P19" s="71">
        <f t="shared" si="10"/>
        <v>536450</v>
      </c>
      <c r="Q19" s="71">
        <v>736168</v>
      </c>
      <c r="R19" s="73" t="s">
        <v>7</v>
      </c>
      <c r="S19" s="74"/>
    </row>
    <row r="20" spans="1:49" ht="46.8" x14ac:dyDescent="0.3">
      <c r="A20" s="45">
        <v>56157</v>
      </c>
      <c r="B20" s="68" t="s">
        <v>5</v>
      </c>
      <c r="C20" s="69">
        <v>45115</v>
      </c>
      <c r="D20" s="70">
        <v>5</v>
      </c>
      <c r="E20" s="71">
        <f>6600000*15%</f>
        <v>990000</v>
      </c>
      <c r="F20" s="71">
        <v>620106</v>
      </c>
      <c r="G20" s="71">
        <f>ROUND(E20-F20,)</f>
        <v>369894</v>
      </c>
      <c r="H20" s="71">
        <f>ROUND(G20*$H$6,0)</f>
        <v>66581</v>
      </c>
      <c r="I20" s="71">
        <f>G20+H20</f>
        <v>436475</v>
      </c>
      <c r="J20" s="71">
        <f>ROUND(G20*$J$6,)</f>
        <v>3699</v>
      </c>
      <c r="K20" s="71">
        <f>ROUND(G20*$K$6,)</f>
        <v>18495</v>
      </c>
      <c r="L20" s="71">
        <f>ROUND(G20*$L$6,)</f>
        <v>0</v>
      </c>
      <c r="M20" s="71">
        <f>ROUND(G20*$M$6,)</f>
        <v>36989</v>
      </c>
      <c r="N20" s="71"/>
      <c r="O20" s="72">
        <f>H20</f>
        <v>66581</v>
      </c>
      <c r="P20" s="71">
        <f t="shared" si="10"/>
        <v>310711</v>
      </c>
      <c r="Q20" s="71">
        <v>536450</v>
      </c>
      <c r="R20" s="73" t="s">
        <v>8</v>
      </c>
      <c r="S20" s="74"/>
    </row>
    <row r="21" spans="1:49" ht="46.8" x14ac:dyDescent="0.3">
      <c r="A21" s="45">
        <v>56157</v>
      </c>
      <c r="B21" s="68" t="s">
        <v>5</v>
      </c>
      <c r="C21" s="69">
        <v>45124</v>
      </c>
      <c r="D21" s="70">
        <v>6</v>
      </c>
      <c r="E21" s="71">
        <f>6600000*15%</f>
        <v>990000</v>
      </c>
      <c r="F21" s="71">
        <v>550302</v>
      </c>
      <c r="G21" s="71">
        <f>ROUND(E21-F21,)</f>
        <v>439698</v>
      </c>
      <c r="H21" s="71">
        <f>ROUND(G21*$H$6,0)</f>
        <v>79146</v>
      </c>
      <c r="I21" s="71">
        <f>G21+H21</f>
        <v>518844</v>
      </c>
      <c r="J21" s="71">
        <f>ROUND(G21*$J$6,)</f>
        <v>4397</v>
      </c>
      <c r="K21" s="71">
        <f>ROUND(G21*$K$6,)</f>
        <v>21985</v>
      </c>
      <c r="L21" s="71">
        <f>ROUND(G21*$L$6,)</f>
        <v>0</v>
      </c>
      <c r="M21" s="71">
        <f>ROUND(G21*$M$6,)</f>
        <v>43970</v>
      </c>
      <c r="N21" s="71"/>
      <c r="O21" s="72">
        <f>H21</f>
        <v>79146</v>
      </c>
      <c r="P21" s="71">
        <f t="shared" si="10"/>
        <v>369346</v>
      </c>
      <c r="Q21" s="71">
        <v>310711</v>
      </c>
      <c r="R21" s="73" t="s">
        <v>10</v>
      </c>
      <c r="S21" s="73"/>
    </row>
    <row r="22" spans="1:49" ht="15.6" x14ac:dyDescent="0.3">
      <c r="A22" s="45">
        <v>56157</v>
      </c>
      <c r="B22" s="68" t="s">
        <v>11</v>
      </c>
      <c r="C22" s="71"/>
      <c r="D22" s="70" t="s">
        <v>12</v>
      </c>
      <c r="E22" s="71">
        <v>315133</v>
      </c>
      <c r="F22" s="71"/>
      <c r="G22" s="71">
        <f t="shared" ref="G22:G26" si="11">ROUND(E22-F22,)</f>
        <v>315133</v>
      </c>
      <c r="H22" s="71">
        <v>0</v>
      </c>
      <c r="I22" s="71">
        <f t="shared" ref="I22:I26" si="12">G22+H22</f>
        <v>315133</v>
      </c>
      <c r="J22" s="71">
        <v>0</v>
      </c>
      <c r="K22" s="71">
        <v>0</v>
      </c>
      <c r="L22" s="71">
        <f t="shared" ref="L22:L26" si="13">ROUND(G22*$L$6,)</f>
        <v>0</v>
      </c>
      <c r="M22" s="71">
        <v>0</v>
      </c>
      <c r="N22" s="71"/>
      <c r="O22" s="71">
        <f t="shared" ref="O22:O26" si="14">H22</f>
        <v>0</v>
      </c>
      <c r="P22" s="72">
        <f t="shared" si="10"/>
        <v>315133</v>
      </c>
      <c r="Q22" s="71">
        <v>369346</v>
      </c>
      <c r="R22" s="73" t="s">
        <v>13</v>
      </c>
      <c r="S22" s="73"/>
    </row>
    <row r="23" spans="1:49" ht="46.8" x14ac:dyDescent="0.3">
      <c r="A23" s="45">
        <v>56157</v>
      </c>
      <c r="B23" s="68" t="s">
        <v>5</v>
      </c>
      <c r="C23" s="69">
        <v>45152</v>
      </c>
      <c r="D23" s="70">
        <v>7</v>
      </c>
      <c r="E23" s="71">
        <v>660000</v>
      </c>
      <c r="F23" s="71">
        <v>88383</v>
      </c>
      <c r="G23" s="71">
        <f t="shared" si="11"/>
        <v>571617</v>
      </c>
      <c r="H23" s="71">
        <f t="shared" ref="H23:H24" si="15">ROUND(G23*$H$6,0)</f>
        <v>102891</v>
      </c>
      <c r="I23" s="71">
        <f t="shared" si="12"/>
        <v>674508</v>
      </c>
      <c r="J23" s="71">
        <f t="shared" ref="J23:J24" si="16">ROUND(G23*$J$6,)</f>
        <v>5716</v>
      </c>
      <c r="K23" s="71">
        <f t="shared" ref="K23:K24" si="17">ROUND(G23*$K$6,)</f>
        <v>28581</v>
      </c>
      <c r="L23" s="71">
        <f t="shared" si="13"/>
        <v>0</v>
      </c>
      <c r="M23" s="71">
        <f t="shared" ref="M23:M24" si="18">ROUND(G23*$M$6,)</f>
        <v>57162</v>
      </c>
      <c r="N23" s="71"/>
      <c r="O23" s="72">
        <f t="shared" si="14"/>
        <v>102891</v>
      </c>
      <c r="P23" s="71">
        <f t="shared" si="10"/>
        <v>480158</v>
      </c>
      <c r="Q23" s="71">
        <v>315133</v>
      </c>
      <c r="R23" s="73" t="s">
        <v>14</v>
      </c>
      <c r="S23" s="74"/>
    </row>
    <row r="24" spans="1:49" ht="46.8" x14ac:dyDescent="0.3">
      <c r="A24" s="45">
        <v>56157</v>
      </c>
      <c r="B24" s="68" t="s">
        <v>5</v>
      </c>
      <c r="C24" s="69">
        <v>45166</v>
      </c>
      <c r="D24" s="70">
        <v>8</v>
      </c>
      <c r="E24" s="71">
        <v>660000</v>
      </c>
      <c r="F24" s="71">
        <v>40710</v>
      </c>
      <c r="G24" s="71">
        <f t="shared" si="11"/>
        <v>619290</v>
      </c>
      <c r="H24" s="71">
        <f t="shared" si="15"/>
        <v>111472</v>
      </c>
      <c r="I24" s="71">
        <f t="shared" si="12"/>
        <v>730762</v>
      </c>
      <c r="J24" s="71">
        <f t="shared" si="16"/>
        <v>6193</v>
      </c>
      <c r="K24" s="71">
        <f t="shared" si="17"/>
        <v>30965</v>
      </c>
      <c r="L24" s="71">
        <f t="shared" si="13"/>
        <v>0</v>
      </c>
      <c r="M24" s="71">
        <f t="shared" si="18"/>
        <v>61929</v>
      </c>
      <c r="N24" s="71"/>
      <c r="O24" s="72">
        <f t="shared" si="14"/>
        <v>111472</v>
      </c>
      <c r="P24" s="71">
        <f>ROUND(I24-SUM(J24:O24),0)</f>
        <v>520203</v>
      </c>
      <c r="Q24" s="71">
        <v>480157</v>
      </c>
      <c r="R24" s="71" t="s">
        <v>17</v>
      </c>
      <c r="S24" s="74"/>
    </row>
    <row r="25" spans="1:49" ht="15.6" x14ac:dyDescent="0.3">
      <c r="A25" s="45">
        <v>56157</v>
      </c>
      <c r="B25" s="68" t="s">
        <v>18</v>
      </c>
      <c r="C25" s="69">
        <v>45177</v>
      </c>
      <c r="D25" s="70" t="s">
        <v>120</v>
      </c>
      <c r="E25" s="71">
        <v>360090</v>
      </c>
      <c r="F25" s="71"/>
      <c r="G25" s="71">
        <f t="shared" si="11"/>
        <v>360090</v>
      </c>
      <c r="H25" s="71">
        <v>0</v>
      </c>
      <c r="I25" s="71">
        <f t="shared" si="12"/>
        <v>360090</v>
      </c>
      <c r="J25" s="71">
        <v>0</v>
      </c>
      <c r="K25" s="71">
        <v>0</v>
      </c>
      <c r="L25" s="71">
        <f t="shared" si="13"/>
        <v>0</v>
      </c>
      <c r="M25" s="71">
        <v>0</v>
      </c>
      <c r="N25" s="71"/>
      <c r="O25" s="71">
        <f t="shared" si="14"/>
        <v>0</v>
      </c>
      <c r="P25" s="72">
        <f>ROUND(I25-SUM(J25:O25),0)</f>
        <v>360090</v>
      </c>
      <c r="Q25" s="71">
        <v>520203</v>
      </c>
      <c r="R25" s="71" t="s">
        <v>19</v>
      </c>
      <c r="S25" s="73"/>
    </row>
    <row r="26" spans="1:49" ht="46.8" x14ac:dyDescent="0.3">
      <c r="A26" s="45">
        <v>56157</v>
      </c>
      <c r="B26" s="68" t="s">
        <v>5</v>
      </c>
      <c r="C26" s="69">
        <v>45219</v>
      </c>
      <c r="D26" s="70">
        <v>10</v>
      </c>
      <c r="E26" s="71">
        <f>6600000*10%</f>
        <v>660000</v>
      </c>
      <c r="F26" s="71">
        <v>60200</v>
      </c>
      <c r="G26" s="71">
        <f t="shared" si="11"/>
        <v>599800</v>
      </c>
      <c r="H26" s="71">
        <f t="shared" ref="H26" si="19">ROUND(G26*$H$6,0)</f>
        <v>107964</v>
      </c>
      <c r="I26" s="71">
        <f t="shared" si="12"/>
        <v>707764</v>
      </c>
      <c r="J26" s="71">
        <f t="shared" ref="J26" si="20">ROUND(G26*$J$6,)</f>
        <v>5998</v>
      </c>
      <c r="K26" s="71">
        <f t="shared" ref="K26" si="21">ROUND(G26*$K$6,)</f>
        <v>29990</v>
      </c>
      <c r="L26" s="71">
        <f t="shared" si="13"/>
        <v>0</v>
      </c>
      <c r="M26" s="71">
        <f t="shared" ref="M26" si="22">ROUND(G26*$M$6,)</f>
        <v>59980</v>
      </c>
      <c r="N26" s="71"/>
      <c r="O26" s="72">
        <f t="shared" si="14"/>
        <v>107964</v>
      </c>
      <c r="P26" s="71">
        <f>ROUND(I26-SUM(J26:O26),0)</f>
        <v>503832</v>
      </c>
      <c r="Q26" s="71">
        <v>198000</v>
      </c>
      <c r="R26" s="73" t="s">
        <v>21</v>
      </c>
      <c r="S26" s="74"/>
    </row>
    <row r="27" spans="1:49" ht="15.6" x14ac:dyDescent="0.3">
      <c r="A27" s="45">
        <v>56157</v>
      </c>
      <c r="B27" s="68" t="s">
        <v>18</v>
      </c>
      <c r="C27" s="69"/>
      <c r="D27" s="70">
        <v>10</v>
      </c>
      <c r="E27" s="71">
        <f>O26</f>
        <v>107964</v>
      </c>
      <c r="F27" s="71"/>
      <c r="G27" s="71">
        <f t="shared" ref="G27" si="23">ROUND(E27-F27,)</f>
        <v>107964</v>
      </c>
      <c r="H27" s="71">
        <v>0</v>
      </c>
      <c r="I27" s="71">
        <f t="shared" ref="I27" si="24">G27+H27</f>
        <v>107964</v>
      </c>
      <c r="J27" s="71">
        <v>0</v>
      </c>
      <c r="K27" s="71">
        <v>0</v>
      </c>
      <c r="L27" s="71">
        <f t="shared" ref="L27" si="25">ROUND(G27*$L$6,)</f>
        <v>0</v>
      </c>
      <c r="M27" s="71">
        <v>0</v>
      </c>
      <c r="N27" s="71"/>
      <c r="O27" s="71">
        <f t="shared" ref="O27" si="26">H27</f>
        <v>0</v>
      </c>
      <c r="P27" s="72">
        <f>ROUND(I27-SUM(J27:O27),0)</f>
        <v>107964</v>
      </c>
      <c r="Q27" s="71">
        <v>360090</v>
      </c>
      <c r="R27" s="71" t="s">
        <v>20</v>
      </c>
      <c r="S27" s="73"/>
    </row>
    <row r="28" spans="1:49" ht="15.6" x14ac:dyDescent="0.3">
      <c r="A28" s="45">
        <v>56157</v>
      </c>
      <c r="B28" s="70"/>
      <c r="C28" s="70"/>
      <c r="D28" s="70"/>
      <c r="E28" s="79"/>
      <c r="F28" s="79"/>
      <c r="G28" s="79"/>
      <c r="H28" s="71"/>
      <c r="I28" s="71"/>
      <c r="J28" s="71"/>
      <c r="K28" s="71"/>
      <c r="L28" s="71"/>
      <c r="M28" s="71"/>
      <c r="N28" s="71"/>
      <c r="O28" s="71"/>
      <c r="P28" s="71"/>
      <c r="Q28" s="71">
        <v>305832</v>
      </c>
      <c r="R28" s="71" t="s">
        <v>30</v>
      </c>
      <c r="S28" s="73"/>
    </row>
    <row r="29" spans="1:49" ht="15.6" x14ac:dyDescent="0.3">
      <c r="A29" s="45">
        <v>56157</v>
      </c>
      <c r="B29" s="70"/>
      <c r="C29" s="70"/>
      <c r="D29" s="70"/>
      <c r="E29" s="79"/>
      <c r="F29" s="79"/>
      <c r="G29" s="79"/>
      <c r="H29" s="71"/>
      <c r="I29" s="71"/>
      <c r="J29" s="71"/>
      <c r="K29" s="71"/>
      <c r="L29" s="71"/>
      <c r="M29" s="71"/>
      <c r="N29" s="71"/>
      <c r="O29" s="71"/>
      <c r="P29" s="71"/>
      <c r="Q29" s="71">
        <v>107964</v>
      </c>
      <c r="R29" s="71" t="s">
        <v>29</v>
      </c>
      <c r="S29" s="74"/>
    </row>
    <row r="30" spans="1:49" ht="15.6" x14ac:dyDescent="0.3">
      <c r="A30" s="45">
        <v>56157</v>
      </c>
      <c r="B30" s="70"/>
      <c r="C30" s="70"/>
      <c r="D30" s="70"/>
      <c r="E30" s="79"/>
      <c r="F30" s="79"/>
      <c r="G30" s="79"/>
      <c r="H30" s="71"/>
      <c r="I30" s="71"/>
      <c r="J30" s="71"/>
      <c r="K30" s="71"/>
      <c r="L30" s="71"/>
      <c r="M30" s="71"/>
      <c r="N30" s="71"/>
      <c r="O30" s="71"/>
      <c r="P30" s="71"/>
      <c r="Q30" s="71">
        <v>297000</v>
      </c>
      <c r="R30" s="71" t="s">
        <v>139</v>
      </c>
      <c r="S30" s="74"/>
    </row>
    <row r="31" spans="1:49" s="67" customFormat="1" ht="16.2" x14ac:dyDescent="0.3">
      <c r="A31" s="75"/>
      <c r="B31" s="76"/>
      <c r="C31" s="76"/>
      <c r="D31" s="77"/>
      <c r="E31" s="76"/>
      <c r="F31" s="76"/>
      <c r="G31" s="76"/>
      <c r="H31" s="78"/>
      <c r="I31" s="76"/>
      <c r="J31" s="78"/>
      <c r="K31" s="78"/>
      <c r="L31" s="78"/>
      <c r="M31" s="78"/>
      <c r="N31" s="78"/>
      <c r="O31" s="78"/>
      <c r="P31" s="76"/>
      <c r="Q31" s="76"/>
      <c r="R31" s="76"/>
      <c r="S31" s="74">
        <f>SUM(P18:P30,0)-SUM(Q18:Q30,0)</f>
        <v>-296999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 ht="31.2" x14ac:dyDescent="0.3">
      <c r="A32" s="45">
        <v>59020</v>
      </c>
      <c r="B32" s="68" t="s">
        <v>16</v>
      </c>
      <c r="C32" s="80">
        <v>45201</v>
      </c>
      <c r="D32" s="81">
        <v>9</v>
      </c>
      <c r="E32" s="71">
        <v>1155059</v>
      </c>
      <c r="F32" s="82">
        <v>12300</v>
      </c>
      <c r="G32" s="71">
        <v>1142759</v>
      </c>
      <c r="H32" s="71">
        <f>G32*18%</f>
        <v>205696.62</v>
      </c>
      <c r="I32" s="71">
        <f>G32+H32</f>
        <v>1348455.62</v>
      </c>
      <c r="J32" s="71">
        <f>G32*1%</f>
        <v>11427.59</v>
      </c>
      <c r="K32" s="71">
        <f>G32*10%</f>
        <v>114275.90000000001</v>
      </c>
      <c r="L32" s="71"/>
      <c r="M32" s="71">
        <f>G32*10%</f>
        <v>114275.90000000001</v>
      </c>
      <c r="N32" s="71">
        <v>208464</v>
      </c>
      <c r="O32" s="72">
        <f>G32*18%</f>
        <v>205696.62</v>
      </c>
      <c r="P32" s="82">
        <f>I32-J32-K32-M32-O32-N32</f>
        <v>694315.61000000022</v>
      </c>
      <c r="Q32" s="71">
        <v>198000</v>
      </c>
      <c r="R32" s="71" t="s">
        <v>15</v>
      </c>
      <c r="S32" s="74"/>
    </row>
    <row r="33" spans="1:49" ht="31.2" x14ac:dyDescent="0.3">
      <c r="A33" s="45">
        <v>59020</v>
      </c>
      <c r="B33" s="68" t="s">
        <v>16</v>
      </c>
      <c r="C33" s="71"/>
      <c r="D33" s="81">
        <v>15</v>
      </c>
      <c r="E33" s="71">
        <v>735386</v>
      </c>
      <c r="F33" s="82">
        <v>150000</v>
      </c>
      <c r="G33" s="71">
        <f>E33-F33</f>
        <v>585386</v>
      </c>
      <c r="H33" s="71">
        <f>G33*18%</f>
        <v>105369.48</v>
      </c>
      <c r="I33" s="71">
        <f>G33+H33</f>
        <v>690755.48</v>
      </c>
      <c r="J33" s="71">
        <f>G33*1%</f>
        <v>5853.86</v>
      </c>
      <c r="K33" s="71">
        <f>G33*5%</f>
        <v>29269.300000000003</v>
      </c>
      <c r="L33" s="71">
        <f>G33*10%</f>
        <v>58538.600000000006</v>
      </c>
      <c r="M33" s="71">
        <f>G33*10%</f>
        <v>58538.600000000006</v>
      </c>
      <c r="N33" s="71">
        <f>125020</f>
        <v>125020</v>
      </c>
      <c r="O33" s="72">
        <f>G33*18%</f>
        <v>105369.48</v>
      </c>
      <c r="P33" s="82">
        <f>I33-J33-K33-M33-O33-N33-L33</f>
        <v>308165.64</v>
      </c>
      <c r="Q33" s="71">
        <v>496315</v>
      </c>
      <c r="R33" s="71" t="s">
        <v>24</v>
      </c>
      <c r="S33" s="73"/>
    </row>
    <row r="34" spans="1:49" ht="15.6" x14ac:dyDescent="0.3">
      <c r="A34" s="45">
        <v>59020</v>
      </c>
      <c r="B34" s="68" t="s">
        <v>18</v>
      </c>
      <c r="C34" s="69"/>
      <c r="D34" s="70">
        <v>9</v>
      </c>
      <c r="E34" s="71">
        <f>O32</f>
        <v>205696.62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2">
        <f>E34</f>
        <v>205696.62</v>
      </c>
      <c r="Q34" s="71">
        <v>198000</v>
      </c>
      <c r="R34" s="71" t="s">
        <v>25</v>
      </c>
      <c r="S34" s="73"/>
    </row>
    <row r="35" spans="1:49" ht="15.6" x14ac:dyDescent="0.3">
      <c r="A35" s="45">
        <v>59020</v>
      </c>
      <c r="B35" s="68" t="s">
        <v>18</v>
      </c>
      <c r="C35" s="69"/>
      <c r="D35" s="70">
        <v>15</v>
      </c>
      <c r="E35" s="71">
        <f>O33</f>
        <v>105369.48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2">
        <f>E35</f>
        <v>105369.48</v>
      </c>
      <c r="Q35" s="71">
        <v>205697</v>
      </c>
      <c r="R35" s="71" t="s">
        <v>26</v>
      </c>
      <c r="S35" s="73"/>
    </row>
    <row r="36" spans="1:49" ht="31.2" x14ac:dyDescent="0.3">
      <c r="A36" s="45">
        <v>59020</v>
      </c>
      <c r="B36" s="68" t="s">
        <v>16</v>
      </c>
      <c r="C36" s="80">
        <v>45329</v>
      </c>
      <c r="D36" s="81">
        <v>17</v>
      </c>
      <c r="E36" s="71">
        <v>2088218</v>
      </c>
      <c r="F36" s="82">
        <v>140000</v>
      </c>
      <c r="G36" s="71">
        <f>E36-F36</f>
        <v>1948218</v>
      </c>
      <c r="H36" s="71">
        <f>G36*18%</f>
        <v>350679.24</v>
      </c>
      <c r="I36" s="71">
        <f>G36+H36</f>
        <v>2298897.2400000002</v>
      </c>
      <c r="J36" s="71">
        <f>G36*1%</f>
        <v>19482.18</v>
      </c>
      <c r="K36" s="71">
        <f>G36*5%</f>
        <v>97410.900000000009</v>
      </c>
      <c r="L36" s="71">
        <f>G36*10%</f>
        <v>194821.80000000002</v>
      </c>
      <c r="M36" s="71">
        <f>G36*10%</f>
        <v>194821.80000000002</v>
      </c>
      <c r="N36" s="71">
        <v>96285</v>
      </c>
      <c r="O36" s="72">
        <f>G36*18%</f>
        <v>350679.24</v>
      </c>
      <c r="P36" s="82">
        <f>I36-J36-K36-M36-O36-N36-L36</f>
        <v>1345396.32</v>
      </c>
      <c r="Q36" s="71">
        <v>110165</v>
      </c>
      <c r="R36" s="71" t="s">
        <v>121</v>
      </c>
      <c r="S36" s="73"/>
    </row>
    <row r="37" spans="1:49" ht="31.2" x14ac:dyDescent="0.3">
      <c r="A37" s="45">
        <v>59020</v>
      </c>
      <c r="B37" s="68" t="s">
        <v>16</v>
      </c>
      <c r="C37" s="80">
        <v>45372</v>
      </c>
      <c r="D37" s="81">
        <v>22</v>
      </c>
      <c r="E37" s="71">
        <v>689524</v>
      </c>
      <c r="F37" s="82">
        <v>104034</v>
      </c>
      <c r="G37" s="71">
        <f>E37-F37</f>
        <v>585490</v>
      </c>
      <c r="H37" s="71">
        <f>G37*18%</f>
        <v>105388.2</v>
      </c>
      <c r="I37" s="71">
        <f>G37+H37</f>
        <v>690878.2</v>
      </c>
      <c r="J37" s="71">
        <f>G37*1%</f>
        <v>5854.9000000000005</v>
      </c>
      <c r="K37" s="71">
        <f>G37*5%</f>
        <v>29274.5</v>
      </c>
      <c r="L37" s="71">
        <f>G37*10%</f>
        <v>58549</v>
      </c>
      <c r="M37" s="71">
        <f>G37*10%</f>
        <v>58549</v>
      </c>
      <c r="N37" s="71">
        <v>0</v>
      </c>
      <c r="O37" s="72">
        <f>G37*18%</f>
        <v>105388.2</v>
      </c>
      <c r="P37" s="82">
        <f>I37-J37-K37-M37-O37-N37-L37</f>
        <v>433262.59999999992</v>
      </c>
      <c r="Q37" s="71">
        <v>105369</v>
      </c>
      <c r="R37" s="71" t="s">
        <v>122</v>
      </c>
      <c r="S37" s="73"/>
    </row>
    <row r="38" spans="1:49" ht="15.6" x14ac:dyDescent="0.3">
      <c r="A38" s="45">
        <v>59020</v>
      </c>
      <c r="B38" s="68" t="s">
        <v>18</v>
      </c>
      <c r="C38" s="69"/>
      <c r="D38" s="70">
        <v>17</v>
      </c>
      <c r="E38" s="71">
        <f>O36</f>
        <v>350679.24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>
        <f>E38</f>
        <v>350679.24</v>
      </c>
      <c r="Q38" s="71">
        <v>1345396</v>
      </c>
      <c r="R38" s="71" t="s">
        <v>130</v>
      </c>
      <c r="S38" s="73"/>
    </row>
    <row r="39" spans="1:49" ht="15.6" x14ac:dyDescent="0.3">
      <c r="A39" s="45">
        <v>59020</v>
      </c>
      <c r="B39" s="68" t="s">
        <v>11</v>
      </c>
      <c r="C39" s="69"/>
      <c r="D39" s="70">
        <v>22</v>
      </c>
      <c r="E39" s="71">
        <f>H37</f>
        <v>105388.2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2">
        <f>E39</f>
        <v>105388.2</v>
      </c>
      <c r="Q39" s="71">
        <v>350679</v>
      </c>
      <c r="R39" s="71" t="s">
        <v>135</v>
      </c>
      <c r="S39" s="73"/>
    </row>
    <row r="40" spans="1:49" ht="15.6" x14ac:dyDescent="0.3">
      <c r="A40" s="45">
        <v>59020</v>
      </c>
      <c r="B40" s="68"/>
      <c r="C40" s="69"/>
      <c r="D40" s="7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>
        <v>433263</v>
      </c>
      <c r="R40" s="71" t="s">
        <v>136</v>
      </c>
      <c r="S40" s="73"/>
    </row>
    <row r="41" spans="1:49" ht="15.6" x14ac:dyDescent="0.3">
      <c r="A41" s="45">
        <v>59020</v>
      </c>
      <c r="B41" s="68"/>
      <c r="C41" s="69"/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>
        <v>247500</v>
      </c>
      <c r="R41" s="71" t="s">
        <v>141</v>
      </c>
      <c r="S41" s="73"/>
    </row>
    <row r="42" spans="1:49" ht="15.6" x14ac:dyDescent="0.3">
      <c r="A42" s="45">
        <v>59020</v>
      </c>
      <c r="B42" s="68"/>
      <c r="C42" s="71"/>
      <c r="D42" s="81"/>
      <c r="E42" s="71"/>
      <c r="F42" s="82"/>
      <c r="G42" s="71"/>
      <c r="H42" s="71"/>
      <c r="I42" s="71"/>
      <c r="J42" s="71"/>
      <c r="K42" s="71"/>
      <c r="L42" s="71"/>
      <c r="M42" s="71"/>
      <c r="N42" s="71"/>
      <c r="O42" s="71"/>
      <c r="P42" s="82"/>
      <c r="Q42" s="71"/>
      <c r="R42" s="71"/>
      <c r="S42" s="73"/>
    </row>
    <row r="43" spans="1:49" s="87" customFormat="1" ht="16.2" x14ac:dyDescent="0.3">
      <c r="A43" s="75"/>
      <c r="B43" s="75"/>
      <c r="C43" s="75"/>
      <c r="D43" s="83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4">
        <f>SUM(P32:P42,0)-SUM(Q32:Q42,0)</f>
        <v>-142110.29000000004</v>
      </c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5"/>
      <c r="AW43" s="86"/>
    </row>
    <row r="44" spans="1:49" ht="62.4" x14ac:dyDescent="0.3">
      <c r="A44" s="45">
        <v>59915</v>
      </c>
      <c r="B44" s="68" t="s">
        <v>180</v>
      </c>
      <c r="C44" s="80">
        <v>45219</v>
      </c>
      <c r="D44" s="81">
        <v>11</v>
      </c>
      <c r="E44" s="71">
        <v>180000</v>
      </c>
      <c r="F44" s="82">
        <v>0</v>
      </c>
      <c r="G44" s="71">
        <f>E44-F44</f>
        <v>180000</v>
      </c>
      <c r="H44" s="71">
        <f>G44*18%</f>
        <v>32400</v>
      </c>
      <c r="I44" s="71">
        <f>G44+H44</f>
        <v>212400</v>
      </c>
      <c r="J44" s="71">
        <f>G44*1%</f>
        <v>1800</v>
      </c>
      <c r="K44" s="71">
        <f>G44*5%</f>
        <v>9000</v>
      </c>
      <c r="L44" s="71"/>
      <c r="M44" s="71">
        <v>0</v>
      </c>
      <c r="N44" s="71">
        <v>0</v>
      </c>
      <c r="O44" s="72">
        <f>G44*18%</f>
        <v>32400</v>
      </c>
      <c r="P44" s="82">
        <f>I44-J44-K44-M44-O44-N44</f>
        <v>169200</v>
      </c>
      <c r="Q44" s="71">
        <v>169200</v>
      </c>
      <c r="R44" s="71" t="s">
        <v>32</v>
      </c>
      <c r="S44" s="73"/>
    </row>
    <row r="45" spans="1:49" ht="15.6" x14ac:dyDescent="0.3">
      <c r="A45" s="45">
        <v>59915</v>
      </c>
      <c r="B45" s="68" t="s">
        <v>18</v>
      </c>
      <c r="C45" s="69"/>
      <c r="D45" s="70">
        <v>11</v>
      </c>
      <c r="E45" s="71">
        <f>O44</f>
        <v>32400</v>
      </c>
      <c r="F45" s="71"/>
      <c r="G45" s="71">
        <f t="shared" ref="G45" si="27">ROUND(E45-F45,)</f>
        <v>32400</v>
      </c>
      <c r="H45" s="71">
        <v>0</v>
      </c>
      <c r="I45" s="71">
        <f t="shared" ref="I45" si="28">G45+H45</f>
        <v>32400</v>
      </c>
      <c r="J45" s="71">
        <v>0</v>
      </c>
      <c r="K45" s="71">
        <v>0</v>
      </c>
      <c r="L45" s="71">
        <f t="shared" ref="L45" si="29">ROUND(G45*$L$6,)</f>
        <v>0</v>
      </c>
      <c r="M45" s="71">
        <v>0</v>
      </c>
      <c r="N45" s="71"/>
      <c r="O45" s="71"/>
      <c r="P45" s="72">
        <f>ROUND(I45-SUM(J45:O45),0)</f>
        <v>32400</v>
      </c>
      <c r="Q45" s="71">
        <v>32400</v>
      </c>
      <c r="R45" s="71" t="s">
        <v>31</v>
      </c>
      <c r="S45" s="73"/>
    </row>
    <row r="46" spans="1:49" ht="62.4" x14ac:dyDescent="0.3">
      <c r="A46" s="45">
        <v>59915</v>
      </c>
      <c r="B46" s="68" t="s">
        <v>180</v>
      </c>
      <c r="C46" s="80">
        <v>45278</v>
      </c>
      <c r="D46" s="81">
        <v>14</v>
      </c>
      <c r="E46" s="71">
        <v>180000</v>
      </c>
      <c r="F46" s="82">
        <v>0</v>
      </c>
      <c r="G46" s="71">
        <f>E46-F46</f>
        <v>180000</v>
      </c>
      <c r="H46" s="71">
        <f>G46*18%</f>
        <v>32400</v>
      </c>
      <c r="I46" s="71">
        <f>G46+H46</f>
        <v>212400</v>
      </c>
      <c r="J46" s="71">
        <f>G46*1%</f>
        <v>1800</v>
      </c>
      <c r="K46" s="71">
        <f>G46*5%</f>
        <v>9000</v>
      </c>
      <c r="L46" s="71"/>
      <c r="M46" s="71">
        <v>0</v>
      </c>
      <c r="N46" s="72">
        <v>85358</v>
      </c>
      <c r="O46" s="72">
        <f>G46*18%</f>
        <v>32400</v>
      </c>
      <c r="P46" s="82">
        <f>I46-J46-K46-M46-O46-N46</f>
        <v>83842</v>
      </c>
      <c r="Q46" s="71">
        <v>83842</v>
      </c>
      <c r="R46" s="71" t="s">
        <v>125</v>
      </c>
      <c r="S46" s="73"/>
    </row>
    <row r="47" spans="1:49" ht="15.6" x14ac:dyDescent="0.3">
      <c r="A47" s="45">
        <v>59915</v>
      </c>
      <c r="B47" s="68" t="s">
        <v>18</v>
      </c>
      <c r="C47" s="69"/>
      <c r="D47" s="70">
        <v>14</v>
      </c>
      <c r="E47" s="71">
        <f>O46</f>
        <v>32400</v>
      </c>
      <c r="F47" s="71"/>
      <c r="G47" s="71">
        <f t="shared" ref="G47" si="30">ROUND(E47-F47,)</f>
        <v>32400</v>
      </c>
      <c r="H47" s="71">
        <v>0</v>
      </c>
      <c r="I47" s="71">
        <f t="shared" ref="I47" si="31">G47+H47</f>
        <v>32400</v>
      </c>
      <c r="J47" s="71">
        <v>0</v>
      </c>
      <c r="K47" s="71">
        <v>0</v>
      </c>
      <c r="L47" s="71">
        <f t="shared" ref="L47" si="32">ROUND(G47*$L$6,)</f>
        <v>0</v>
      </c>
      <c r="M47" s="71">
        <v>0</v>
      </c>
      <c r="N47" s="71"/>
      <c r="O47" s="71"/>
      <c r="P47" s="72">
        <f>ROUND(I47-SUM(J47:O47),0)</f>
        <v>32400</v>
      </c>
      <c r="Q47" s="71">
        <v>85358</v>
      </c>
      <c r="R47" s="71" t="s">
        <v>124</v>
      </c>
      <c r="S47" s="73"/>
    </row>
    <row r="48" spans="1:49" ht="15.6" x14ac:dyDescent="0.3">
      <c r="A48" s="45">
        <v>59915</v>
      </c>
      <c r="B48" s="68" t="s">
        <v>126</v>
      </c>
      <c r="C48" s="80"/>
      <c r="D48" s="81"/>
      <c r="E48" s="71">
        <v>85358</v>
      </c>
      <c r="F48" s="82"/>
      <c r="G48" s="71"/>
      <c r="H48" s="71"/>
      <c r="I48" s="71"/>
      <c r="J48" s="71"/>
      <c r="K48" s="71"/>
      <c r="L48" s="71"/>
      <c r="M48" s="71"/>
      <c r="N48" s="71"/>
      <c r="O48" s="71"/>
      <c r="P48" s="72">
        <f>E48</f>
        <v>85358</v>
      </c>
      <c r="Q48" s="71">
        <v>32400</v>
      </c>
      <c r="R48" s="71" t="s">
        <v>123</v>
      </c>
      <c r="S48" s="73"/>
    </row>
    <row r="49" spans="1:49" ht="15.6" x14ac:dyDescent="0.3">
      <c r="A49" s="45">
        <v>59915</v>
      </c>
      <c r="B49" s="68"/>
      <c r="C49" s="71"/>
      <c r="D49" s="81"/>
      <c r="E49" s="71"/>
      <c r="F49" s="82"/>
      <c r="G49" s="71"/>
      <c r="H49" s="71"/>
      <c r="I49" s="71"/>
      <c r="J49" s="71"/>
      <c r="K49" s="71"/>
      <c r="L49" s="71"/>
      <c r="M49" s="71"/>
      <c r="N49" s="71"/>
      <c r="O49" s="71"/>
      <c r="P49" s="82"/>
      <c r="Q49" s="71"/>
      <c r="R49" s="71"/>
      <c r="S49" s="74">
        <f>SUM(P44:P49,0)-SUM(Q44:Q49,0)</f>
        <v>0</v>
      </c>
    </row>
    <row r="50" spans="1:49" s="67" customFormat="1" ht="19.5" customHeight="1" x14ac:dyDescent="0.3">
      <c r="A50" s="75"/>
      <c r="B50" s="76"/>
      <c r="C50" s="76"/>
      <c r="D50" s="77"/>
      <c r="E50" s="76"/>
      <c r="F50" s="76"/>
      <c r="G50" s="76"/>
      <c r="H50" s="78"/>
      <c r="I50" s="76"/>
      <c r="J50" s="78"/>
      <c r="K50" s="78"/>
      <c r="L50" s="78"/>
      <c r="M50" s="78"/>
      <c r="N50" s="78"/>
      <c r="O50" s="78"/>
      <c r="P50" s="76"/>
      <c r="Q50" s="76"/>
      <c r="R50" s="76"/>
      <c r="T50" s="105" t="s">
        <v>134</v>
      </c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</row>
    <row r="51" spans="1:49" ht="31.2" x14ac:dyDescent="0.3">
      <c r="A51" s="45">
        <v>61375</v>
      </c>
      <c r="B51" s="68" t="s">
        <v>184</v>
      </c>
      <c r="C51" s="80">
        <v>45346</v>
      </c>
      <c r="D51" s="81">
        <v>19</v>
      </c>
      <c r="E51" s="71">
        <v>1134000</v>
      </c>
      <c r="F51" s="82">
        <v>91000</v>
      </c>
      <c r="G51" s="71">
        <f>E51-F51</f>
        <v>1043000</v>
      </c>
      <c r="H51" s="71">
        <f>G51*18%</f>
        <v>187740</v>
      </c>
      <c r="I51" s="71">
        <f>G51+H51</f>
        <v>1230740</v>
      </c>
      <c r="J51" s="71">
        <f>G51*1%</f>
        <v>10430</v>
      </c>
      <c r="K51" s="71">
        <f>G51*5%</f>
        <v>52150</v>
      </c>
      <c r="L51" s="71"/>
      <c r="M51" s="71">
        <v>0</v>
      </c>
      <c r="N51" s="71">
        <v>0</v>
      </c>
      <c r="O51" s="72">
        <f>G51*18%</f>
        <v>187740</v>
      </c>
      <c r="P51" s="82">
        <f>I51-J51-K51-M51-O51-N51</f>
        <v>980420</v>
      </c>
      <c r="Q51" s="71">
        <v>297000</v>
      </c>
      <c r="R51" s="71" t="s">
        <v>33</v>
      </c>
      <c r="S51" s="73"/>
    </row>
    <row r="52" spans="1:49" ht="31.2" x14ac:dyDescent="0.3">
      <c r="A52" s="45">
        <v>61375</v>
      </c>
      <c r="B52" s="68" t="s">
        <v>184</v>
      </c>
      <c r="C52" s="80">
        <v>45364</v>
      </c>
      <c r="D52" s="81">
        <v>21</v>
      </c>
      <c r="E52" s="71">
        <v>567000</v>
      </c>
      <c r="F52" s="82">
        <v>21000</v>
      </c>
      <c r="G52" s="71">
        <f>E52-F52</f>
        <v>546000</v>
      </c>
      <c r="H52" s="71">
        <f>G52*18%</f>
        <v>98280</v>
      </c>
      <c r="I52" s="71">
        <f>G52+H52</f>
        <v>644280</v>
      </c>
      <c r="J52" s="71">
        <f>G52*1%</f>
        <v>5460</v>
      </c>
      <c r="K52" s="71">
        <f>G52*5%</f>
        <v>27300</v>
      </c>
      <c r="L52" s="71"/>
      <c r="M52" s="71">
        <v>0</v>
      </c>
      <c r="N52" s="71">
        <v>0</v>
      </c>
      <c r="O52" s="72">
        <f>G52*18%</f>
        <v>98280</v>
      </c>
      <c r="P52" s="82">
        <f>I52-J52-K52-M52-O52-N52</f>
        <v>513240</v>
      </c>
      <c r="Q52" s="71">
        <v>386420</v>
      </c>
      <c r="R52" s="71" t="s">
        <v>133</v>
      </c>
      <c r="S52" s="73"/>
    </row>
    <row r="53" spans="1:49" ht="15.6" x14ac:dyDescent="0.3">
      <c r="A53" s="45">
        <v>61375</v>
      </c>
      <c r="B53" s="68" t="s">
        <v>128</v>
      </c>
      <c r="C53" s="80"/>
      <c r="D53" s="81">
        <v>19</v>
      </c>
      <c r="E53" s="71">
        <f>O51</f>
        <v>187740</v>
      </c>
      <c r="F53" s="82"/>
      <c r="G53" s="71"/>
      <c r="H53" s="71"/>
      <c r="I53" s="71"/>
      <c r="J53" s="71"/>
      <c r="K53" s="71"/>
      <c r="L53" s="71"/>
      <c r="M53" s="71"/>
      <c r="N53" s="71"/>
      <c r="O53" s="71"/>
      <c r="P53" s="88">
        <f>E53</f>
        <v>187740</v>
      </c>
      <c r="Q53" s="71">
        <v>513240</v>
      </c>
      <c r="R53" s="71" t="s">
        <v>132</v>
      </c>
      <c r="S53" s="73"/>
    </row>
    <row r="54" spans="1:49" ht="15.6" x14ac:dyDescent="0.3">
      <c r="A54" s="45">
        <v>61375</v>
      </c>
      <c r="B54" s="68" t="s">
        <v>128</v>
      </c>
      <c r="C54" s="80"/>
      <c r="D54" s="81">
        <v>21</v>
      </c>
      <c r="E54" s="71">
        <f>O52</f>
        <v>98280</v>
      </c>
      <c r="F54" s="82"/>
      <c r="G54" s="71"/>
      <c r="H54" s="71"/>
      <c r="I54" s="71"/>
      <c r="J54" s="71"/>
      <c r="K54" s="71"/>
      <c r="L54" s="71"/>
      <c r="M54" s="71"/>
      <c r="N54" s="71"/>
      <c r="O54" s="71"/>
      <c r="P54" s="88">
        <f>E54</f>
        <v>98280</v>
      </c>
      <c r="Q54" s="71">
        <v>247500</v>
      </c>
      <c r="R54" s="71" t="s">
        <v>142</v>
      </c>
      <c r="S54" s="73"/>
    </row>
    <row r="55" spans="1:49" ht="31.2" x14ac:dyDescent="0.3">
      <c r="A55" s="45">
        <v>61375</v>
      </c>
      <c r="B55" s="68" t="s">
        <v>184</v>
      </c>
      <c r="C55" s="80">
        <v>45566</v>
      </c>
      <c r="D55" s="81">
        <v>6</v>
      </c>
      <c r="E55" s="71">
        <v>945000</v>
      </c>
      <c r="F55" s="82">
        <v>0</v>
      </c>
      <c r="G55" s="71">
        <f>E55-F55</f>
        <v>945000</v>
      </c>
      <c r="H55" s="71">
        <f>G55*18%</f>
        <v>170100</v>
      </c>
      <c r="I55" s="71">
        <f>G55+H55</f>
        <v>1115100</v>
      </c>
      <c r="J55" s="71">
        <f>G55*1%</f>
        <v>9450</v>
      </c>
      <c r="K55" s="71">
        <f>G55*5%</f>
        <v>47250</v>
      </c>
      <c r="L55" s="71"/>
      <c r="M55" s="71">
        <v>0</v>
      </c>
      <c r="N55" s="71">
        <v>0</v>
      </c>
      <c r="O55" s="72">
        <f>G55*18%</f>
        <v>170100</v>
      </c>
      <c r="P55" s="82">
        <f>I55-J55-K55-M55-O55-N55</f>
        <v>888300</v>
      </c>
      <c r="Q55" s="71">
        <v>247500</v>
      </c>
      <c r="R55" s="71" t="s">
        <v>150</v>
      </c>
      <c r="S55" s="73"/>
    </row>
    <row r="56" spans="1:49" ht="15.6" x14ac:dyDescent="0.3">
      <c r="A56" s="45">
        <v>61375</v>
      </c>
      <c r="B56" s="68" t="s">
        <v>128</v>
      </c>
      <c r="C56" s="80"/>
      <c r="D56" s="81">
        <v>6</v>
      </c>
      <c r="E56" s="71">
        <f>O55</f>
        <v>170100</v>
      </c>
      <c r="F56" s="82"/>
      <c r="G56" s="71"/>
      <c r="H56" s="71"/>
      <c r="I56" s="71"/>
      <c r="J56" s="71"/>
      <c r="K56" s="71"/>
      <c r="L56" s="71"/>
      <c r="M56" s="71"/>
      <c r="N56" s="71"/>
      <c r="O56" s="71"/>
      <c r="P56" s="88">
        <f>E56</f>
        <v>170100</v>
      </c>
      <c r="Q56" s="71">
        <v>495000</v>
      </c>
      <c r="R56" s="71" t="s">
        <v>151</v>
      </c>
      <c r="S56" s="73"/>
    </row>
    <row r="57" spans="1:49" ht="31.2" x14ac:dyDescent="0.3">
      <c r="A57" s="45">
        <v>61375</v>
      </c>
      <c r="B57" s="68" t="s">
        <v>184</v>
      </c>
      <c r="C57" s="80">
        <v>45664</v>
      </c>
      <c r="D57" s="81">
        <v>7</v>
      </c>
      <c r="E57" s="71">
        <v>604800</v>
      </c>
      <c r="F57" s="82">
        <v>0</v>
      </c>
      <c r="G57" s="71">
        <f>E57-F57</f>
        <v>604800</v>
      </c>
      <c r="H57" s="71">
        <f>G57*18%</f>
        <v>108864</v>
      </c>
      <c r="I57" s="71">
        <f>G57+H57</f>
        <v>713664</v>
      </c>
      <c r="J57" s="71">
        <f>G57*1%</f>
        <v>6048</v>
      </c>
      <c r="K57" s="71">
        <f>G57*5%</f>
        <v>30240</v>
      </c>
      <c r="L57" s="71"/>
      <c r="M57" s="71">
        <v>0</v>
      </c>
      <c r="N57" s="71">
        <v>0</v>
      </c>
      <c r="O57" s="72">
        <f>G57*18%</f>
        <v>108864</v>
      </c>
      <c r="P57" s="82">
        <f>I57-J57-K57-M57-O57-N57</f>
        <v>568512</v>
      </c>
      <c r="Q57" s="71">
        <v>99000</v>
      </c>
      <c r="R57" s="71" t="s">
        <v>154</v>
      </c>
      <c r="S57" s="73"/>
    </row>
    <row r="58" spans="1:49" ht="15.6" x14ac:dyDescent="0.3">
      <c r="A58" s="45">
        <v>61375</v>
      </c>
      <c r="B58" s="68" t="s">
        <v>128</v>
      </c>
      <c r="C58" s="80"/>
      <c r="D58" s="81">
        <v>7</v>
      </c>
      <c r="E58" s="71">
        <f>O57</f>
        <v>108864</v>
      </c>
      <c r="F58" s="82"/>
      <c r="G58" s="71"/>
      <c r="H58" s="71"/>
      <c r="I58" s="71"/>
      <c r="J58" s="71"/>
      <c r="K58" s="71"/>
      <c r="L58" s="71"/>
      <c r="M58" s="71"/>
      <c r="N58" s="71"/>
      <c r="O58" s="71"/>
      <c r="P58" s="88">
        <f>E58</f>
        <v>108864</v>
      </c>
      <c r="Q58" s="71">
        <v>166680</v>
      </c>
      <c r="R58" s="71" t="s">
        <v>155</v>
      </c>
      <c r="S58" s="73"/>
    </row>
    <row r="59" spans="1:49" ht="15.6" x14ac:dyDescent="0.3">
      <c r="A59" s="45">
        <v>61375</v>
      </c>
      <c r="B59" s="68"/>
      <c r="C59" s="80"/>
      <c r="D59" s="81"/>
      <c r="E59" s="71"/>
      <c r="F59" s="82"/>
      <c r="G59" s="71"/>
      <c r="H59" s="71"/>
      <c r="I59" s="71"/>
      <c r="J59" s="71"/>
      <c r="K59" s="71"/>
      <c r="L59" s="71"/>
      <c r="M59" s="71"/>
      <c r="N59" s="71"/>
      <c r="O59" s="72"/>
      <c r="P59" s="82"/>
      <c r="Q59" s="71">
        <v>400000</v>
      </c>
      <c r="R59" s="71" t="s">
        <v>156</v>
      </c>
      <c r="S59" s="73"/>
    </row>
    <row r="60" spans="1:49" ht="15.6" x14ac:dyDescent="0.3">
      <c r="A60" s="45">
        <v>61375</v>
      </c>
      <c r="B60" s="68"/>
      <c r="C60" s="80"/>
      <c r="D60" s="81"/>
      <c r="E60" s="71"/>
      <c r="F60" s="82"/>
      <c r="G60" s="71"/>
      <c r="H60" s="71"/>
      <c r="I60" s="71"/>
      <c r="J60" s="71"/>
      <c r="K60" s="71"/>
      <c r="L60" s="71"/>
      <c r="M60" s="71"/>
      <c r="N60" s="71"/>
      <c r="O60" s="72"/>
      <c r="P60" s="82"/>
      <c r="Q60" s="71"/>
      <c r="R60" s="71"/>
      <c r="S60" s="73"/>
    </row>
    <row r="61" spans="1:49" s="67" customFormat="1" ht="16.2" x14ac:dyDescent="0.3">
      <c r="A61" s="75"/>
      <c r="B61" s="76"/>
      <c r="C61" s="76"/>
      <c r="D61" s="77"/>
      <c r="E61" s="76"/>
      <c r="F61" s="76"/>
      <c r="G61" s="76"/>
      <c r="H61" s="78"/>
      <c r="I61" s="76"/>
      <c r="J61" s="78"/>
      <c r="K61" s="78"/>
      <c r="L61" s="78"/>
      <c r="M61" s="78"/>
      <c r="N61" s="78"/>
      <c r="O61" s="78"/>
      <c r="P61" s="76"/>
      <c r="Q61" s="76"/>
      <c r="R61" s="76"/>
      <c r="S61" s="74">
        <f>SUM(P51:P59,0)-SUM(Q51:Q60,0)</f>
        <v>663116</v>
      </c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 ht="31.2" x14ac:dyDescent="0.3">
      <c r="A62" s="45">
        <v>61376</v>
      </c>
      <c r="B62" s="68" t="s">
        <v>183</v>
      </c>
      <c r="C62" s="80"/>
      <c r="D62" s="81"/>
      <c r="E62" s="71"/>
      <c r="F62" s="82"/>
      <c r="G62" s="71"/>
      <c r="H62" s="71"/>
      <c r="I62" s="71"/>
      <c r="J62" s="71"/>
      <c r="K62" s="71"/>
      <c r="L62" s="71"/>
      <c r="M62" s="71"/>
      <c r="N62" s="71"/>
      <c r="O62" s="71"/>
      <c r="P62" s="82"/>
      <c r="Q62" s="71">
        <v>297000</v>
      </c>
      <c r="R62" s="71" t="s">
        <v>34</v>
      </c>
      <c r="S62" s="73"/>
    </row>
    <row r="63" spans="1:49" ht="15.6" x14ac:dyDescent="0.3">
      <c r="A63" s="45">
        <v>61376</v>
      </c>
      <c r="B63" s="68"/>
      <c r="C63" s="80"/>
      <c r="D63" s="81"/>
      <c r="E63" s="71"/>
      <c r="F63" s="82"/>
      <c r="G63" s="71"/>
      <c r="H63" s="71"/>
      <c r="I63" s="71"/>
      <c r="J63" s="71"/>
      <c r="K63" s="71"/>
      <c r="L63" s="71"/>
      <c r="M63" s="71"/>
      <c r="N63" s="71"/>
      <c r="O63" s="71"/>
      <c r="P63" s="82"/>
      <c r="Q63" s="71"/>
      <c r="R63" s="71"/>
      <c r="S63" s="73"/>
    </row>
    <row r="64" spans="1:49" ht="16.2" x14ac:dyDescent="0.3">
      <c r="A64" s="75">
        <v>62864</v>
      </c>
      <c r="B64" s="76"/>
      <c r="C64" s="76"/>
      <c r="D64" s="77"/>
      <c r="E64" s="76"/>
      <c r="F64" s="76"/>
      <c r="G64" s="76"/>
      <c r="H64" s="78"/>
      <c r="I64" s="76"/>
      <c r="J64" s="78"/>
      <c r="K64" s="78"/>
      <c r="L64" s="78"/>
      <c r="M64" s="78"/>
      <c r="N64" s="78"/>
      <c r="O64" s="78"/>
      <c r="P64" s="76"/>
      <c r="Q64" s="76"/>
      <c r="R64" s="76"/>
      <c r="S64" s="74">
        <f>SUM(P62:P63,0)-SUM(Q62:Q63,0)</f>
        <v>-297000</v>
      </c>
    </row>
    <row r="65" spans="1:49" ht="31.2" x14ac:dyDescent="0.3">
      <c r="A65" s="75">
        <v>62864</v>
      </c>
      <c r="B65" s="68" t="s">
        <v>182</v>
      </c>
      <c r="C65" s="80" t="s">
        <v>181</v>
      </c>
      <c r="D65" s="81">
        <v>2</v>
      </c>
      <c r="E65" s="71">
        <v>333000</v>
      </c>
      <c r="F65" s="82"/>
      <c r="G65" s="71">
        <f>E65-F65</f>
        <v>333000</v>
      </c>
      <c r="H65" s="71">
        <f>G65*18%</f>
        <v>59940</v>
      </c>
      <c r="I65" s="71">
        <f>G65+H65</f>
        <v>392940</v>
      </c>
      <c r="J65" s="71">
        <f>G65*1%</f>
        <v>3330</v>
      </c>
      <c r="K65" s="71">
        <f>G65*5%</f>
        <v>16650</v>
      </c>
      <c r="L65" s="71"/>
      <c r="M65" s="71">
        <v>0</v>
      </c>
      <c r="N65" s="71">
        <v>0</v>
      </c>
      <c r="O65" s="72">
        <f>G65*18%</f>
        <v>59940</v>
      </c>
      <c r="P65" s="82">
        <f>I65-J65-K65-M65-O65-N65</f>
        <v>313020</v>
      </c>
      <c r="Q65" s="71">
        <v>313020</v>
      </c>
      <c r="R65" s="71" t="s">
        <v>140</v>
      </c>
      <c r="S65" s="74"/>
    </row>
    <row r="66" spans="1:49" ht="16.2" x14ac:dyDescent="0.3">
      <c r="A66" s="75">
        <v>62864</v>
      </c>
      <c r="B66" s="68" t="s">
        <v>128</v>
      </c>
      <c r="C66" s="71"/>
      <c r="D66" s="81">
        <v>2</v>
      </c>
      <c r="E66" s="71">
        <f>H65</f>
        <v>59940</v>
      </c>
      <c r="F66" s="82"/>
      <c r="G66" s="71"/>
      <c r="H66" s="71"/>
      <c r="I66" s="71"/>
      <c r="J66" s="71"/>
      <c r="K66" s="71"/>
      <c r="L66" s="71"/>
      <c r="M66" s="71"/>
      <c r="N66" s="71"/>
      <c r="O66" s="71"/>
      <c r="P66" s="88">
        <f>E66</f>
        <v>59940</v>
      </c>
      <c r="Q66" s="71">
        <v>59940</v>
      </c>
      <c r="R66" s="71" t="s">
        <v>146</v>
      </c>
      <c r="S66" s="74"/>
    </row>
    <row r="67" spans="1:49" ht="16.2" x14ac:dyDescent="0.3">
      <c r="A67" s="75">
        <v>62864</v>
      </c>
      <c r="B67" s="68"/>
      <c r="C67" s="71"/>
      <c r="D67" s="81"/>
      <c r="E67" s="71"/>
      <c r="F67" s="82"/>
      <c r="G67" s="71"/>
      <c r="H67" s="71"/>
      <c r="I67" s="71"/>
      <c r="J67" s="71"/>
      <c r="K67" s="71"/>
      <c r="L67" s="71"/>
      <c r="M67" s="71"/>
      <c r="N67" s="71"/>
      <c r="O67" s="71"/>
      <c r="P67" s="82"/>
      <c r="Q67" s="71"/>
      <c r="R67" s="71"/>
      <c r="S67" s="74"/>
    </row>
    <row r="68" spans="1:49" s="67" customFormat="1" ht="16.2" x14ac:dyDescent="0.3">
      <c r="A68" s="75">
        <v>62865</v>
      </c>
      <c r="B68" s="76"/>
      <c r="C68" s="76"/>
      <c r="D68" s="77"/>
      <c r="E68" s="76"/>
      <c r="F68" s="76"/>
      <c r="G68" s="76"/>
      <c r="H68" s="78"/>
      <c r="I68" s="76"/>
      <c r="J68" s="78"/>
      <c r="K68" s="78"/>
      <c r="L68" s="78"/>
      <c r="M68" s="78"/>
      <c r="N68" s="78"/>
      <c r="O68" s="78"/>
      <c r="P68" s="76"/>
      <c r="Q68" s="76"/>
      <c r="R68" s="76"/>
      <c r="S68" s="74">
        <f>SUM(P65:P67,0)-SUM(Q65:Q67,0)</f>
        <v>0</v>
      </c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</row>
    <row r="69" spans="1:49" ht="31.2" x14ac:dyDescent="0.3">
      <c r="A69" s="75">
        <v>62865</v>
      </c>
      <c r="B69" s="68" t="s">
        <v>158</v>
      </c>
      <c r="C69" s="80">
        <v>45379</v>
      </c>
      <c r="D69" s="81">
        <v>23</v>
      </c>
      <c r="E69" s="71">
        <f>15%*A69</f>
        <v>9429.75</v>
      </c>
      <c r="F69" s="82"/>
      <c r="G69" s="71">
        <f>E69-F69</f>
        <v>9429.75</v>
      </c>
      <c r="H69" s="71">
        <f>G69*18%</f>
        <v>1697.355</v>
      </c>
      <c r="I69" s="71">
        <f>G69+H69</f>
        <v>11127.105</v>
      </c>
      <c r="J69" s="71">
        <f>G69*1%</f>
        <v>94.297499999999999</v>
      </c>
      <c r="K69" s="71">
        <f>G69*5%</f>
        <v>471.48750000000001</v>
      </c>
      <c r="L69" s="71"/>
      <c r="M69" s="71">
        <v>0</v>
      </c>
      <c r="N69" s="71">
        <v>0</v>
      </c>
      <c r="O69" s="72">
        <f>G69*18%</f>
        <v>1697.355</v>
      </c>
      <c r="P69" s="82">
        <f>I69-J69-K69-M69-O69-N69</f>
        <v>8863.9650000000001</v>
      </c>
      <c r="Q69" s="71">
        <v>594000</v>
      </c>
      <c r="R69" s="71" t="s">
        <v>138</v>
      </c>
      <c r="S69" s="74"/>
    </row>
    <row r="70" spans="1:49" ht="16.2" x14ac:dyDescent="0.3">
      <c r="A70" s="75">
        <v>62865</v>
      </c>
      <c r="B70" s="68" t="s">
        <v>128</v>
      </c>
      <c r="C70" s="71"/>
      <c r="D70" s="81">
        <v>23</v>
      </c>
      <c r="E70" s="71">
        <f>O69</f>
        <v>1697.355</v>
      </c>
      <c r="F70" s="82"/>
      <c r="G70" s="71"/>
      <c r="H70" s="71"/>
      <c r="I70" s="71"/>
      <c r="J70" s="71"/>
      <c r="K70" s="71"/>
      <c r="L70" s="71"/>
      <c r="M70" s="71"/>
      <c r="N70" s="71"/>
      <c r="O70" s="71"/>
      <c r="P70" s="88">
        <f>E70</f>
        <v>1697.355</v>
      </c>
      <c r="Q70" s="71"/>
      <c r="R70" s="71"/>
      <c r="S70" s="74"/>
    </row>
    <row r="71" spans="1:49" ht="16.2" x14ac:dyDescent="0.3">
      <c r="A71" s="75">
        <v>62865</v>
      </c>
      <c r="B71" s="68"/>
      <c r="C71" s="71"/>
      <c r="D71" s="81"/>
      <c r="E71" s="71"/>
      <c r="F71" s="82"/>
      <c r="G71" s="71"/>
      <c r="H71" s="71"/>
      <c r="I71" s="71"/>
      <c r="J71" s="71"/>
      <c r="K71" s="71"/>
      <c r="L71" s="71"/>
      <c r="M71" s="71"/>
      <c r="N71" s="71"/>
      <c r="O71" s="71"/>
      <c r="P71" s="82"/>
      <c r="Q71" s="71"/>
      <c r="R71" s="71"/>
      <c r="S71" s="74"/>
    </row>
    <row r="72" spans="1:49" s="67" customFormat="1" ht="16.2" x14ac:dyDescent="0.3">
      <c r="A72" s="75"/>
      <c r="B72" s="76"/>
      <c r="C72" s="76"/>
      <c r="D72" s="77"/>
      <c r="E72" s="76"/>
      <c r="F72" s="76"/>
      <c r="G72" s="76"/>
      <c r="H72" s="78"/>
      <c r="I72" s="76"/>
      <c r="J72" s="78"/>
      <c r="K72" s="78"/>
      <c r="L72" s="78"/>
      <c r="M72" s="78"/>
      <c r="N72" s="78"/>
      <c r="O72" s="78"/>
      <c r="P72" s="76"/>
      <c r="Q72" s="76"/>
      <c r="R72" s="76"/>
      <c r="S72" s="89">
        <f>SUM(P69:P71,0)-SUM(Q69:Q71,0)</f>
        <v>-583438.68000000005</v>
      </c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</row>
    <row r="73" spans="1:49" ht="15.6" x14ac:dyDescent="0.3">
      <c r="A73" s="45">
        <v>60088</v>
      </c>
      <c r="B73" s="68" t="s">
        <v>185</v>
      </c>
      <c r="C73" s="80">
        <v>45278</v>
      </c>
      <c r="D73" s="81">
        <v>13</v>
      </c>
      <c r="E73" s="71">
        <v>394520</v>
      </c>
      <c r="F73" s="82"/>
      <c r="G73" s="71">
        <f>E73-F73</f>
        <v>394520</v>
      </c>
      <c r="H73" s="71">
        <f>G73*18%</f>
        <v>71013.599999999991</v>
      </c>
      <c r="I73" s="71">
        <f>G73+H73</f>
        <v>465533.6</v>
      </c>
      <c r="J73" s="71">
        <f>G73*1%</f>
        <v>3945.2000000000003</v>
      </c>
      <c r="K73" s="71">
        <f>G73*5%</f>
        <v>19726</v>
      </c>
      <c r="L73" s="71"/>
      <c r="M73" s="71"/>
      <c r="N73" s="71">
        <v>0</v>
      </c>
      <c r="O73" s="72">
        <f>G73*18%</f>
        <v>71013.599999999991</v>
      </c>
      <c r="P73" s="82">
        <f>I73-J73-K73-M73-O73-N73</f>
        <v>370848.8</v>
      </c>
      <c r="Q73" s="71">
        <v>198000</v>
      </c>
      <c r="R73" s="71" t="s">
        <v>115</v>
      </c>
      <c r="S73" s="73"/>
    </row>
    <row r="74" spans="1:49" ht="15.6" x14ac:dyDescent="0.3">
      <c r="A74" s="45">
        <v>60088</v>
      </c>
      <c r="B74" s="68" t="s">
        <v>128</v>
      </c>
      <c r="C74" s="71"/>
      <c r="D74" s="81">
        <v>13</v>
      </c>
      <c r="E74" s="71">
        <f>O73</f>
        <v>71013.599999999991</v>
      </c>
      <c r="F74" s="82"/>
      <c r="G74" s="71"/>
      <c r="H74" s="71"/>
      <c r="I74" s="71"/>
      <c r="J74" s="71"/>
      <c r="K74" s="71"/>
      <c r="L74" s="71"/>
      <c r="M74" s="71"/>
      <c r="N74" s="71"/>
      <c r="O74" s="71"/>
      <c r="P74" s="88">
        <f>E74</f>
        <v>71013.599999999991</v>
      </c>
      <c r="Q74" s="71">
        <v>172849</v>
      </c>
      <c r="R74" s="71" t="s">
        <v>37</v>
      </c>
      <c r="S74" s="73"/>
    </row>
    <row r="75" spans="1:49" ht="15.6" x14ac:dyDescent="0.3">
      <c r="A75" s="45">
        <v>60088</v>
      </c>
      <c r="B75" s="68" t="s">
        <v>185</v>
      </c>
      <c r="C75" s="80">
        <v>45332</v>
      </c>
      <c r="D75" s="81">
        <v>18</v>
      </c>
      <c r="E75" s="71">
        <v>98630</v>
      </c>
      <c r="F75" s="82"/>
      <c r="G75" s="71">
        <f>E75-F75</f>
        <v>98630</v>
      </c>
      <c r="H75" s="71">
        <f>G75*18%</f>
        <v>17753.399999999998</v>
      </c>
      <c r="I75" s="71">
        <f>G75+H75</f>
        <v>116383.4</v>
      </c>
      <c r="J75" s="71">
        <f>G75*1%</f>
        <v>986.30000000000007</v>
      </c>
      <c r="K75" s="71">
        <f>G75*5%</f>
        <v>4931.5</v>
      </c>
      <c r="L75" s="71">
        <f>G75*5%</f>
        <v>4931.5</v>
      </c>
      <c r="M75" s="71"/>
      <c r="N75" s="71">
        <v>25200</v>
      </c>
      <c r="O75" s="72">
        <f>G75*18%</f>
        <v>17753.399999999998</v>
      </c>
      <c r="P75" s="82">
        <f>I75-J75-K75-M75-O75-N75-L75</f>
        <v>62580.7</v>
      </c>
      <c r="Q75" s="71">
        <v>71014</v>
      </c>
      <c r="R75" s="71" t="s">
        <v>127</v>
      </c>
      <c r="S75" s="74"/>
    </row>
    <row r="76" spans="1:49" ht="15.6" x14ac:dyDescent="0.3">
      <c r="A76" s="45">
        <v>60088</v>
      </c>
      <c r="B76" s="68" t="s">
        <v>128</v>
      </c>
      <c r="C76" s="71"/>
      <c r="D76" s="81">
        <v>18</v>
      </c>
      <c r="E76" s="71">
        <f>O75</f>
        <v>17753.399999999998</v>
      </c>
      <c r="F76" s="82"/>
      <c r="G76" s="71"/>
      <c r="H76" s="71"/>
      <c r="I76" s="71"/>
      <c r="J76" s="71"/>
      <c r="K76" s="71"/>
      <c r="L76" s="71"/>
      <c r="M76" s="71"/>
      <c r="N76" s="71"/>
      <c r="O76" s="71"/>
      <c r="P76" s="88">
        <f>E76</f>
        <v>17753.399999999998</v>
      </c>
      <c r="Q76" s="71">
        <v>62580</v>
      </c>
      <c r="R76" s="71" t="s">
        <v>131</v>
      </c>
      <c r="S76" s="74"/>
    </row>
    <row r="77" spans="1:49" ht="15.6" x14ac:dyDescent="0.3">
      <c r="A77" s="45">
        <v>60088</v>
      </c>
      <c r="B77" s="68"/>
      <c r="C77" s="71"/>
      <c r="D77" s="81"/>
      <c r="E77" s="71"/>
      <c r="F77" s="82"/>
      <c r="G77" s="71"/>
      <c r="H77" s="71"/>
      <c r="I77" s="71"/>
      <c r="J77" s="71"/>
      <c r="K77" s="71"/>
      <c r="L77" s="71"/>
      <c r="M77" s="71"/>
      <c r="N77" s="71"/>
      <c r="O77" s="71"/>
      <c r="P77" s="82"/>
      <c r="Q77" s="71">
        <v>17753</v>
      </c>
      <c r="R77" s="71" t="s">
        <v>145</v>
      </c>
      <c r="S77" s="74"/>
    </row>
    <row r="78" spans="1:49" s="67" customFormat="1" ht="16.2" x14ac:dyDescent="0.3">
      <c r="A78" s="75">
        <v>63769</v>
      </c>
      <c r="B78" s="76"/>
      <c r="C78" s="76"/>
      <c r="D78" s="77"/>
      <c r="E78" s="76"/>
      <c r="F78" s="76"/>
      <c r="G78" s="76"/>
      <c r="H78" s="78"/>
      <c r="I78" s="76"/>
      <c r="J78" s="78"/>
      <c r="K78" s="78"/>
      <c r="L78" s="78"/>
      <c r="M78" s="78"/>
      <c r="N78" s="78"/>
      <c r="O78" s="78"/>
      <c r="P78" s="76"/>
      <c r="Q78" s="76"/>
      <c r="R78" s="76"/>
      <c r="S78" s="74">
        <f>SUM(P73:P77,0)-SUM(Q73:Q77,0)</f>
        <v>0.5</v>
      </c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</row>
    <row r="79" spans="1:49" ht="46.8" x14ac:dyDescent="0.3">
      <c r="A79" s="75">
        <v>63769</v>
      </c>
      <c r="B79" s="68" t="s">
        <v>186</v>
      </c>
      <c r="C79" s="80">
        <v>45461</v>
      </c>
      <c r="D79" s="81">
        <v>3</v>
      </c>
      <c r="E79" s="71">
        <v>333000</v>
      </c>
      <c r="F79" s="82"/>
      <c r="G79" s="71">
        <f>E79-F79</f>
        <v>333000</v>
      </c>
      <c r="H79" s="71">
        <f>G79*18%</f>
        <v>59940</v>
      </c>
      <c r="I79" s="71">
        <f>G79+H79</f>
        <v>392940</v>
      </c>
      <c r="J79" s="71">
        <f>G79*1%</f>
        <v>3330</v>
      </c>
      <c r="K79" s="71">
        <f>G79*5%</f>
        <v>16650</v>
      </c>
      <c r="L79" s="71"/>
      <c r="M79" s="71"/>
      <c r="N79" s="71">
        <v>0</v>
      </c>
      <c r="O79" s="72">
        <f>G79*18%</f>
        <v>59940</v>
      </c>
      <c r="P79" s="82">
        <f>I79-J79-K79-M79-O79-N79</f>
        <v>313020</v>
      </c>
      <c r="Q79" s="71">
        <v>198000</v>
      </c>
      <c r="R79" s="71" t="s">
        <v>143</v>
      </c>
      <c r="S79" s="74"/>
    </row>
    <row r="80" spans="1:49" ht="16.2" x14ac:dyDescent="0.3">
      <c r="A80" s="75">
        <v>63769</v>
      </c>
      <c r="B80" s="68" t="s">
        <v>128</v>
      </c>
      <c r="C80" s="80"/>
      <c r="D80" s="81">
        <v>3</v>
      </c>
      <c r="E80" s="71">
        <f>O79</f>
        <v>59940</v>
      </c>
      <c r="F80" s="82"/>
      <c r="G80" s="71"/>
      <c r="H80" s="71"/>
      <c r="I80" s="71"/>
      <c r="J80" s="71"/>
      <c r="K80" s="71"/>
      <c r="L80" s="71"/>
      <c r="M80" s="71"/>
      <c r="N80" s="71"/>
      <c r="O80" s="71"/>
      <c r="P80" s="88">
        <f>E80</f>
        <v>59940</v>
      </c>
      <c r="Q80" s="71">
        <v>59940</v>
      </c>
      <c r="R80" s="71" t="s">
        <v>153</v>
      </c>
      <c r="S80" s="74"/>
    </row>
    <row r="81" spans="1:49" s="67" customFormat="1" ht="16.2" x14ac:dyDescent="0.3">
      <c r="A81" s="75">
        <v>63767</v>
      </c>
      <c r="B81" s="76"/>
      <c r="C81" s="76"/>
      <c r="D81" s="77"/>
      <c r="E81" s="76"/>
      <c r="F81" s="76"/>
      <c r="G81" s="76"/>
      <c r="H81" s="78"/>
      <c r="I81" s="76"/>
      <c r="J81" s="78"/>
      <c r="K81" s="78"/>
      <c r="L81" s="78"/>
      <c r="M81" s="78"/>
      <c r="N81" s="78"/>
      <c r="O81" s="78"/>
      <c r="P81" s="76"/>
      <c r="Q81" s="76"/>
      <c r="R81" s="76"/>
      <c r="S81" s="74">
        <f>SUM(P79:P80,0)-SUM(Q79:Q80,0)</f>
        <v>115020</v>
      </c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49" ht="16.2" x14ac:dyDescent="0.3">
      <c r="A82" s="75">
        <v>63767</v>
      </c>
      <c r="B82" s="68"/>
      <c r="C82" s="80"/>
      <c r="D82" s="81"/>
      <c r="E82" s="71"/>
      <c r="F82" s="82"/>
      <c r="G82" s="71"/>
      <c r="H82" s="71"/>
      <c r="I82" s="71"/>
      <c r="J82" s="71"/>
      <c r="K82" s="71"/>
      <c r="L82" s="71"/>
      <c r="M82" s="71"/>
      <c r="N82" s="71"/>
      <c r="O82" s="71"/>
      <c r="P82" s="82"/>
      <c r="Q82" s="71"/>
      <c r="R82" s="71"/>
      <c r="S82" s="74"/>
    </row>
    <row r="83" spans="1:49" s="67" customFormat="1" ht="16.2" x14ac:dyDescent="0.3">
      <c r="A83" s="75">
        <v>63770</v>
      </c>
      <c r="B83" s="76"/>
      <c r="C83" s="76"/>
      <c r="D83" s="77"/>
      <c r="E83" s="76"/>
      <c r="F83" s="76"/>
      <c r="G83" s="76"/>
      <c r="H83" s="78"/>
      <c r="I83" s="76"/>
      <c r="J83" s="78"/>
      <c r="K83" s="78"/>
      <c r="L83" s="78"/>
      <c r="M83" s="78"/>
      <c r="N83" s="78"/>
      <c r="O83" s="78"/>
      <c r="P83" s="76"/>
      <c r="Q83" s="76"/>
      <c r="R83" s="76"/>
      <c r="S83" s="74">
        <f>SUM(P82,0)-SUM(Q82,0)</f>
        <v>0</v>
      </c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</row>
    <row r="84" spans="1:49" ht="46.8" x14ac:dyDescent="0.3">
      <c r="A84" s="75">
        <v>63770</v>
      </c>
      <c r="B84" s="68" t="s">
        <v>187</v>
      </c>
      <c r="C84" s="80">
        <v>45461</v>
      </c>
      <c r="D84" s="81">
        <v>4</v>
      </c>
      <c r="E84" s="71">
        <v>1327500</v>
      </c>
      <c r="F84" s="82">
        <v>606013</v>
      </c>
      <c r="G84" s="71">
        <f>E84-F84</f>
        <v>721487</v>
      </c>
      <c r="H84" s="71">
        <f>G84*18%</f>
        <v>129867.65999999999</v>
      </c>
      <c r="I84" s="71">
        <f>G84+H84</f>
        <v>851354.66</v>
      </c>
      <c r="J84" s="71">
        <f>G84*1%</f>
        <v>7214.87</v>
      </c>
      <c r="K84" s="71">
        <f>G84*5%</f>
        <v>36074.35</v>
      </c>
      <c r="L84" s="71"/>
      <c r="M84" s="71"/>
      <c r="N84" s="71">
        <v>0</v>
      </c>
      <c r="O84" s="72">
        <f>G84*18%</f>
        <v>129867.65999999999</v>
      </c>
      <c r="P84" s="82">
        <f>I84-J84-K84-M84-O84-N84</f>
        <v>678197.78</v>
      </c>
      <c r="Q84" s="71">
        <v>297000</v>
      </c>
      <c r="R84" s="71" t="s">
        <v>144</v>
      </c>
      <c r="S84" s="74"/>
    </row>
    <row r="85" spans="1:49" ht="16.2" x14ac:dyDescent="0.3">
      <c r="A85" s="75">
        <v>63770</v>
      </c>
      <c r="B85" s="68" t="s">
        <v>128</v>
      </c>
      <c r="C85" s="80"/>
      <c r="D85" s="81">
        <v>4</v>
      </c>
      <c r="E85" s="71">
        <f>O84</f>
        <v>129867.65999999999</v>
      </c>
      <c r="F85" s="82"/>
      <c r="G85" s="71"/>
      <c r="H85" s="71"/>
      <c r="I85" s="71"/>
      <c r="J85" s="71"/>
      <c r="K85" s="71"/>
      <c r="L85" s="71"/>
      <c r="M85" s="71"/>
      <c r="N85" s="71"/>
      <c r="O85" s="71"/>
      <c r="P85" s="88">
        <f>E85</f>
        <v>129867.65999999999</v>
      </c>
      <c r="Q85" s="71">
        <v>381198</v>
      </c>
      <c r="R85" s="71" t="s">
        <v>147</v>
      </c>
      <c r="S85" s="74"/>
    </row>
    <row r="86" spans="1:49" ht="16.2" x14ac:dyDescent="0.3">
      <c r="A86" s="75">
        <v>63770</v>
      </c>
      <c r="B86" s="68"/>
      <c r="C86" s="80"/>
      <c r="D86" s="81"/>
      <c r="E86" s="71"/>
      <c r="F86" s="82"/>
      <c r="G86" s="71"/>
      <c r="H86" s="71"/>
      <c r="I86" s="71"/>
      <c r="J86" s="71"/>
      <c r="K86" s="71"/>
      <c r="L86" s="71"/>
      <c r="M86" s="71"/>
      <c r="N86" s="71"/>
      <c r="O86" s="71"/>
      <c r="P86" s="88"/>
      <c r="Q86" s="71">
        <v>129868</v>
      </c>
      <c r="R86" s="71" t="s">
        <v>152</v>
      </c>
      <c r="S86" s="74"/>
    </row>
    <row r="87" spans="1:49" s="67" customFormat="1" ht="16.2" x14ac:dyDescent="0.3">
      <c r="A87" s="75">
        <v>63770</v>
      </c>
      <c r="B87" s="76"/>
      <c r="C87" s="76"/>
      <c r="D87" s="77"/>
      <c r="E87" s="76"/>
      <c r="F87" s="76"/>
      <c r="G87" s="76"/>
      <c r="H87" s="78"/>
      <c r="I87" s="76"/>
      <c r="J87" s="78"/>
      <c r="K87" s="78"/>
      <c r="L87" s="78"/>
      <c r="M87" s="78"/>
      <c r="N87" s="78"/>
      <c r="O87" s="78"/>
      <c r="P87" s="76"/>
      <c r="Q87" s="76"/>
      <c r="R87" s="76"/>
      <c r="S87" s="74">
        <f>SUM(P84:P86,0)-SUM(Q84:Q86,0)</f>
        <v>-0.55999999993946403</v>
      </c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</row>
    <row r="88" spans="1:49" ht="16.8" thickBot="1" x14ac:dyDescent="0.35">
      <c r="A88" s="75">
        <v>63770</v>
      </c>
      <c r="B88" s="68"/>
      <c r="C88" s="80"/>
      <c r="D88" s="81"/>
      <c r="E88" s="71"/>
      <c r="F88" s="82"/>
      <c r="G88" s="71"/>
      <c r="H88" s="71"/>
      <c r="I88" s="71"/>
      <c r="J88" s="71"/>
      <c r="K88" s="71"/>
      <c r="L88" s="71"/>
      <c r="M88" s="71"/>
      <c r="N88" s="71"/>
      <c r="O88" s="71"/>
      <c r="P88" s="82"/>
      <c r="Q88" s="71"/>
      <c r="R88" s="71"/>
      <c r="S88" s="74"/>
    </row>
    <row r="89" spans="1:49" ht="16.2" x14ac:dyDescent="0.3">
      <c r="A89" s="90"/>
      <c r="B89" s="91"/>
      <c r="C89" s="91"/>
      <c r="D89" s="92"/>
      <c r="E89" s="90"/>
      <c r="F89" s="90">
        <f>SUM(F8:F76)</f>
        <v>4977408</v>
      </c>
      <c r="G89" s="90"/>
      <c r="H89" s="90"/>
      <c r="I89" s="90"/>
      <c r="J89" s="90">
        <f t="shared" ref="J89:O89" si="33">SUM(J8:J88)</f>
        <v>169341.19749999998</v>
      </c>
      <c r="K89" s="90">
        <f t="shared" si="33"/>
        <v>903846.9375</v>
      </c>
      <c r="L89" s="90">
        <f t="shared" si="33"/>
        <v>316840.90000000002</v>
      </c>
      <c r="M89" s="90">
        <f t="shared" si="33"/>
        <v>1154527.3</v>
      </c>
      <c r="N89" s="90">
        <f t="shared" si="33"/>
        <v>540327</v>
      </c>
      <c r="O89" s="90">
        <f t="shared" si="33"/>
        <v>3048146.5550000002</v>
      </c>
      <c r="P89" s="90">
        <f>SUM(P8:P88)</f>
        <v>16982766.969999999</v>
      </c>
      <c r="Q89" s="90">
        <f>SUM(Q7:Q88)</f>
        <v>17363737</v>
      </c>
      <c r="R89" s="90" t="s">
        <v>35</v>
      </c>
      <c r="S89" s="90">
        <f>SUM(S6:S88)</f>
        <v>-380970.03</v>
      </c>
    </row>
    <row r="90" spans="1:49" ht="16.2" x14ac:dyDescent="0.3">
      <c r="A90" s="93"/>
      <c r="B90" s="71"/>
      <c r="C90" s="71"/>
      <c r="D90" s="81"/>
      <c r="E90" s="71"/>
      <c r="F90" s="71"/>
      <c r="G90" s="71"/>
      <c r="H90" s="71"/>
      <c r="I90" s="71"/>
      <c r="J90" s="71"/>
      <c r="K90" s="71"/>
      <c r="L90" s="71"/>
      <c r="M90" s="71"/>
      <c r="N90" s="71">
        <f>N89-P48</f>
        <v>454969</v>
      </c>
      <c r="O90" s="71"/>
      <c r="P90" s="93"/>
      <c r="Q90" s="93"/>
      <c r="R90" s="93"/>
      <c r="S90" s="73"/>
    </row>
    <row r="91" spans="1:49" ht="16.8" thickBot="1" x14ac:dyDescent="0.35">
      <c r="A91" s="46"/>
      <c r="B91" s="94"/>
      <c r="C91" s="94"/>
      <c r="D91" s="95"/>
      <c r="E91" s="94"/>
      <c r="F91" s="94"/>
      <c r="G91" s="94"/>
      <c r="H91" s="47"/>
      <c r="I91" s="47"/>
      <c r="J91" s="94"/>
      <c r="K91" s="94"/>
      <c r="L91" s="94"/>
      <c r="M91" s="94"/>
      <c r="N91" s="94"/>
      <c r="O91" s="94"/>
      <c r="P91" s="94"/>
      <c r="Q91" s="96">
        <f>P89-Q89</f>
        <v>-380970.03000000119</v>
      </c>
      <c r="R91" s="96" t="s">
        <v>36</v>
      </c>
      <c r="S91" s="94"/>
    </row>
    <row r="93" spans="1:49" ht="15" thickBot="1" x14ac:dyDescent="0.35"/>
    <row r="94" spans="1:49" ht="15" thickBot="1" x14ac:dyDescent="0.35">
      <c r="A94" s="48"/>
      <c r="B94" s="49"/>
      <c r="D94" s="48"/>
      <c r="F94" s="117" t="s">
        <v>3</v>
      </c>
      <c r="G94" s="118"/>
      <c r="H94" s="118"/>
      <c r="I94" s="119"/>
      <c r="O94" s="1"/>
    </row>
    <row r="95" spans="1:49" x14ac:dyDescent="0.3">
      <c r="A95" s="48"/>
      <c r="B95" s="49"/>
      <c r="D95" s="48"/>
      <c r="F95" s="120" t="s">
        <v>157</v>
      </c>
      <c r="G95" s="121"/>
      <c r="H95" s="121"/>
      <c r="I95" s="122"/>
      <c r="O95" s="1"/>
    </row>
    <row r="96" spans="1:49" x14ac:dyDescent="0.3">
      <c r="A96" s="48"/>
      <c r="B96" s="49"/>
      <c r="D96" s="48"/>
      <c r="F96" s="113" t="s">
        <v>116</v>
      </c>
      <c r="G96" s="114"/>
      <c r="H96" s="115">
        <f>K89+L89+M89</f>
        <v>2375215.1375000002</v>
      </c>
      <c r="I96" s="116"/>
      <c r="O96" s="1"/>
    </row>
    <row r="97" spans="1:15" x14ac:dyDescent="0.3">
      <c r="A97" s="48"/>
      <c r="B97" s="49"/>
      <c r="D97" s="48"/>
      <c r="F97" s="113" t="s">
        <v>149</v>
      </c>
      <c r="G97" s="114"/>
      <c r="H97" s="115">
        <f>N90</f>
        <v>454969</v>
      </c>
      <c r="I97" s="116"/>
      <c r="O97" s="1"/>
    </row>
    <row r="98" spans="1:15" x14ac:dyDescent="0.3">
      <c r="A98" s="48"/>
      <c r="B98" s="49"/>
      <c r="D98" s="48"/>
      <c r="F98" s="113" t="s">
        <v>117</v>
      </c>
      <c r="G98" s="114"/>
      <c r="H98" s="115">
        <f>Q91</f>
        <v>-380970.03000000119</v>
      </c>
      <c r="I98" s="116"/>
      <c r="O98" s="1"/>
    </row>
    <row r="99" spans="1:15" x14ac:dyDescent="0.3">
      <c r="A99" s="48"/>
      <c r="B99" s="49"/>
      <c r="D99" s="48"/>
      <c r="F99" s="113" t="s">
        <v>118</v>
      </c>
      <c r="G99" s="114"/>
      <c r="H99" s="115">
        <f>O89-P45-P11-P22-P12-P25-P27-P34-P74-P47-P35-P76-P70-P54-P53-P38-P14-P66-P39-P16-P80-P85-P56-P58</f>
        <v>1.7462298274040222E-10</v>
      </c>
      <c r="I99" s="116"/>
      <c r="O99" s="1"/>
    </row>
    <row r="100" spans="1:15" x14ac:dyDescent="0.3">
      <c r="B100" s="42"/>
      <c r="K100" s="97"/>
    </row>
    <row r="101" spans="1:15" x14ac:dyDescent="0.3">
      <c r="B101" s="42"/>
    </row>
  </sheetData>
  <mergeCells count="10">
    <mergeCell ref="F99:G99"/>
    <mergeCell ref="H99:I99"/>
    <mergeCell ref="F94:I94"/>
    <mergeCell ref="F95:I95"/>
    <mergeCell ref="F96:G96"/>
    <mergeCell ref="H96:I96"/>
    <mergeCell ref="F98:G98"/>
    <mergeCell ref="H98:I98"/>
    <mergeCell ref="F97:G97"/>
    <mergeCell ref="H97:I97"/>
  </mergeCells>
  <phoneticPr fontId="4" type="noConversion"/>
  <pageMargins left="0.7" right="0.7" top="0.75" bottom="0.75" header="0.3" footer="0.3"/>
  <pageSetup scale="22" orientation="portrait" r:id="rId1"/>
  <ignoredErrors>
    <ignoredError sqref="P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opLeftCell="L24" workbookViewId="0">
      <selection activeCell="R41" sqref="R41"/>
    </sheetView>
  </sheetViews>
  <sheetFormatPr defaultColWidth="9.109375" defaultRowHeight="14.4" x14ac:dyDescent="0.3"/>
  <cols>
    <col min="1" max="1" width="11.5546875" bestFit="1" customWidth="1"/>
    <col min="2" max="2" width="28.88671875" customWidth="1"/>
    <col min="3" max="3" width="33.88671875" customWidth="1"/>
    <col min="4" max="4" width="13" customWidth="1"/>
    <col min="5" max="8" width="11.88671875" bestFit="1" customWidth="1"/>
    <col min="9" max="9" width="16.33203125" customWidth="1"/>
    <col min="10" max="10" width="10.33203125" customWidth="1"/>
    <col min="11" max="11" width="31.33203125" customWidth="1"/>
    <col min="12" max="12" width="12.6640625" customWidth="1"/>
    <col min="13" max="13" width="10.33203125" customWidth="1"/>
    <col min="14" max="14" width="9.88671875" customWidth="1"/>
    <col min="15" max="15" width="11.5546875" customWidth="1"/>
    <col min="16" max="16" width="15.6640625" customWidth="1"/>
    <col min="17" max="17" width="12.6640625" customWidth="1"/>
    <col min="18" max="18" width="16.33203125" customWidth="1"/>
    <col min="19" max="19" width="31.33203125" customWidth="1"/>
    <col min="20" max="20" width="18" customWidth="1"/>
    <col min="21" max="21" width="44" customWidth="1"/>
    <col min="22" max="22" width="57.5546875" customWidth="1"/>
    <col min="23" max="23" width="62.109375" customWidth="1"/>
    <col min="24" max="24" width="26.6640625" customWidth="1"/>
  </cols>
  <sheetData>
    <row r="1" spans="1:21" s="8" customFormat="1" ht="31.2" x14ac:dyDescent="0.3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5" t="s">
        <v>46</v>
      </c>
      <c r="J1" s="5" t="s">
        <v>47</v>
      </c>
      <c r="K1" s="4" t="s">
        <v>48</v>
      </c>
      <c r="L1" s="4" t="s">
        <v>49</v>
      </c>
      <c r="M1" s="5" t="s">
        <v>50</v>
      </c>
      <c r="N1" s="5"/>
      <c r="O1" s="5" t="s">
        <v>51</v>
      </c>
      <c r="P1" s="5"/>
      <c r="Q1" s="6" t="s">
        <v>52</v>
      </c>
      <c r="R1" s="6" t="s">
        <v>53</v>
      </c>
      <c r="S1" s="7" t="s">
        <v>54</v>
      </c>
      <c r="T1" s="7" t="s">
        <v>55</v>
      </c>
      <c r="U1" s="7" t="s">
        <v>56</v>
      </c>
    </row>
    <row r="2" spans="1:21" s="8" customFormat="1" ht="15.6" x14ac:dyDescent="0.3">
      <c r="A2" s="9">
        <v>237</v>
      </c>
      <c r="B2" s="10"/>
      <c r="C2" s="11"/>
      <c r="D2" s="10"/>
      <c r="E2" s="12"/>
      <c r="F2" s="12"/>
      <c r="G2" s="12"/>
      <c r="H2" s="12"/>
      <c r="I2" s="13" t="s">
        <v>57</v>
      </c>
      <c r="J2" s="13">
        <v>2884</v>
      </c>
      <c r="K2" s="13" t="s">
        <v>58</v>
      </c>
      <c r="L2" s="9" t="s">
        <v>41</v>
      </c>
      <c r="M2" s="14">
        <v>0.70963199999999993</v>
      </c>
      <c r="N2" s="14"/>
      <c r="O2" s="9">
        <v>66700</v>
      </c>
      <c r="P2" s="9">
        <f t="shared" ref="P2:P40" si="0">M2*O2</f>
        <v>47332.454399999995</v>
      </c>
      <c r="Q2" s="15">
        <f t="shared" ref="Q2:Q40" si="1">(M2*O2)*18%</f>
        <v>8519.8417919999993</v>
      </c>
      <c r="R2" s="16">
        <f t="shared" ref="R2:R40" si="2">(M2*O2)+Q2</f>
        <v>55852.296191999994</v>
      </c>
      <c r="S2" s="17" t="s">
        <v>59</v>
      </c>
      <c r="T2" s="18" t="s">
        <v>60</v>
      </c>
      <c r="U2" s="18"/>
    </row>
    <row r="3" spans="1:21" s="8" customFormat="1" ht="15.6" x14ac:dyDescent="0.3">
      <c r="A3" s="9">
        <v>238</v>
      </c>
      <c r="B3" s="10"/>
      <c r="C3" s="11"/>
      <c r="D3" s="10"/>
      <c r="E3" s="12"/>
      <c r="F3" s="12"/>
      <c r="G3" s="12"/>
      <c r="H3" s="12"/>
      <c r="I3" s="13" t="s">
        <v>57</v>
      </c>
      <c r="J3" s="13">
        <v>2884</v>
      </c>
      <c r="K3" s="13" t="s">
        <v>58</v>
      </c>
      <c r="L3" s="9" t="s">
        <v>42</v>
      </c>
      <c r="M3" s="14">
        <v>1.5523199999999999</v>
      </c>
      <c r="N3" s="14"/>
      <c r="O3" s="9">
        <v>65200</v>
      </c>
      <c r="P3" s="9">
        <f t="shared" si="0"/>
        <v>101211.264</v>
      </c>
      <c r="Q3" s="15">
        <f t="shared" si="1"/>
        <v>18218.02752</v>
      </c>
      <c r="R3" s="16">
        <f t="shared" si="2"/>
        <v>119429.29152</v>
      </c>
      <c r="S3" s="17" t="s">
        <v>59</v>
      </c>
      <c r="T3" s="18" t="s">
        <v>60</v>
      </c>
      <c r="U3" s="18"/>
    </row>
    <row r="4" spans="1:21" s="8" customFormat="1" ht="15.6" x14ac:dyDescent="0.3">
      <c r="A4" s="9">
        <v>239</v>
      </c>
      <c r="B4" s="10"/>
      <c r="C4" s="11"/>
      <c r="D4" s="10"/>
      <c r="E4" s="12"/>
      <c r="F4" s="12"/>
      <c r="G4" s="12"/>
      <c r="H4" s="12"/>
      <c r="I4" s="13" t="s">
        <v>57</v>
      </c>
      <c r="J4" s="13">
        <v>2884</v>
      </c>
      <c r="K4" s="13" t="s">
        <v>58</v>
      </c>
      <c r="L4" s="9" t="s">
        <v>43</v>
      </c>
      <c r="M4" s="14">
        <v>1.9160063999999999</v>
      </c>
      <c r="N4" s="14"/>
      <c r="O4" s="9">
        <v>64200</v>
      </c>
      <c r="P4" s="9">
        <f t="shared" si="0"/>
        <v>123007.61087999999</v>
      </c>
      <c r="Q4" s="15">
        <f t="shared" si="1"/>
        <v>22141.369958399999</v>
      </c>
      <c r="R4" s="16">
        <f t="shared" si="2"/>
        <v>145148.98083839999</v>
      </c>
      <c r="S4" s="17" t="s">
        <v>59</v>
      </c>
      <c r="T4" s="18" t="s">
        <v>60</v>
      </c>
      <c r="U4" s="18"/>
    </row>
    <row r="5" spans="1:21" s="8" customFormat="1" ht="15.6" x14ac:dyDescent="0.3">
      <c r="A5" s="9">
        <v>240</v>
      </c>
      <c r="B5" s="10"/>
      <c r="C5" s="11"/>
      <c r="D5" s="10"/>
      <c r="E5" s="12"/>
      <c r="F5" s="12"/>
      <c r="G5" s="12"/>
      <c r="H5" s="12"/>
      <c r="I5" s="13" t="s">
        <v>57</v>
      </c>
      <c r="J5" s="13">
        <v>2884</v>
      </c>
      <c r="K5" s="13" t="s">
        <v>58</v>
      </c>
      <c r="L5" s="9" t="s">
        <v>44</v>
      </c>
      <c r="M5" s="14">
        <v>2.2708224000000001</v>
      </c>
      <c r="N5" s="14"/>
      <c r="O5" s="9">
        <v>64200</v>
      </c>
      <c r="P5" s="9">
        <f t="shared" si="0"/>
        <v>145786.79808000001</v>
      </c>
      <c r="Q5" s="15">
        <f t="shared" si="1"/>
        <v>26241.623654400002</v>
      </c>
      <c r="R5" s="16">
        <f t="shared" si="2"/>
        <v>172028.42173440001</v>
      </c>
      <c r="S5" s="17" t="s">
        <v>59</v>
      </c>
      <c r="T5" s="18" t="s">
        <v>60</v>
      </c>
      <c r="U5" s="18"/>
    </row>
    <row r="6" spans="1:21" s="8" customFormat="1" ht="15.6" x14ac:dyDescent="0.3">
      <c r="A6" s="9">
        <v>241</v>
      </c>
      <c r="B6" s="9"/>
      <c r="C6" s="9"/>
      <c r="D6" s="10"/>
      <c r="E6" s="12"/>
      <c r="F6" s="12"/>
      <c r="G6" s="12"/>
      <c r="H6" s="12"/>
      <c r="I6" s="13" t="s">
        <v>57</v>
      </c>
      <c r="J6" s="13">
        <v>2884</v>
      </c>
      <c r="K6" s="13" t="s">
        <v>58</v>
      </c>
      <c r="L6" s="9" t="s">
        <v>45</v>
      </c>
      <c r="M6" s="14">
        <v>0.59135999999999989</v>
      </c>
      <c r="N6" s="14"/>
      <c r="O6" s="9">
        <v>63600</v>
      </c>
      <c r="P6" s="9">
        <f t="shared" si="0"/>
        <v>37610.495999999992</v>
      </c>
      <c r="Q6" s="15">
        <f t="shared" si="1"/>
        <v>6769.8892799999985</v>
      </c>
      <c r="R6" s="16">
        <f t="shared" si="2"/>
        <v>44380.385279999988</v>
      </c>
      <c r="S6" s="17" t="s">
        <v>59</v>
      </c>
      <c r="T6" s="18" t="s">
        <v>60</v>
      </c>
      <c r="U6" s="18"/>
    </row>
    <row r="7" spans="1:21" s="8" customFormat="1" ht="15.6" x14ac:dyDescent="0.3">
      <c r="A7" s="9">
        <v>277</v>
      </c>
      <c r="B7" s="10"/>
      <c r="C7" s="11"/>
      <c r="D7" s="10"/>
      <c r="E7" s="12"/>
      <c r="F7" s="12"/>
      <c r="G7" s="12"/>
      <c r="H7" s="12"/>
      <c r="I7" s="9" t="s">
        <v>61</v>
      </c>
      <c r="J7" s="9">
        <v>2982</v>
      </c>
      <c r="K7" s="13" t="s">
        <v>58</v>
      </c>
      <c r="L7" s="9" t="s">
        <v>42</v>
      </c>
      <c r="M7" s="14">
        <v>0.48047999999999996</v>
      </c>
      <c r="N7" s="14"/>
      <c r="O7" s="9">
        <v>65200</v>
      </c>
      <c r="P7" s="9">
        <f t="shared" si="0"/>
        <v>31327.295999999998</v>
      </c>
      <c r="Q7" s="15">
        <f t="shared" si="1"/>
        <v>5638.9132799999998</v>
      </c>
      <c r="R7" s="16">
        <f t="shared" si="2"/>
        <v>36966.209279999995</v>
      </c>
      <c r="S7" s="17" t="s">
        <v>59</v>
      </c>
      <c r="T7" s="18" t="s">
        <v>62</v>
      </c>
      <c r="U7" s="18"/>
    </row>
    <row r="8" spans="1:21" s="8" customFormat="1" ht="15.6" x14ac:dyDescent="0.3">
      <c r="A8" s="9">
        <v>278</v>
      </c>
      <c r="B8" s="10"/>
      <c r="C8" s="11"/>
      <c r="D8" s="10"/>
      <c r="E8" s="12"/>
      <c r="F8" s="12"/>
      <c r="G8" s="12"/>
      <c r="H8" s="12"/>
      <c r="I8" s="9" t="s">
        <v>61</v>
      </c>
      <c r="J8" s="9">
        <v>2982</v>
      </c>
      <c r="K8" s="13" t="s">
        <v>58</v>
      </c>
      <c r="L8" s="9" t="s">
        <v>43</v>
      </c>
      <c r="M8" s="14">
        <v>0.31933440000000002</v>
      </c>
      <c r="N8" s="14"/>
      <c r="O8" s="9">
        <v>64200</v>
      </c>
      <c r="P8" s="9">
        <f t="shared" si="0"/>
        <v>20501.268480000002</v>
      </c>
      <c r="Q8" s="15">
        <f t="shared" si="1"/>
        <v>3690.2283264000002</v>
      </c>
      <c r="R8" s="16">
        <f t="shared" si="2"/>
        <v>24191.496806400002</v>
      </c>
      <c r="S8" s="17" t="s">
        <v>59</v>
      </c>
      <c r="T8" s="18" t="s">
        <v>62</v>
      </c>
      <c r="U8" s="18"/>
    </row>
    <row r="9" spans="1:21" s="8" customFormat="1" ht="15.6" x14ac:dyDescent="0.3">
      <c r="A9" s="9">
        <v>279</v>
      </c>
      <c r="B9" s="10"/>
      <c r="C9" s="11"/>
      <c r="D9" s="10"/>
      <c r="E9" s="12"/>
      <c r="F9" s="12"/>
      <c r="G9" s="12"/>
      <c r="H9" s="12"/>
      <c r="I9" s="9" t="s">
        <v>61</v>
      </c>
      <c r="J9" s="9">
        <v>2982</v>
      </c>
      <c r="K9" s="13" t="s">
        <v>58</v>
      </c>
      <c r="L9" s="9" t="s">
        <v>44</v>
      </c>
      <c r="M9" s="14">
        <v>1.6084992</v>
      </c>
      <c r="N9" s="14"/>
      <c r="O9" s="9">
        <v>64200</v>
      </c>
      <c r="P9" s="9">
        <f t="shared" si="0"/>
        <v>103265.64864</v>
      </c>
      <c r="Q9" s="15">
        <f t="shared" si="1"/>
        <v>18587.816755199998</v>
      </c>
      <c r="R9" s="16">
        <f t="shared" si="2"/>
        <v>121853.46539519999</v>
      </c>
      <c r="S9" s="17" t="s">
        <v>59</v>
      </c>
      <c r="T9" s="18" t="s">
        <v>62</v>
      </c>
      <c r="U9" s="18"/>
    </row>
    <row r="10" spans="1:21" s="8" customFormat="1" ht="15.6" x14ac:dyDescent="0.3">
      <c r="A10" s="9">
        <v>280</v>
      </c>
      <c r="B10" s="9"/>
      <c r="C10" s="9"/>
      <c r="D10" s="10"/>
      <c r="E10" s="12"/>
      <c r="F10" s="12"/>
      <c r="G10" s="12"/>
      <c r="H10" s="12"/>
      <c r="I10" s="9" t="s">
        <v>61</v>
      </c>
      <c r="J10" s="9">
        <v>2982</v>
      </c>
      <c r="K10" s="13" t="s">
        <v>58</v>
      </c>
      <c r="L10" s="9" t="s">
        <v>45</v>
      </c>
      <c r="M10" s="14">
        <v>1.2418560000000001</v>
      </c>
      <c r="N10" s="14"/>
      <c r="O10" s="9">
        <v>63600</v>
      </c>
      <c r="P10" s="9">
        <f t="shared" si="0"/>
        <v>78982.041600000011</v>
      </c>
      <c r="Q10" s="15">
        <f t="shared" si="1"/>
        <v>14216.767488000001</v>
      </c>
      <c r="R10" s="16">
        <f t="shared" si="2"/>
        <v>93198.809088000009</v>
      </c>
      <c r="S10" s="17" t="s">
        <v>59</v>
      </c>
      <c r="T10" s="18" t="s">
        <v>62</v>
      </c>
      <c r="U10" s="18"/>
    </row>
    <row r="11" spans="1:21" s="8" customFormat="1" ht="15.6" x14ac:dyDescent="0.3">
      <c r="A11" s="9">
        <v>281</v>
      </c>
      <c r="B11" s="10"/>
      <c r="C11" s="11"/>
      <c r="D11" s="10"/>
      <c r="E11" s="12"/>
      <c r="F11" s="12"/>
      <c r="G11" s="12"/>
      <c r="H11" s="12"/>
      <c r="I11" s="9" t="s">
        <v>61</v>
      </c>
      <c r="J11" s="9">
        <v>2982</v>
      </c>
      <c r="K11" s="13" t="s">
        <v>58</v>
      </c>
      <c r="L11" s="9" t="s">
        <v>41</v>
      </c>
      <c r="M11" s="14">
        <v>0.94617600000000002</v>
      </c>
      <c r="N11" s="14"/>
      <c r="O11" s="9">
        <v>66700</v>
      </c>
      <c r="P11" s="9">
        <f t="shared" si="0"/>
        <v>63109.939200000001</v>
      </c>
      <c r="Q11" s="15">
        <f t="shared" si="1"/>
        <v>11359.789056</v>
      </c>
      <c r="R11" s="16">
        <f t="shared" si="2"/>
        <v>74469.728256000002</v>
      </c>
      <c r="S11" s="17" t="s">
        <v>59</v>
      </c>
      <c r="T11" s="18" t="s">
        <v>62</v>
      </c>
      <c r="U11" s="18"/>
    </row>
    <row r="12" spans="1:21" s="8" customFormat="1" ht="15.6" x14ac:dyDescent="0.3">
      <c r="A12" s="9">
        <v>310</v>
      </c>
      <c r="B12" s="10"/>
      <c r="C12" s="11"/>
      <c r="D12" s="10"/>
      <c r="E12" s="12"/>
      <c r="F12" s="12"/>
      <c r="G12" s="12"/>
      <c r="H12" s="12"/>
      <c r="I12" s="9" t="s">
        <v>63</v>
      </c>
      <c r="J12" s="9">
        <v>3653</v>
      </c>
      <c r="K12" s="13" t="s">
        <v>58</v>
      </c>
      <c r="L12" s="9" t="s">
        <v>41</v>
      </c>
      <c r="M12" s="14">
        <v>0.236544</v>
      </c>
      <c r="N12" s="14"/>
      <c r="O12" s="9">
        <v>66700</v>
      </c>
      <c r="P12" s="9">
        <f t="shared" si="0"/>
        <v>15777.4848</v>
      </c>
      <c r="Q12" s="15">
        <f t="shared" si="1"/>
        <v>2839.9472639999999</v>
      </c>
      <c r="R12" s="16">
        <f t="shared" si="2"/>
        <v>18617.432064000001</v>
      </c>
      <c r="S12" s="18" t="s">
        <v>64</v>
      </c>
      <c r="T12" s="18" t="s">
        <v>65</v>
      </c>
      <c r="U12" s="18"/>
    </row>
    <row r="13" spans="1:21" s="8" customFormat="1" ht="15.6" x14ac:dyDescent="0.3">
      <c r="A13" s="9">
        <v>311</v>
      </c>
      <c r="B13" s="10"/>
      <c r="C13" s="11"/>
      <c r="D13" s="10"/>
      <c r="E13" s="12"/>
      <c r="F13" s="12"/>
      <c r="G13" s="12"/>
      <c r="H13" s="12"/>
      <c r="I13" s="9" t="s">
        <v>63</v>
      </c>
      <c r="J13" s="9">
        <v>3653</v>
      </c>
      <c r="K13" s="13" t="s">
        <v>58</v>
      </c>
      <c r="L13" s="9" t="s">
        <v>42</v>
      </c>
      <c r="M13" s="14">
        <v>0.680064</v>
      </c>
      <c r="N13" s="14"/>
      <c r="O13" s="9">
        <v>65200</v>
      </c>
      <c r="P13" s="9">
        <f t="shared" si="0"/>
        <v>44340.1728</v>
      </c>
      <c r="Q13" s="15">
        <f t="shared" si="1"/>
        <v>7981.2311039999995</v>
      </c>
      <c r="R13" s="16">
        <f t="shared" si="2"/>
        <v>52321.403903999999</v>
      </c>
      <c r="S13" s="18" t="s">
        <v>64</v>
      </c>
      <c r="T13" s="18" t="s">
        <v>65</v>
      </c>
      <c r="U13" s="18"/>
    </row>
    <row r="14" spans="1:21" s="8" customFormat="1" ht="15.6" x14ac:dyDescent="0.3">
      <c r="A14" s="9">
        <v>312</v>
      </c>
      <c r="B14" s="10"/>
      <c r="C14" s="11"/>
      <c r="D14" s="10"/>
      <c r="E14" s="12"/>
      <c r="F14" s="12"/>
      <c r="G14" s="12"/>
      <c r="H14" s="12"/>
      <c r="I14" s="9" t="s">
        <v>63</v>
      </c>
      <c r="J14" s="9">
        <v>3653</v>
      </c>
      <c r="K14" s="13" t="s">
        <v>58</v>
      </c>
      <c r="L14" s="9" t="s">
        <v>43</v>
      </c>
      <c r="M14" s="14">
        <v>1.51151616</v>
      </c>
      <c r="N14" s="14"/>
      <c r="O14" s="9">
        <v>64200</v>
      </c>
      <c r="P14" s="9">
        <f t="shared" si="0"/>
        <v>97039.337471999999</v>
      </c>
      <c r="Q14" s="15">
        <f t="shared" si="1"/>
        <v>17467.08074496</v>
      </c>
      <c r="R14" s="16">
        <f t="shared" si="2"/>
        <v>114506.41821696</v>
      </c>
      <c r="S14" s="18" t="s">
        <v>64</v>
      </c>
      <c r="T14" s="18" t="s">
        <v>65</v>
      </c>
      <c r="U14" s="18"/>
    </row>
    <row r="15" spans="1:21" s="8" customFormat="1" ht="15.6" x14ac:dyDescent="0.3">
      <c r="A15" s="9">
        <v>313</v>
      </c>
      <c r="B15" s="10"/>
      <c r="C15" s="11"/>
      <c r="D15" s="10"/>
      <c r="E15" s="12"/>
      <c r="F15" s="12"/>
      <c r="G15" s="12"/>
      <c r="H15" s="12"/>
      <c r="I15" s="9" t="s">
        <v>63</v>
      </c>
      <c r="J15" s="9">
        <v>3653</v>
      </c>
      <c r="K15" s="13" t="s">
        <v>58</v>
      </c>
      <c r="L15" s="9" t="s">
        <v>44</v>
      </c>
      <c r="M15" s="14">
        <v>1.05971712</v>
      </c>
      <c r="N15" s="14"/>
      <c r="O15" s="9">
        <v>64200</v>
      </c>
      <c r="P15" s="9">
        <f t="shared" si="0"/>
        <v>68033.839103999999</v>
      </c>
      <c r="Q15" s="15">
        <f t="shared" si="1"/>
        <v>12246.09103872</v>
      </c>
      <c r="R15" s="16">
        <f t="shared" si="2"/>
        <v>80279.930142719997</v>
      </c>
      <c r="S15" s="18" t="s">
        <v>64</v>
      </c>
      <c r="T15" s="18" t="s">
        <v>65</v>
      </c>
      <c r="U15" s="18"/>
    </row>
    <row r="16" spans="1:21" s="8" customFormat="1" ht="15.6" x14ac:dyDescent="0.3">
      <c r="A16" s="9">
        <v>360</v>
      </c>
      <c r="B16" s="10"/>
      <c r="C16" s="11"/>
      <c r="D16" s="10"/>
      <c r="E16" s="12"/>
      <c r="F16" s="12"/>
      <c r="G16" s="12"/>
      <c r="H16" s="12"/>
      <c r="I16" s="9" t="s">
        <v>66</v>
      </c>
      <c r="J16" s="9">
        <v>3576</v>
      </c>
      <c r="K16" s="13" t="s">
        <v>58</v>
      </c>
      <c r="L16" s="9" t="s">
        <v>41</v>
      </c>
      <c r="M16" s="14">
        <v>0.71111111111111114</v>
      </c>
      <c r="N16" s="14"/>
      <c r="O16" s="9">
        <v>66700</v>
      </c>
      <c r="P16" s="9">
        <f t="shared" si="0"/>
        <v>47431.111111111109</v>
      </c>
      <c r="Q16" s="15">
        <f t="shared" si="1"/>
        <v>8537.5999999999985</v>
      </c>
      <c r="R16" s="16">
        <f t="shared" si="2"/>
        <v>55968.711111111108</v>
      </c>
      <c r="S16" s="18" t="s">
        <v>64</v>
      </c>
      <c r="T16" s="18" t="s">
        <v>67</v>
      </c>
      <c r="U16" s="18"/>
    </row>
    <row r="17" spans="1:21" s="8" customFormat="1" ht="15.6" x14ac:dyDescent="0.3">
      <c r="A17" s="9">
        <v>361</v>
      </c>
      <c r="B17" s="10"/>
      <c r="C17" s="11"/>
      <c r="D17" s="10"/>
      <c r="E17" s="12"/>
      <c r="F17" s="12"/>
      <c r="G17" s="12"/>
      <c r="H17" s="12"/>
      <c r="I17" s="9" t="s">
        <v>66</v>
      </c>
      <c r="J17" s="9">
        <v>3576</v>
      </c>
      <c r="K17" s="13" t="s">
        <v>58</v>
      </c>
      <c r="L17" s="9" t="s">
        <v>42</v>
      </c>
      <c r="M17" s="14">
        <v>0.22222222222222221</v>
      </c>
      <c r="N17" s="14"/>
      <c r="O17" s="9">
        <v>65200</v>
      </c>
      <c r="P17" s="9">
        <f t="shared" si="0"/>
        <v>14488.888888888889</v>
      </c>
      <c r="Q17" s="15">
        <f t="shared" si="1"/>
        <v>2608</v>
      </c>
      <c r="R17" s="16">
        <f t="shared" si="2"/>
        <v>17096.888888888891</v>
      </c>
      <c r="S17" s="18" t="s">
        <v>64</v>
      </c>
      <c r="T17" s="18" t="s">
        <v>67</v>
      </c>
      <c r="U17" s="18"/>
    </row>
    <row r="18" spans="1:21" s="8" customFormat="1" ht="15.6" x14ac:dyDescent="0.3">
      <c r="A18" s="9">
        <v>362</v>
      </c>
      <c r="B18" s="10"/>
      <c r="C18" s="11"/>
      <c r="D18" s="10"/>
      <c r="E18" s="12"/>
      <c r="F18" s="12"/>
      <c r="G18" s="12"/>
      <c r="H18" s="12"/>
      <c r="I18" s="9" t="s">
        <v>66</v>
      </c>
      <c r="J18" s="9">
        <v>3576</v>
      </c>
      <c r="K18" s="13" t="s">
        <v>58</v>
      </c>
      <c r="L18" s="9" t="s">
        <v>43</v>
      </c>
      <c r="M18" s="14">
        <v>1.0666666666666664</v>
      </c>
      <c r="N18" s="14"/>
      <c r="O18" s="9">
        <v>64200</v>
      </c>
      <c r="P18" s="9">
        <f t="shared" si="0"/>
        <v>68479.999999999985</v>
      </c>
      <c r="Q18" s="15">
        <f t="shared" si="1"/>
        <v>12326.399999999998</v>
      </c>
      <c r="R18" s="16">
        <f t="shared" si="2"/>
        <v>80806.39999999998</v>
      </c>
      <c r="S18" s="18" t="s">
        <v>64</v>
      </c>
      <c r="T18" s="18" t="s">
        <v>67</v>
      </c>
      <c r="U18" s="18"/>
    </row>
    <row r="19" spans="1:21" s="8" customFormat="1" ht="15.6" x14ac:dyDescent="0.3">
      <c r="A19" s="9">
        <v>363</v>
      </c>
      <c r="B19" s="10"/>
      <c r="C19" s="11"/>
      <c r="D19" s="10"/>
      <c r="E19" s="12"/>
      <c r="F19" s="12"/>
      <c r="G19" s="12"/>
      <c r="H19" s="12"/>
      <c r="I19" s="9" t="s">
        <v>66</v>
      </c>
      <c r="J19" s="9">
        <v>3576</v>
      </c>
      <c r="K19" s="13" t="s">
        <v>58</v>
      </c>
      <c r="L19" s="9" t="s">
        <v>44</v>
      </c>
      <c r="M19" s="14">
        <v>1.517037037037037</v>
      </c>
      <c r="N19" s="14"/>
      <c r="O19" s="9">
        <v>64200</v>
      </c>
      <c r="P19" s="9">
        <f t="shared" si="0"/>
        <v>97393.777777777766</v>
      </c>
      <c r="Q19" s="15">
        <f t="shared" si="1"/>
        <v>17530.879999999997</v>
      </c>
      <c r="R19" s="16">
        <f t="shared" si="2"/>
        <v>114924.65777777776</v>
      </c>
      <c r="S19" s="18" t="s">
        <v>64</v>
      </c>
      <c r="T19" s="18" t="s">
        <v>67</v>
      </c>
      <c r="U19" s="18"/>
    </row>
    <row r="20" spans="1:21" s="8" customFormat="1" ht="15.6" x14ac:dyDescent="0.3">
      <c r="A20" s="9">
        <v>364</v>
      </c>
      <c r="B20" s="9"/>
      <c r="C20" s="9"/>
      <c r="D20" s="10"/>
      <c r="E20" s="12"/>
      <c r="F20" s="12"/>
      <c r="G20" s="12"/>
      <c r="H20" s="12"/>
      <c r="I20" s="9" t="s">
        <v>66</v>
      </c>
      <c r="J20" s="9">
        <v>3576</v>
      </c>
      <c r="K20" s="13" t="s">
        <v>58</v>
      </c>
      <c r="L20" s="9" t="s">
        <v>45</v>
      </c>
      <c r="M20" s="19">
        <v>1.0666666666666664</v>
      </c>
      <c r="N20" s="19"/>
      <c r="O20" s="9">
        <v>61450</v>
      </c>
      <c r="P20" s="9">
        <f t="shared" si="0"/>
        <v>65546.666666666657</v>
      </c>
      <c r="Q20" s="15">
        <f t="shared" si="1"/>
        <v>11798.399999999998</v>
      </c>
      <c r="R20" s="16">
        <f t="shared" si="2"/>
        <v>77345.066666666651</v>
      </c>
      <c r="S20" s="18" t="s">
        <v>64</v>
      </c>
      <c r="T20" s="18" t="s">
        <v>67</v>
      </c>
      <c r="U20" s="18"/>
    </row>
    <row r="21" spans="1:21" s="8" customFormat="1" ht="15.6" x14ac:dyDescent="0.3">
      <c r="A21" s="9">
        <v>388</v>
      </c>
      <c r="B21" s="10"/>
      <c r="C21" s="11"/>
      <c r="D21" s="10"/>
      <c r="E21" s="12"/>
      <c r="F21" s="12"/>
      <c r="G21" s="12"/>
      <c r="H21" s="12"/>
      <c r="I21" s="9" t="s">
        <v>68</v>
      </c>
      <c r="J21" s="9">
        <v>3576</v>
      </c>
      <c r="K21" s="13" t="s">
        <v>58</v>
      </c>
      <c r="L21" s="9" t="s">
        <v>43</v>
      </c>
      <c r="M21" s="14">
        <v>3.7255679999999995</v>
      </c>
      <c r="N21" s="14"/>
      <c r="O21" s="9">
        <v>64200</v>
      </c>
      <c r="P21" s="9">
        <f t="shared" si="0"/>
        <v>239181.46559999997</v>
      </c>
      <c r="Q21" s="15">
        <f t="shared" si="1"/>
        <v>43052.66380799999</v>
      </c>
      <c r="R21" s="16">
        <f t="shared" si="2"/>
        <v>282234.12940799998</v>
      </c>
      <c r="S21" s="18" t="s">
        <v>69</v>
      </c>
      <c r="T21" s="18" t="s">
        <v>70</v>
      </c>
      <c r="U21" s="18"/>
    </row>
    <row r="22" spans="1:21" s="8" customFormat="1" ht="15.6" x14ac:dyDescent="0.3">
      <c r="A22" s="9">
        <v>389</v>
      </c>
      <c r="B22" s="9"/>
      <c r="C22" s="9"/>
      <c r="D22" s="10"/>
      <c r="E22" s="12"/>
      <c r="F22" s="12"/>
      <c r="G22" s="12"/>
      <c r="H22" s="12"/>
      <c r="I22" s="9" t="s">
        <v>68</v>
      </c>
      <c r="J22" s="9">
        <v>3576</v>
      </c>
      <c r="K22" s="13" t="s">
        <v>58</v>
      </c>
      <c r="L22" s="9" t="s">
        <v>45</v>
      </c>
      <c r="M22" s="19">
        <v>0.44351999999999997</v>
      </c>
      <c r="N22" s="19"/>
      <c r="O22" s="9">
        <v>61450</v>
      </c>
      <c r="P22" s="9">
        <f t="shared" si="0"/>
        <v>27254.303999999996</v>
      </c>
      <c r="Q22" s="15">
        <f t="shared" si="1"/>
        <v>4905.7747199999994</v>
      </c>
      <c r="R22" s="16">
        <f t="shared" si="2"/>
        <v>32160.078719999998</v>
      </c>
      <c r="S22" s="18" t="s">
        <v>69</v>
      </c>
      <c r="T22" s="18" t="s">
        <v>70</v>
      </c>
      <c r="U22" s="18"/>
    </row>
    <row r="23" spans="1:21" s="8" customFormat="1" ht="15.6" x14ac:dyDescent="0.3">
      <c r="A23" s="9">
        <v>390</v>
      </c>
      <c r="B23" s="10"/>
      <c r="C23" s="11"/>
      <c r="D23" s="10"/>
      <c r="E23" s="12"/>
      <c r="F23" s="12"/>
      <c r="G23" s="12"/>
      <c r="H23" s="12"/>
      <c r="I23" s="9" t="s">
        <v>71</v>
      </c>
      <c r="J23" s="9">
        <v>3834</v>
      </c>
      <c r="K23" s="13" t="s">
        <v>58</v>
      </c>
      <c r="L23" s="9" t="s">
        <v>41</v>
      </c>
      <c r="M23" s="19">
        <v>3.7847040000000001</v>
      </c>
      <c r="N23" s="19"/>
      <c r="O23" s="9">
        <v>63950</v>
      </c>
      <c r="P23" s="9">
        <f t="shared" si="0"/>
        <v>242031.82080000002</v>
      </c>
      <c r="Q23" s="15">
        <f t="shared" si="1"/>
        <v>43565.727744000003</v>
      </c>
      <c r="R23" s="16">
        <f t="shared" si="2"/>
        <v>285597.54854400002</v>
      </c>
      <c r="S23" s="18" t="s">
        <v>69</v>
      </c>
      <c r="T23" s="18" t="s">
        <v>72</v>
      </c>
      <c r="U23" s="18"/>
    </row>
    <row r="24" spans="1:21" s="8" customFormat="1" ht="15.6" x14ac:dyDescent="0.3">
      <c r="A24" s="9">
        <v>391</v>
      </c>
      <c r="B24" s="10"/>
      <c r="C24" s="11"/>
      <c r="D24" s="10"/>
      <c r="E24" s="12"/>
      <c r="F24" s="12"/>
      <c r="G24" s="12"/>
      <c r="H24" s="12"/>
      <c r="I24" s="9" t="s">
        <v>71</v>
      </c>
      <c r="J24" s="9">
        <v>3834</v>
      </c>
      <c r="K24" s="13" t="s">
        <v>58</v>
      </c>
      <c r="L24" s="9" t="s">
        <v>42</v>
      </c>
      <c r="M24" s="19">
        <v>0.73919999999999997</v>
      </c>
      <c r="N24" s="19"/>
      <c r="O24" s="9">
        <v>62450</v>
      </c>
      <c r="P24" s="9">
        <f t="shared" si="0"/>
        <v>46163.040000000001</v>
      </c>
      <c r="Q24" s="15">
        <f t="shared" si="1"/>
        <v>8309.3472000000002</v>
      </c>
      <c r="R24" s="16">
        <f t="shared" si="2"/>
        <v>54472.387199999997</v>
      </c>
      <c r="S24" s="18" t="s">
        <v>69</v>
      </c>
      <c r="T24" s="18" t="s">
        <v>70</v>
      </c>
      <c r="U24" s="18"/>
    </row>
    <row r="25" spans="1:21" s="8" customFormat="1" ht="15.6" x14ac:dyDescent="0.3">
      <c r="A25" s="9">
        <v>392</v>
      </c>
      <c r="B25" s="10"/>
      <c r="C25" s="11"/>
      <c r="D25" s="10"/>
      <c r="E25" s="12"/>
      <c r="F25" s="12"/>
      <c r="G25" s="12"/>
      <c r="H25" s="12"/>
      <c r="I25" s="9" t="s">
        <v>71</v>
      </c>
      <c r="J25" s="9">
        <v>3835</v>
      </c>
      <c r="K25" s="13" t="s">
        <v>58</v>
      </c>
      <c r="L25" s="9" t="s">
        <v>41</v>
      </c>
      <c r="M25" s="19">
        <v>0.71</v>
      </c>
      <c r="N25" s="19"/>
      <c r="O25" s="9">
        <v>63950</v>
      </c>
      <c r="P25" s="9">
        <f t="shared" si="0"/>
        <v>45404.5</v>
      </c>
      <c r="Q25" s="15">
        <f t="shared" si="1"/>
        <v>8172.8099999999995</v>
      </c>
      <c r="R25" s="16">
        <f t="shared" si="2"/>
        <v>53577.31</v>
      </c>
      <c r="S25" s="17" t="s">
        <v>64</v>
      </c>
      <c r="T25" s="18" t="s">
        <v>67</v>
      </c>
      <c r="U25" s="18"/>
    </row>
    <row r="26" spans="1:21" s="8" customFormat="1" ht="15.6" x14ac:dyDescent="0.3">
      <c r="A26" s="9">
        <v>431</v>
      </c>
      <c r="B26" s="10"/>
      <c r="C26" s="11"/>
      <c r="D26" s="12"/>
      <c r="E26" s="12"/>
      <c r="F26" s="12"/>
      <c r="G26" s="12"/>
      <c r="H26" s="12"/>
      <c r="I26" s="9" t="s">
        <v>73</v>
      </c>
      <c r="J26" s="9">
        <v>4296</v>
      </c>
      <c r="K26" s="13" t="s">
        <v>58</v>
      </c>
      <c r="L26" s="9" t="s">
        <v>43</v>
      </c>
      <c r="M26" s="19">
        <v>0.77704703999999991</v>
      </c>
      <c r="N26" s="19"/>
      <c r="O26" s="9">
        <v>62450</v>
      </c>
      <c r="P26" s="9">
        <f t="shared" si="0"/>
        <v>48526.587647999993</v>
      </c>
      <c r="Q26" s="15">
        <f t="shared" si="1"/>
        <v>8734.7857766399993</v>
      </c>
      <c r="R26" s="16">
        <f t="shared" si="2"/>
        <v>57261.373424639991</v>
      </c>
      <c r="S26" s="18" t="s">
        <v>69</v>
      </c>
      <c r="T26" s="18" t="s">
        <v>70</v>
      </c>
      <c r="U26" s="18"/>
    </row>
    <row r="27" spans="1:21" s="8" customFormat="1" ht="15.6" x14ac:dyDescent="0.3">
      <c r="A27" s="9">
        <v>432</v>
      </c>
      <c r="B27" s="10"/>
      <c r="C27" s="11"/>
      <c r="D27" s="12"/>
      <c r="E27" s="12"/>
      <c r="F27" s="12"/>
      <c r="G27" s="12"/>
      <c r="H27" s="12"/>
      <c r="I27" s="9" t="s">
        <v>73</v>
      </c>
      <c r="J27" s="9">
        <v>4296</v>
      </c>
      <c r="K27" s="13" t="s">
        <v>58</v>
      </c>
      <c r="L27" s="9" t="s">
        <v>44</v>
      </c>
      <c r="M27" s="19">
        <v>0.43524095999999995</v>
      </c>
      <c r="N27" s="19"/>
      <c r="O27" s="9">
        <v>61450</v>
      </c>
      <c r="P27" s="9">
        <f t="shared" si="0"/>
        <v>26745.556991999998</v>
      </c>
      <c r="Q27" s="15">
        <f t="shared" si="1"/>
        <v>4814.2002585599994</v>
      </c>
      <c r="R27" s="16">
        <f t="shared" si="2"/>
        <v>31559.757250559996</v>
      </c>
      <c r="S27" s="18" t="s">
        <v>69</v>
      </c>
      <c r="T27" s="18" t="s">
        <v>70</v>
      </c>
      <c r="U27" s="18"/>
    </row>
    <row r="28" spans="1:21" s="8" customFormat="1" ht="15.6" x14ac:dyDescent="0.3">
      <c r="A28" s="9">
        <v>473</v>
      </c>
      <c r="B28" s="10"/>
      <c r="C28" s="11"/>
      <c r="D28" s="12"/>
      <c r="E28" s="12"/>
      <c r="F28" s="12"/>
      <c r="G28" s="12"/>
      <c r="H28" s="12"/>
      <c r="I28" s="9" t="s">
        <v>74</v>
      </c>
      <c r="J28" s="9">
        <v>4497</v>
      </c>
      <c r="K28" s="13" t="s">
        <v>58</v>
      </c>
      <c r="L28" s="9" t="s">
        <v>43</v>
      </c>
      <c r="M28" s="14">
        <v>0.76600000000000001</v>
      </c>
      <c r="N28" s="14"/>
      <c r="O28" s="9">
        <v>64200</v>
      </c>
      <c r="P28" s="9">
        <f t="shared" si="0"/>
        <v>49177.200000000004</v>
      </c>
      <c r="Q28" s="15">
        <f t="shared" si="1"/>
        <v>8851.8960000000006</v>
      </c>
      <c r="R28" s="16">
        <f t="shared" si="2"/>
        <v>58029.096000000005</v>
      </c>
      <c r="S28" s="18" t="s">
        <v>69</v>
      </c>
      <c r="T28" s="18" t="s">
        <v>72</v>
      </c>
      <c r="U28" s="18"/>
    </row>
    <row r="29" spans="1:21" s="8" customFormat="1" ht="15.6" x14ac:dyDescent="0.3">
      <c r="A29" s="9">
        <v>483</v>
      </c>
      <c r="B29" s="10"/>
      <c r="C29" s="11"/>
      <c r="D29" s="12"/>
      <c r="E29" s="12"/>
      <c r="F29" s="12"/>
      <c r="G29" s="12"/>
      <c r="H29" s="12"/>
      <c r="I29" s="9" t="s">
        <v>75</v>
      </c>
      <c r="J29" s="9">
        <v>4198</v>
      </c>
      <c r="K29" s="13" t="s">
        <v>58</v>
      </c>
      <c r="L29" s="9" t="s">
        <v>42</v>
      </c>
      <c r="M29" s="14">
        <v>0.5174399999999999</v>
      </c>
      <c r="N29" s="19"/>
      <c r="O29" s="9">
        <v>62450</v>
      </c>
      <c r="P29" s="9">
        <f t="shared" si="0"/>
        <v>32314.127999999993</v>
      </c>
      <c r="Q29" s="15">
        <f t="shared" si="1"/>
        <v>5816.5430399999987</v>
      </c>
      <c r="R29" s="16">
        <f t="shared" si="2"/>
        <v>38130.671039999994</v>
      </c>
      <c r="S29" s="18" t="s">
        <v>69</v>
      </c>
      <c r="T29" s="18" t="s">
        <v>72</v>
      </c>
      <c r="U29" s="18"/>
    </row>
    <row r="30" spans="1:21" s="8" customFormat="1" ht="15.6" x14ac:dyDescent="0.3">
      <c r="A30" s="9">
        <v>484</v>
      </c>
      <c r="B30" s="10"/>
      <c r="C30" s="11"/>
      <c r="D30" s="12"/>
      <c r="E30" s="12"/>
      <c r="F30" s="12"/>
      <c r="G30" s="12"/>
      <c r="H30" s="12"/>
      <c r="I30" s="9" t="s">
        <v>75</v>
      </c>
      <c r="J30" s="9">
        <v>4198</v>
      </c>
      <c r="K30" s="13" t="s">
        <v>58</v>
      </c>
      <c r="L30" s="9" t="s">
        <v>43</v>
      </c>
      <c r="M30" s="14">
        <v>0.21288960000000001</v>
      </c>
      <c r="N30" s="14"/>
      <c r="O30" s="9">
        <v>64200</v>
      </c>
      <c r="P30" s="9">
        <f t="shared" si="0"/>
        <v>13667.512320000002</v>
      </c>
      <c r="Q30" s="15">
        <f t="shared" si="1"/>
        <v>2460.1522176000003</v>
      </c>
      <c r="R30" s="16">
        <f t="shared" si="2"/>
        <v>16127.664537600001</v>
      </c>
      <c r="S30" s="18" t="s">
        <v>69</v>
      </c>
      <c r="T30" s="18" t="s">
        <v>72</v>
      </c>
      <c r="U30" s="18"/>
    </row>
    <row r="31" spans="1:21" s="8" customFormat="1" ht="15.6" x14ac:dyDescent="0.3">
      <c r="A31" s="9">
        <v>485</v>
      </c>
      <c r="B31" s="10"/>
      <c r="C31" s="11"/>
      <c r="D31" s="12"/>
      <c r="E31" s="12"/>
      <c r="F31" s="12"/>
      <c r="G31" s="12"/>
      <c r="H31" s="12"/>
      <c r="I31" s="9" t="s">
        <v>75</v>
      </c>
      <c r="J31" s="9">
        <v>4198</v>
      </c>
      <c r="K31" s="13" t="s">
        <v>58</v>
      </c>
      <c r="L31" s="9" t="s">
        <v>44</v>
      </c>
      <c r="M31" s="14">
        <v>1.0407936</v>
      </c>
      <c r="N31" s="19"/>
      <c r="O31" s="9">
        <v>61450</v>
      </c>
      <c r="P31" s="9">
        <f t="shared" si="0"/>
        <v>63956.76672</v>
      </c>
      <c r="Q31" s="15">
        <f t="shared" si="1"/>
        <v>11512.218009599999</v>
      </c>
      <c r="R31" s="16">
        <f t="shared" si="2"/>
        <v>75468.984729599993</v>
      </c>
      <c r="S31" s="18" t="s">
        <v>69</v>
      </c>
      <c r="T31" s="18" t="s">
        <v>72</v>
      </c>
      <c r="U31" s="18"/>
    </row>
    <row r="32" spans="1:21" s="8" customFormat="1" ht="15.6" x14ac:dyDescent="0.3">
      <c r="A32" s="9">
        <v>526</v>
      </c>
      <c r="B32" s="10"/>
      <c r="C32" s="11"/>
      <c r="D32" s="12"/>
      <c r="E32" s="12"/>
      <c r="F32" s="12"/>
      <c r="G32" s="12"/>
      <c r="H32" s="12"/>
      <c r="I32" s="9" t="s">
        <v>76</v>
      </c>
      <c r="J32" s="9">
        <v>4867</v>
      </c>
      <c r="K32" s="13" t="s">
        <v>58</v>
      </c>
      <c r="L32" s="9" t="s">
        <v>42</v>
      </c>
      <c r="M32" s="19">
        <v>0.185</v>
      </c>
      <c r="N32" s="19"/>
      <c r="O32" s="9">
        <v>56600</v>
      </c>
      <c r="P32" s="9">
        <f t="shared" si="0"/>
        <v>10471</v>
      </c>
      <c r="Q32" s="15">
        <f t="shared" si="1"/>
        <v>1884.78</v>
      </c>
      <c r="R32" s="16">
        <f t="shared" si="2"/>
        <v>12355.78</v>
      </c>
      <c r="S32" s="18" t="s">
        <v>77</v>
      </c>
      <c r="T32" s="18" t="s">
        <v>78</v>
      </c>
      <c r="U32" s="18" t="s">
        <v>79</v>
      </c>
    </row>
    <row r="33" spans="1:21" s="8" customFormat="1" ht="15.6" x14ac:dyDescent="0.3">
      <c r="A33" s="9"/>
      <c r="B33" s="10"/>
      <c r="C33" s="11"/>
      <c r="D33" s="12"/>
      <c r="E33" s="12"/>
      <c r="F33" s="12"/>
      <c r="G33" s="12"/>
      <c r="H33" s="12"/>
      <c r="I33" s="9" t="s">
        <v>80</v>
      </c>
      <c r="J33" s="20">
        <v>5164</v>
      </c>
      <c r="K33" s="9" t="s">
        <v>58</v>
      </c>
      <c r="L33" s="9" t="s">
        <v>42</v>
      </c>
      <c r="M33" s="9">
        <v>2.0699999999999998</v>
      </c>
      <c r="N33" s="9"/>
      <c r="O33" s="9">
        <v>54250</v>
      </c>
      <c r="P33" s="9">
        <f t="shared" si="0"/>
        <v>112297.49999999999</v>
      </c>
      <c r="Q33" s="16">
        <f t="shared" si="1"/>
        <v>20213.549999999996</v>
      </c>
      <c r="R33" s="16">
        <f t="shared" si="2"/>
        <v>132511.04999999999</v>
      </c>
      <c r="S33" s="18" t="s">
        <v>64</v>
      </c>
      <c r="T33" s="18" t="s">
        <v>81</v>
      </c>
      <c r="U33" s="18" t="s">
        <v>82</v>
      </c>
    </row>
    <row r="34" spans="1:21" s="8" customFormat="1" ht="15.6" x14ac:dyDescent="0.3">
      <c r="A34" s="9"/>
      <c r="B34" s="10"/>
      <c r="C34" s="11"/>
      <c r="D34" s="12"/>
      <c r="E34" s="12"/>
      <c r="F34" s="12"/>
      <c r="G34" s="12"/>
      <c r="H34" s="12"/>
      <c r="I34" s="9" t="s">
        <v>80</v>
      </c>
      <c r="J34" s="20">
        <v>5164</v>
      </c>
      <c r="K34" s="9" t="s">
        <v>58</v>
      </c>
      <c r="L34" s="9" t="s">
        <v>43</v>
      </c>
      <c r="M34" s="9">
        <v>1.597</v>
      </c>
      <c r="N34" s="9"/>
      <c r="O34" s="9">
        <v>56550</v>
      </c>
      <c r="P34" s="9">
        <f t="shared" si="0"/>
        <v>90310.35</v>
      </c>
      <c r="Q34" s="16">
        <f t="shared" si="1"/>
        <v>16255.863000000001</v>
      </c>
      <c r="R34" s="16">
        <f t="shared" si="2"/>
        <v>106566.213</v>
      </c>
      <c r="S34" s="18" t="s">
        <v>64</v>
      </c>
      <c r="T34" s="18" t="s">
        <v>81</v>
      </c>
      <c r="U34" s="18" t="s">
        <v>82</v>
      </c>
    </row>
    <row r="35" spans="1:21" s="8" customFormat="1" ht="15.6" x14ac:dyDescent="0.3">
      <c r="A35" s="9"/>
      <c r="B35" s="10"/>
      <c r="C35" s="11"/>
      <c r="D35" s="12"/>
      <c r="E35" s="12"/>
      <c r="F35" s="12"/>
      <c r="G35" s="12"/>
      <c r="H35" s="12"/>
      <c r="I35" s="9" t="s">
        <v>80</v>
      </c>
      <c r="J35" s="20">
        <v>5164</v>
      </c>
      <c r="K35" s="9" t="s">
        <v>58</v>
      </c>
      <c r="L35" s="9" t="s">
        <v>45</v>
      </c>
      <c r="M35" s="9">
        <v>0.94599999999999995</v>
      </c>
      <c r="N35" s="9"/>
      <c r="O35" s="9">
        <v>55600</v>
      </c>
      <c r="P35" s="9">
        <f t="shared" si="0"/>
        <v>52597.599999999999</v>
      </c>
      <c r="Q35" s="16">
        <f t="shared" si="1"/>
        <v>9467.5679999999993</v>
      </c>
      <c r="R35" s="16">
        <f t="shared" si="2"/>
        <v>62065.167999999998</v>
      </c>
      <c r="S35" s="18" t="s">
        <v>64</v>
      </c>
      <c r="T35" s="18" t="s">
        <v>81</v>
      </c>
      <c r="U35" s="18" t="s">
        <v>82</v>
      </c>
    </row>
    <row r="36" spans="1:21" s="8" customFormat="1" ht="15.6" x14ac:dyDescent="0.3">
      <c r="A36" s="9"/>
      <c r="B36" s="10"/>
      <c r="C36" s="11"/>
      <c r="D36" s="12"/>
      <c r="E36" s="12"/>
      <c r="F36" s="12"/>
      <c r="G36" s="12"/>
      <c r="H36" s="12"/>
      <c r="I36" s="9" t="s">
        <v>83</v>
      </c>
      <c r="J36" s="20">
        <v>5832</v>
      </c>
      <c r="K36" s="9" t="s">
        <v>58</v>
      </c>
      <c r="L36" s="9" t="s">
        <v>42</v>
      </c>
      <c r="M36" s="9">
        <v>0.29599999999999999</v>
      </c>
      <c r="N36" s="9"/>
      <c r="O36" s="9">
        <v>58250</v>
      </c>
      <c r="P36" s="9">
        <f t="shared" si="0"/>
        <v>17242</v>
      </c>
      <c r="Q36" s="16">
        <f t="shared" si="1"/>
        <v>3103.56</v>
      </c>
      <c r="R36" s="16">
        <f t="shared" si="2"/>
        <v>20345.560000000001</v>
      </c>
      <c r="S36" s="18" t="s">
        <v>64</v>
      </c>
      <c r="T36" s="18" t="s">
        <v>81</v>
      </c>
      <c r="U36" s="18" t="s">
        <v>82</v>
      </c>
    </row>
    <row r="37" spans="1:21" s="8" customFormat="1" ht="15.6" x14ac:dyDescent="0.3">
      <c r="A37" s="9"/>
      <c r="B37" s="10"/>
      <c r="C37" s="11"/>
      <c r="D37" s="12"/>
      <c r="E37" s="12"/>
      <c r="F37" s="12"/>
      <c r="G37" s="12"/>
      <c r="H37" s="12"/>
      <c r="I37" s="9" t="s">
        <v>83</v>
      </c>
      <c r="J37" s="20">
        <v>5832</v>
      </c>
      <c r="K37" s="9" t="s">
        <v>58</v>
      </c>
      <c r="L37" s="9" t="s">
        <v>43</v>
      </c>
      <c r="M37" s="9">
        <v>0.38300000000000001</v>
      </c>
      <c r="N37" s="9"/>
      <c r="O37" s="9">
        <v>57250</v>
      </c>
      <c r="P37" s="9">
        <f t="shared" si="0"/>
        <v>21926.75</v>
      </c>
      <c r="Q37" s="16">
        <f t="shared" si="1"/>
        <v>3946.8150000000001</v>
      </c>
      <c r="R37" s="16">
        <f t="shared" si="2"/>
        <v>25873.564999999999</v>
      </c>
      <c r="S37" s="18" t="s">
        <v>64</v>
      </c>
      <c r="T37" s="18" t="s">
        <v>81</v>
      </c>
      <c r="U37" s="18" t="s">
        <v>82</v>
      </c>
    </row>
    <row r="38" spans="1:21" s="8" customFormat="1" ht="15.6" x14ac:dyDescent="0.3">
      <c r="A38" s="9"/>
      <c r="B38" s="10"/>
      <c r="C38" s="11"/>
      <c r="D38" s="12"/>
      <c r="E38" s="12"/>
      <c r="F38" s="12"/>
      <c r="G38" s="12"/>
      <c r="H38" s="12"/>
      <c r="I38" s="9" t="s">
        <v>83</v>
      </c>
      <c r="J38" s="20">
        <v>5832</v>
      </c>
      <c r="K38" s="9" t="s">
        <v>58</v>
      </c>
      <c r="L38" s="9" t="s">
        <v>44</v>
      </c>
      <c r="M38" s="9">
        <v>0.378</v>
      </c>
      <c r="N38" s="9"/>
      <c r="O38" s="9">
        <v>57250</v>
      </c>
      <c r="P38" s="9">
        <f t="shared" si="0"/>
        <v>21640.5</v>
      </c>
      <c r="Q38" s="16">
        <f t="shared" si="1"/>
        <v>3895.29</v>
      </c>
      <c r="R38" s="16">
        <f t="shared" si="2"/>
        <v>25535.79</v>
      </c>
      <c r="S38" s="18" t="s">
        <v>64</v>
      </c>
      <c r="T38" s="18" t="s">
        <v>81</v>
      </c>
      <c r="U38" s="18" t="s">
        <v>82</v>
      </c>
    </row>
    <row r="39" spans="1:21" s="8" customFormat="1" ht="15.6" x14ac:dyDescent="0.3">
      <c r="A39" s="9"/>
      <c r="B39" s="10"/>
      <c r="C39" s="11"/>
      <c r="D39" s="12"/>
      <c r="E39" s="12"/>
      <c r="F39" s="12"/>
      <c r="G39" s="12"/>
      <c r="H39" s="12"/>
      <c r="I39" s="9" t="s">
        <v>84</v>
      </c>
      <c r="J39" s="20">
        <v>5775</v>
      </c>
      <c r="K39" s="9" t="s">
        <v>58</v>
      </c>
      <c r="L39" s="9" t="s">
        <v>41</v>
      </c>
      <c r="M39" s="9">
        <v>0.94599999999999995</v>
      </c>
      <c r="N39" s="9"/>
      <c r="O39" s="9">
        <v>58600</v>
      </c>
      <c r="P39" s="9">
        <f t="shared" si="0"/>
        <v>55435.6</v>
      </c>
      <c r="Q39" s="16">
        <f t="shared" si="1"/>
        <v>9978.4079999999994</v>
      </c>
      <c r="R39" s="41">
        <f t="shared" si="2"/>
        <v>65414.008000000002</v>
      </c>
      <c r="S39" s="18" t="s">
        <v>64</v>
      </c>
      <c r="T39" s="18"/>
      <c r="U39" s="18"/>
    </row>
    <row r="40" spans="1:21" s="8" customFormat="1" ht="15.6" x14ac:dyDescent="0.3">
      <c r="A40" s="9"/>
      <c r="B40" s="10"/>
      <c r="C40" s="11"/>
      <c r="D40" s="12"/>
      <c r="E40" s="12"/>
      <c r="F40" s="12"/>
      <c r="G40" s="12"/>
      <c r="H40" s="12"/>
      <c r="I40" s="9" t="s">
        <v>84</v>
      </c>
      <c r="J40" s="20">
        <v>5775</v>
      </c>
      <c r="K40" s="9" t="s">
        <v>58</v>
      </c>
      <c r="L40" s="9" t="s">
        <v>42</v>
      </c>
      <c r="M40" s="9">
        <v>0.29599999999999999</v>
      </c>
      <c r="N40" s="9"/>
      <c r="O40" s="9">
        <v>57100</v>
      </c>
      <c r="P40" s="9">
        <f t="shared" si="0"/>
        <v>16901.599999999999</v>
      </c>
      <c r="Q40" s="16">
        <f t="shared" si="1"/>
        <v>3042.2879999999996</v>
      </c>
      <c r="R40" s="41">
        <f t="shared" si="2"/>
        <v>19943.887999999999</v>
      </c>
      <c r="S40" s="18" t="s">
        <v>64</v>
      </c>
      <c r="T40" s="18"/>
      <c r="U40" s="18"/>
    </row>
    <row r="41" spans="1:21" x14ac:dyDescent="0.3">
      <c r="R41" s="39">
        <f>SUM(R2:R40)</f>
        <v>2954616.0160169234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topLeftCell="A7" workbookViewId="0">
      <selection activeCell="J23" sqref="J23"/>
    </sheetView>
  </sheetViews>
  <sheetFormatPr defaultColWidth="9.109375" defaultRowHeight="14.4" x14ac:dyDescent="0.3"/>
  <cols>
    <col min="1" max="1" width="5.88671875" customWidth="1"/>
    <col min="2" max="2" width="11.5546875" customWidth="1"/>
    <col min="3" max="3" width="10.33203125" customWidth="1"/>
    <col min="4" max="4" width="35.109375" customWidth="1"/>
    <col min="5" max="5" width="12" customWidth="1"/>
    <col min="6" max="6" width="10.109375" customWidth="1"/>
    <col min="7" max="8" width="11.44140625" customWidth="1"/>
    <col min="9" max="9" width="12.109375" customWidth="1"/>
    <col min="10" max="10" width="12.5546875" customWidth="1"/>
    <col min="11" max="11" width="22" customWidth="1"/>
    <col min="12" max="12" width="16.109375" customWidth="1"/>
    <col min="13" max="13" width="26.88671875" customWidth="1"/>
    <col min="14" max="14" width="34.6640625" customWidth="1"/>
    <col min="15" max="15" width="33.33203125" customWidth="1"/>
  </cols>
  <sheetData>
    <row r="1" spans="1:16" s="8" customFormat="1" ht="31.8" thickBot="1" x14ac:dyDescent="0.35">
      <c r="A1" s="21" t="s">
        <v>51</v>
      </c>
      <c r="B1" s="22" t="s">
        <v>46</v>
      </c>
      <c r="C1" s="22" t="s">
        <v>47</v>
      </c>
      <c r="D1" s="23" t="s">
        <v>48</v>
      </c>
      <c r="E1" s="22" t="s">
        <v>85</v>
      </c>
      <c r="F1" s="22" t="s">
        <v>86</v>
      </c>
      <c r="G1" s="22" t="s">
        <v>87</v>
      </c>
      <c r="H1" s="22"/>
      <c r="I1" s="22" t="s">
        <v>88</v>
      </c>
      <c r="J1" s="22" t="s">
        <v>53</v>
      </c>
      <c r="K1" s="24" t="s">
        <v>89</v>
      </c>
      <c r="L1" s="24" t="s">
        <v>55</v>
      </c>
      <c r="M1" s="25" t="s">
        <v>56</v>
      </c>
    </row>
    <row r="2" spans="1:16" s="8" customFormat="1" ht="15.6" x14ac:dyDescent="0.3">
      <c r="A2" s="9">
        <v>286</v>
      </c>
      <c r="B2" s="26" t="s">
        <v>90</v>
      </c>
      <c r="C2" s="9">
        <v>4021</v>
      </c>
      <c r="D2" s="9" t="s">
        <v>91</v>
      </c>
      <c r="E2" s="27">
        <v>50</v>
      </c>
      <c r="F2" s="9">
        <f t="shared" ref="F2:F22" si="0">E2*50/1000</f>
        <v>2.5</v>
      </c>
      <c r="G2" s="9">
        <v>5859.38</v>
      </c>
      <c r="H2" s="28">
        <f t="shared" ref="H2:H22" si="1">F2*G2</f>
        <v>14648.45</v>
      </c>
      <c r="I2" s="28">
        <f t="shared" ref="I2:I22" si="2">(F2*G2)*28%</f>
        <v>4101.5660000000007</v>
      </c>
      <c r="J2" s="29">
        <f t="shared" ref="J2:J22" si="3">(F2*G2)+I2</f>
        <v>18750.016000000003</v>
      </c>
      <c r="K2" s="18" t="s">
        <v>92</v>
      </c>
      <c r="L2" s="18" t="s">
        <v>70</v>
      </c>
      <c r="M2" s="18"/>
      <c r="P2" s="30"/>
    </row>
    <row r="3" spans="1:16" s="8" customFormat="1" ht="15.6" x14ac:dyDescent="0.3">
      <c r="A3" s="9">
        <v>287</v>
      </c>
      <c r="B3" s="26" t="s">
        <v>90</v>
      </c>
      <c r="C3" s="9">
        <v>4022</v>
      </c>
      <c r="D3" s="9" t="s">
        <v>91</v>
      </c>
      <c r="E3" s="27">
        <v>50</v>
      </c>
      <c r="F3" s="9">
        <f t="shared" si="0"/>
        <v>2.5</v>
      </c>
      <c r="G3" s="9">
        <v>5859.38</v>
      </c>
      <c r="H3" s="28">
        <f t="shared" si="1"/>
        <v>14648.45</v>
      </c>
      <c r="I3" s="28">
        <f t="shared" si="2"/>
        <v>4101.5660000000007</v>
      </c>
      <c r="J3" s="29">
        <f t="shared" si="3"/>
        <v>18750.016000000003</v>
      </c>
      <c r="K3" s="18" t="s">
        <v>92</v>
      </c>
      <c r="L3" s="18" t="s">
        <v>70</v>
      </c>
      <c r="M3" s="18"/>
      <c r="P3" s="30"/>
    </row>
    <row r="4" spans="1:16" s="8" customFormat="1" ht="15.6" x14ac:dyDescent="0.3">
      <c r="A4" s="9">
        <v>292</v>
      </c>
      <c r="B4" s="26" t="s">
        <v>93</v>
      </c>
      <c r="C4" s="9">
        <v>3952</v>
      </c>
      <c r="D4" s="9" t="s">
        <v>91</v>
      </c>
      <c r="E4" s="27">
        <v>100</v>
      </c>
      <c r="F4" s="9">
        <f t="shared" si="0"/>
        <v>5</v>
      </c>
      <c r="G4" s="9">
        <v>5859.38</v>
      </c>
      <c r="H4" s="28">
        <f t="shared" si="1"/>
        <v>29296.9</v>
      </c>
      <c r="I4" s="28">
        <f t="shared" si="2"/>
        <v>8203.1320000000014</v>
      </c>
      <c r="J4" s="29">
        <f t="shared" si="3"/>
        <v>37500.032000000007</v>
      </c>
      <c r="K4" s="18" t="s">
        <v>64</v>
      </c>
      <c r="L4" s="18" t="s">
        <v>67</v>
      </c>
      <c r="M4" s="18"/>
      <c r="P4" s="30"/>
    </row>
    <row r="5" spans="1:16" s="8" customFormat="1" ht="15.6" x14ac:dyDescent="0.3">
      <c r="A5" s="9">
        <v>331</v>
      </c>
      <c r="B5" s="26" t="s">
        <v>94</v>
      </c>
      <c r="C5" s="9">
        <v>4329</v>
      </c>
      <c r="D5" s="9" t="s">
        <v>91</v>
      </c>
      <c r="E5" s="31">
        <v>60</v>
      </c>
      <c r="F5" s="32">
        <f t="shared" si="0"/>
        <v>3</v>
      </c>
      <c r="G5" s="9">
        <v>5625</v>
      </c>
      <c r="H5" s="32">
        <f t="shared" si="1"/>
        <v>16875</v>
      </c>
      <c r="I5" s="32">
        <f t="shared" si="2"/>
        <v>4725</v>
      </c>
      <c r="J5" s="33">
        <f t="shared" si="3"/>
        <v>21600</v>
      </c>
      <c r="K5" s="18" t="s">
        <v>64</v>
      </c>
      <c r="L5" s="18" t="s">
        <v>95</v>
      </c>
      <c r="M5" s="34" t="s">
        <v>96</v>
      </c>
    </row>
    <row r="6" spans="1:16" s="8" customFormat="1" ht="15.6" x14ac:dyDescent="0.3">
      <c r="A6" s="9">
        <v>334</v>
      </c>
      <c r="B6" s="26" t="s">
        <v>94</v>
      </c>
      <c r="C6" s="9">
        <v>4332</v>
      </c>
      <c r="D6" s="9" t="s">
        <v>91</v>
      </c>
      <c r="E6" s="27">
        <v>200</v>
      </c>
      <c r="F6" s="32">
        <f t="shared" si="0"/>
        <v>10</v>
      </c>
      <c r="G6" s="9">
        <v>5625</v>
      </c>
      <c r="H6" s="32">
        <f t="shared" si="1"/>
        <v>56250</v>
      </c>
      <c r="I6" s="32">
        <f t="shared" si="2"/>
        <v>15750.000000000002</v>
      </c>
      <c r="J6" s="33">
        <f t="shared" si="3"/>
        <v>72000</v>
      </c>
      <c r="K6" s="18" t="s">
        <v>92</v>
      </c>
      <c r="L6" s="18" t="s">
        <v>70</v>
      </c>
      <c r="M6" s="18"/>
    </row>
    <row r="7" spans="1:16" s="8" customFormat="1" ht="15.6" x14ac:dyDescent="0.3">
      <c r="A7" s="9">
        <v>353</v>
      </c>
      <c r="B7" s="26" t="s">
        <v>75</v>
      </c>
      <c r="C7" s="9">
        <v>4198</v>
      </c>
      <c r="D7" s="9" t="s">
        <v>91</v>
      </c>
      <c r="E7" s="31">
        <v>125</v>
      </c>
      <c r="F7" s="32">
        <f t="shared" si="0"/>
        <v>6.25</v>
      </c>
      <c r="G7" s="9">
        <v>5625</v>
      </c>
      <c r="H7" s="32">
        <f t="shared" si="1"/>
        <v>35156.25</v>
      </c>
      <c r="I7" s="32">
        <f t="shared" si="2"/>
        <v>9843.7500000000018</v>
      </c>
      <c r="J7" s="33">
        <f t="shared" si="3"/>
        <v>45000</v>
      </c>
      <c r="K7" s="18" t="s">
        <v>92</v>
      </c>
      <c r="L7" s="18" t="s">
        <v>70</v>
      </c>
      <c r="M7" s="18"/>
    </row>
    <row r="8" spans="1:16" s="8" customFormat="1" ht="15.6" x14ac:dyDescent="0.3">
      <c r="A8" s="9">
        <v>360</v>
      </c>
      <c r="B8" s="26" t="s">
        <v>97</v>
      </c>
      <c r="C8" s="9">
        <v>4219</v>
      </c>
      <c r="D8" s="9" t="s">
        <v>91</v>
      </c>
      <c r="E8" s="27">
        <v>200</v>
      </c>
      <c r="F8" s="9">
        <f t="shared" si="0"/>
        <v>10</v>
      </c>
      <c r="G8" s="9">
        <v>5625</v>
      </c>
      <c r="H8" s="32">
        <f t="shared" si="1"/>
        <v>56250</v>
      </c>
      <c r="I8" s="32">
        <f t="shared" si="2"/>
        <v>15750.000000000002</v>
      </c>
      <c r="J8" s="33">
        <f t="shared" si="3"/>
        <v>72000</v>
      </c>
      <c r="K8" s="18" t="s">
        <v>92</v>
      </c>
      <c r="L8" s="18" t="s">
        <v>72</v>
      </c>
      <c r="M8" s="18"/>
    </row>
    <row r="9" spans="1:16" s="8" customFormat="1" ht="15.6" x14ac:dyDescent="0.3">
      <c r="A9" s="9">
        <v>401</v>
      </c>
      <c r="B9" s="26" t="s">
        <v>76</v>
      </c>
      <c r="C9" s="9">
        <v>4867</v>
      </c>
      <c r="D9" s="9" t="s">
        <v>91</v>
      </c>
      <c r="E9" s="35">
        <v>200</v>
      </c>
      <c r="F9" s="9">
        <f t="shared" si="0"/>
        <v>10</v>
      </c>
      <c r="G9" s="9">
        <v>5625</v>
      </c>
      <c r="H9" s="32">
        <f t="shared" si="1"/>
        <v>56250</v>
      </c>
      <c r="I9" s="32">
        <f t="shared" si="2"/>
        <v>15750.000000000002</v>
      </c>
      <c r="J9" s="33">
        <f t="shared" si="3"/>
        <v>72000</v>
      </c>
      <c r="K9" s="18" t="s">
        <v>92</v>
      </c>
      <c r="L9" s="18" t="s">
        <v>78</v>
      </c>
      <c r="M9" s="18" t="s">
        <v>98</v>
      </c>
    </row>
    <row r="10" spans="1:16" s="8" customFormat="1" ht="15.6" x14ac:dyDescent="0.3">
      <c r="A10" s="9">
        <v>453</v>
      </c>
      <c r="B10" s="26" t="s">
        <v>99</v>
      </c>
      <c r="C10" s="9">
        <v>5066</v>
      </c>
      <c r="D10" s="9" t="s">
        <v>91</v>
      </c>
      <c r="E10" s="27">
        <v>60</v>
      </c>
      <c r="F10" s="9">
        <f t="shared" si="0"/>
        <v>3</v>
      </c>
      <c r="G10" s="9">
        <v>5703.13</v>
      </c>
      <c r="H10" s="32">
        <f t="shared" si="1"/>
        <v>17109.39</v>
      </c>
      <c r="I10" s="32">
        <f t="shared" si="2"/>
        <v>4790.6292000000003</v>
      </c>
      <c r="J10" s="33">
        <f t="shared" si="3"/>
        <v>21900.019199999999</v>
      </c>
      <c r="K10" s="18" t="s">
        <v>92</v>
      </c>
      <c r="L10" s="18" t="s">
        <v>100</v>
      </c>
      <c r="M10" s="18" t="s">
        <v>101</v>
      </c>
    </row>
    <row r="11" spans="1:16" s="8" customFormat="1" ht="15.6" x14ac:dyDescent="0.3">
      <c r="A11" s="9">
        <v>458</v>
      </c>
      <c r="B11" s="26" t="s">
        <v>102</v>
      </c>
      <c r="C11" s="9">
        <v>5112</v>
      </c>
      <c r="D11" s="9" t="s">
        <v>91</v>
      </c>
      <c r="E11" s="27">
        <v>60</v>
      </c>
      <c r="F11" s="9">
        <f t="shared" si="0"/>
        <v>3</v>
      </c>
      <c r="G11" s="18">
        <v>5937.5</v>
      </c>
      <c r="H11" s="18">
        <f t="shared" si="1"/>
        <v>17812.5</v>
      </c>
      <c r="I11" s="18">
        <f t="shared" si="2"/>
        <v>4987.5000000000009</v>
      </c>
      <c r="J11" s="18">
        <f t="shared" si="3"/>
        <v>22800</v>
      </c>
      <c r="K11" s="18" t="s">
        <v>64</v>
      </c>
      <c r="L11" s="18" t="s">
        <v>81</v>
      </c>
      <c r="M11" s="18" t="s">
        <v>82</v>
      </c>
    </row>
    <row r="12" spans="1:16" s="8" customFormat="1" ht="15.6" x14ac:dyDescent="0.3">
      <c r="A12" s="9">
        <v>460</v>
      </c>
      <c r="B12" s="26" t="s">
        <v>102</v>
      </c>
      <c r="C12" s="9">
        <v>5109</v>
      </c>
      <c r="D12" s="9" t="s">
        <v>91</v>
      </c>
      <c r="E12" s="27">
        <v>50</v>
      </c>
      <c r="F12" s="9">
        <f t="shared" si="0"/>
        <v>2.5</v>
      </c>
      <c r="G12" s="18">
        <v>5937.5</v>
      </c>
      <c r="H12" s="18">
        <f t="shared" si="1"/>
        <v>14843.75</v>
      </c>
      <c r="I12" s="18">
        <f t="shared" si="2"/>
        <v>4156.25</v>
      </c>
      <c r="J12" s="18">
        <f t="shared" si="3"/>
        <v>19000</v>
      </c>
      <c r="K12" s="18" t="s">
        <v>64</v>
      </c>
      <c r="L12" s="18" t="s">
        <v>81</v>
      </c>
      <c r="M12" s="18" t="s">
        <v>82</v>
      </c>
    </row>
    <row r="13" spans="1:16" s="8" customFormat="1" ht="15.6" x14ac:dyDescent="0.3">
      <c r="A13" s="9">
        <v>479</v>
      </c>
      <c r="B13" s="26" t="s">
        <v>103</v>
      </c>
      <c r="C13" s="9">
        <v>5188</v>
      </c>
      <c r="D13" s="9" t="s">
        <v>91</v>
      </c>
      <c r="E13" s="27">
        <v>100</v>
      </c>
      <c r="F13" s="9">
        <f t="shared" si="0"/>
        <v>5</v>
      </c>
      <c r="G13" s="32">
        <v>5859.38</v>
      </c>
      <c r="H13" s="36">
        <f t="shared" si="1"/>
        <v>29296.9</v>
      </c>
      <c r="I13" s="36">
        <f t="shared" si="2"/>
        <v>8203.1320000000014</v>
      </c>
      <c r="J13" s="37">
        <f t="shared" si="3"/>
        <v>37500.032000000007</v>
      </c>
      <c r="K13" s="18" t="s">
        <v>92</v>
      </c>
      <c r="L13" s="18" t="s">
        <v>100</v>
      </c>
      <c r="M13" s="18" t="s">
        <v>101</v>
      </c>
    </row>
    <row r="14" spans="1:16" s="8" customFormat="1" ht="15.6" x14ac:dyDescent="0.3">
      <c r="A14" s="9">
        <v>492</v>
      </c>
      <c r="B14" s="26" t="s">
        <v>104</v>
      </c>
      <c r="C14" s="9">
        <v>5209</v>
      </c>
      <c r="D14" s="9" t="s">
        <v>91</v>
      </c>
      <c r="E14" s="27">
        <v>50</v>
      </c>
      <c r="F14" s="9">
        <f t="shared" si="0"/>
        <v>2.5</v>
      </c>
      <c r="G14" s="32">
        <v>5859.38</v>
      </c>
      <c r="H14" s="36">
        <f t="shared" si="1"/>
        <v>14648.45</v>
      </c>
      <c r="I14" s="36">
        <f t="shared" si="2"/>
        <v>4101.5660000000007</v>
      </c>
      <c r="J14" s="37">
        <f t="shared" si="3"/>
        <v>18750.016000000003</v>
      </c>
      <c r="K14" s="18" t="s">
        <v>64</v>
      </c>
      <c r="L14" s="18" t="s">
        <v>81</v>
      </c>
      <c r="M14" s="18" t="s">
        <v>82</v>
      </c>
    </row>
    <row r="15" spans="1:16" s="8" customFormat="1" ht="15.6" x14ac:dyDescent="0.3">
      <c r="A15" s="9">
        <v>495</v>
      </c>
      <c r="B15" s="26" t="s">
        <v>105</v>
      </c>
      <c r="C15" s="9">
        <v>5255</v>
      </c>
      <c r="D15" s="9" t="s">
        <v>91</v>
      </c>
      <c r="E15" s="27">
        <v>50</v>
      </c>
      <c r="F15" s="9">
        <f t="shared" si="0"/>
        <v>2.5</v>
      </c>
      <c r="G15" s="32">
        <v>5859.38</v>
      </c>
      <c r="H15" s="36">
        <f t="shared" si="1"/>
        <v>14648.45</v>
      </c>
      <c r="I15" s="36">
        <f t="shared" si="2"/>
        <v>4101.5660000000007</v>
      </c>
      <c r="J15" s="37">
        <f t="shared" si="3"/>
        <v>18750.016000000003</v>
      </c>
      <c r="K15" s="18" t="s">
        <v>64</v>
      </c>
      <c r="L15" s="18" t="s">
        <v>81</v>
      </c>
      <c r="M15" s="18" t="s">
        <v>82</v>
      </c>
    </row>
    <row r="16" spans="1:16" s="8" customFormat="1" ht="15.6" x14ac:dyDescent="0.3">
      <c r="A16" s="9">
        <v>519</v>
      </c>
      <c r="B16" s="26" t="s">
        <v>106</v>
      </c>
      <c r="C16" s="9">
        <v>5675</v>
      </c>
      <c r="D16" s="9" t="s">
        <v>91</v>
      </c>
      <c r="E16" s="27">
        <v>200</v>
      </c>
      <c r="F16" s="9">
        <f t="shared" si="0"/>
        <v>10</v>
      </c>
      <c r="G16" s="32">
        <v>5859.38</v>
      </c>
      <c r="H16" s="36">
        <f t="shared" si="1"/>
        <v>58593.8</v>
      </c>
      <c r="I16" s="36">
        <f t="shared" si="2"/>
        <v>16406.264000000003</v>
      </c>
      <c r="J16" s="37">
        <f t="shared" si="3"/>
        <v>75000.064000000013</v>
      </c>
      <c r="K16" s="18" t="s">
        <v>64</v>
      </c>
      <c r="L16" s="18" t="s">
        <v>81</v>
      </c>
      <c r="M16" s="18" t="s">
        <v>82</v>
      </c>
    </row>
    <row r="17" spans="1:13" s="8" customFormat="1" ht="15.6" x14ac:dyDescent="0.3">
      <c r="A17" s="9">
        <v>528</v>
      </c>
      <c r="B17" s="26" t="s">
        <v>107</v>
      </c>
      <c r="C17" s="9">
        <v>5696</v>
      </c>
      <c r="D17" s="9" t="s">
        <v>91</v>
      </c>
      <c r="E17" s="27">
        <v>200</v>
      </c>
      <c r="F17" s="9">
        <f t="shared" si="0"/>
        <v>10</v>
      </c>
      <c r="G17" s="32">
        <v>5781.25</v>
      </c>
      <c r="H17" s="36">
        <f t="shared" si="1"/>
        <v>57812.5</v>
      </c>
      <c r="I17" s="36">
        <f t="shared" si="2"/>
        <v>16187.500000000002</v>
      </c>
      <c r="J17" s="37">
        <f t="shared" si="3"/>
        <v>74000</v>
      </c>
      <c r="K17" s="18" t="s">
        <v>64</v>
      </c>
      <c r="L17" s="18" t="s">
        <v>81</v>
      </c>
      <c r="M17" s="18" t="s">
        <v>82</v>
      </c>
    </row>
    <row r="18" spans="1:13" s="8" customFormat="1" ht="15.6" x14ac:dyDescent="0.3">
      <c r="A18" s="9">
        <v>537</v>
      </c>
      <c r="B18" s="26" t="s">
        <v>108</v>
      </c>
      <c r="C18" s="9">
        <v>5811</v>
      </c>
      <c r="D18" s="9" t="s">
        <v>91</v>
      </c>
      <c r="E18" s="27">
        <v>50</v>
      </c>
      <c r="F18" s="9">
        <f t="shared" si="0"/>
        <v>2.5</v>
      </c>
      <c r="G18" s="32">
        <v>5781.25</v>
      </c>
      <c r="H18" s="36">
        <f t="shared" si="1"/>
        <v>14453.125</v>
      </c>
      <c r="I18" s="36">
        <f t="shared" si="2"/>
        <v>4046.8750000000005</v>
      </c>
      <c r="J18" s="37">
        <f t="shared" si="3"/>
        <v>18500</v>
      </c>
      <c r="K18" s="18" t="s">
        <v>92</v>
      </c>
      <c r="L18" s="18" t="s">
        <v>109</v>
      </c>
      <c r="M18" s="18" t="s">
        <v>110</v>
      </c>
    </row>
    <row r="19" spans="1:13" s="8" customFormat="1" ht="15.6" x14ac:dyDescent="0.3">
      <c r="A19" s="9">
        <v>538</v>
      </c>
      <c r="B19" s="26" t="s">
        <v>108</v>
      </c>
      <c r="C19" s="9">
        <v>5814</v>
      </c>
      <c r="D19" s="9" t="s">
        <v>91</v>
      </c>
      <c r="E19" s="27">
        <v>50</v>
      </c>
      <c r="F19" s="9">
        <f t="shared" si="0"/>
        <v>2.5</v>
      </c>
      <c r="G19" s="32">
        <v>5781.25</v>
      </c>
      <c r="H19" s="36">
        <f t="shared" si="1"/>
        <v>14453.125</v>
      </c>
      <c r="I19" s="36">
        <f t="shared" si="2"/>
        <v>4046.8750000000005</v>
      </c>
      <c r="J19" s="37">
        <f t="shared" si="3"/>
        <v>18500</v>
      </c>
      <c r="K19" s="18" t="s">
        <v>92</v>
      </c>
      <c r="L19" s="18" t="s">
        <v>109</v>
      </c>
      <c r="M19" s="18" t="s">
        <v>110</v>
      </c>
    </row>
    <row r="20" spans="1:13" s="8" customFormat="1" ht="15.6" x14ac:dyDescent="0.3">
      <c r="A20" s="9">
        <v>575</v>
      </c>
      <c r="B20" s="26" t="s">
        <v>111</v>
      </c>
      <c r="C20" s="9">
        <v>5640</v>
      </c>
      <c r="D20" s="9" t="s">
        <v>91</v>
      </c>
      <c r="E20" s="27">
        <v>300</v>
      </c>
      <c r="F20" s="9">
        <f t="shared" si="0"/>
        <v>15</v>
      </c>
      <c r="G20" s="32">
        <v>5781.25</v>
      </c>
      <c r="H20" s="36">
        <f t="shared" si="1"/>
        <v>86718.75</v>
      </c>
      <c r="I20" s="36">
        <f t="shared" si="2"/>
        <v>24281.250000000004</v>
      </c>
      <c r="J20" s="37">
        <f t="shared" si="3"/>
        <v>111000</v>
      </c>
      <c r="K20" s="18" t="s">
        <v>92</v>
      </c>
      <c r="L20" s="18" t="s">
        <v>109</v>
      </c>
      <c r="M20" s="18" t="s">
        <v>110</v>
      </c>
    </row>
    <row r="21" spans="1:13" s="8" customFormat="1" ht="15.6" x14ac:dyDescent="0.3">
      <c r="A21" s="9">
        <v>647</v>
      </c>
      <c r="B21" s="26" t="s">
        <v>112</v>
      </c>
      <c r="C21" s="9">
        <v>5797</v>
      </c>
      <c r="D21" s="9" t="s">
        <v>91</v>
      </c>
      <c r="E21" s="27">
        <v>160</v>
      </c>
      <c r="F21" s="9">
        <f t="shared" si="0"/>
        <v>8</v>
      </c>
      <c r="G21" s="32">
        <v>5625</v>
      </c>
      <c r="H21" s="36">
        <f t="shared" si="1"/>
        <v>45000</v>
      </c>
      <c r="I21" s="36">
        <f t="shared" si="2"/>
        <v>12600.000000000002</v>
      </c>
      <c r="J21" s="40">
        <f t="shared" si="3"/>
        <v>57600</v>
      </c>
      <c r="K21" s="18" t="s">
        <v>64</v>
      </c>
      <c r="L21" s="18"/>
      <c r="M21" s="18"/>
    </row>
    <row r="22" spans="1:13" s="8" customFormat="1" ht="15.6" x14ac:dyDescent="0.3">
      <c r="A22" s="9">
        <v>656</v>
      </c>
      <c r="B22" s="26" t="s">
        <v>113</v>
      </c>
      <c r="C22" s="9">
        <v>7059</v>
      </c>
      <c r="D22" s="9" t="s">
        <v>91</v>
      </c>
      <c r="E22" s="27">
        <v>250</v>
      </c>
      <c r="F22" s="9">
        <f t="shared" si="0"/>
        <v>12.5</v>
      </c>
      <c r="G22" s="32">
        <v>5625</v>
      </c>
      <c r="H22" s="36">
        <f t="shared" si="1"/>
        <v>70312.5</v>
      </c>
      <c r="I22" s="36">
        <f t="shared" si="2"/>
        <v>19687.500000000004</v>
      </c>
      <c r="J22" s="40">
        <f t="shared" si="3"/>
        <v>90000</v>
      </c>
      <c r="K22" s="18" t="s">
        <v>114</v>
      </c>
      <c r="L22" s="18"/>
      <c r="M22" s="18"/>
    </row>
    <row r="23" spans="1:13" x14ac:dyDescent="0.3">
      <c r="J23" s="38">
        <f>SUM(J2:J22)</f>
        <v>940900.21120000002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TMT</vt:lpstr>
      <vt:lpstr>Diesel</vt:lpstr>
      <vt:lpstr>Cement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2024-09-02T11:32:51Z</cp:lastPrinted>
  <dcterms:created xsi:type="dcterms:W3CDTF">2022-06-10T14:11:52Z</dcterms:created>
  <dcterms:modified xsi:type="dcterms:W3CDTF">2025-05-30T05:51:28Z</dcterms:modified>
</cp:coreProperties>
</file>