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wner\OneDrive\Desktop\"/>
    </mc:Choice>
  </mc:AlternateContent>
  <xr:revisionPtr revIDLastSave="0" documentId="13_ncr:1_{02FD13E5-11AD-4C5B-9509-2B06011CB4E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LES" sheetId="1" r:id="rId1"/>
    <sheet name="PURCHASE" sheetId="2" r:id="rId2"/>
    <sheet name="Profit  Loss" sheetId="4" r:id="rId3"/>
    <sheet name="INVENTORY" sheetId="3" r:id="rId4"/>
    <sheet name="PL &amp; INSIGHTS" sheetId="5" r:id="rId5"/>
  </sheets>
  <calcPr calcId="191029"/>
</workbook>
</file>

<file path=xl/calcChain.xml><?xml version="1.0" encoding="utf-8"?>
<calcChain xmlns="http://schemas.openxmlformats.org/spreadsheetml/2006/main">
  <c r="AF3" i="2" l="1"/>
  <c r="D111" i="4"/>
  <c r="D110" i="4"/>
  <c r="D109" i="4"/>
  <c r="D108" i="4"/>
  <c r="D103" i="4"/>
  <c r="D102" i="4"/>
  <c r="D101" i="4"/>
  <c r="D100" i="4"/>
  <c r="D99" i="4"/>
  <c r="D98" i="4"/>
  <c r="D97" i="4"/>
  <c r="D96" i="4"/>
  <c r="D91" i="4"/>
  <c r="D90" i="4"/>
  <c r="D89" i="4"/>
  <c r="D88" i="4"/>
  <c r="E8" i="4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48" i="4"/>
  <c r="C49" i="4" s="1"/>
  <c r="C50" i="4" s="1"/>
  <c r="C51" i="4" s="1"/>
  <c r="C52" i="4" s="1"/>
  <c r="C53" i="4" s="1"/>
  <c r="C54" i="4" s="1"/>
  <c r="C55" i="4" s="1"/>
  <c r="C56" i="4" s="1"/>
  <c r="C57" i="4" s="1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C34" i="1"/>
  <c r="C18" i="4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R34" i="1"/>
  <c r="P34" i="1"/>
  <c r="M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B12" i="5"/>
  <c r="D11" i="5"/>
  <c r="D10" i="5"/>
  <c r="D9" i="5"/>
  <c r="D8" i="5"/>
  <c r="D7" i="5"/>
  <c r="D6" i="5"/>
  <c r="D5" i="5"/>
  <c r="D4" i="5"/>
  <c r="D3" i="5"/>
  <c r="D12" i="5" s="1"/>
  <c r="B21" i="5" s="1"/>
  <c r="D115" i="4"/>
  <c r="D114" i="4"/>
  <c r="D113" i="4"/>
  <c r="D112" i="4"/>
  <c r="D107" i="4"/>
  <c r="D106" i="4"/>
  <c r="D105" i="4"/>
  <c r="D104" i="4"/>
  <c r="D95" i="4"/>
  <c r="D94" i="4"/>
  <c r="D93" i="4"/>
  <c r="D92" i="4"/>
  <c r="D87" i="4"/>
  <c r="D86" i="4"/>
  <c r="D85" i="4"/>
  <c r="C63" i="4"/>
  <c r="C64" i="4" s="1"/>
  <c r="C65" i="4" s="1"/>
  <c r="C66" i="4" s="1"/>
  <c r="C67" i="4" s="1"/>
  <c r="C68" i="4" s="1"/>
  <c r="C69" i="4" s="1"/>
  <c r="C70" i="4" s="1"/>
  <c r="C71" i="4" s="1"/>
  <c r="C72" i="4" s="1"/>
  <c r="F16" i="4"/>
  <c r="F9" i="4"/>
  <c r="K4" i="4"/>
  <c r="F17" i="4" s="1"/>
  <c r="J4" i="4"/>
  <c r="I4" i="4"/>
  <c r="F15" i="4" s="1"/>
  <c r="H4" i="4"/>
  <c r="F14" i="4" s="1"/>
  <c r="G4" i="4"/>
  <c r="F13" i="4" s="1"/>
  <c r="F4" i="4"/>
  <c r="F12" i="4" s="1"/>
  <c r="E4" i="4"/>
  <c r="F11" i="4" s="1"/>
  <c r="D4" i="4"/>
  <c r="F10" i="4" s="1"/>
  <c r="C4" i="4"/>
  <c r="B4" i="4"/>
  <c r="F8" i="4" s="1"/>
  <c r="I5" i="3"/>
  <c r="I6" i="3" s="1"/>
  <c r="H5" i="3"/>
  <c r="H6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Z36" i="2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Y36" i="2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X36" i="2" s="1"/>
  <c r="K4" i="3"/>
  <c r="I4" i="3"/>
  <c r="H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AA36" i="2" s="1"/>
  <c r="F4" i="3"/>
  <c r="E4" i="3"/>
  <c r="D4" i="3"/>
  <c r="D3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4" i="3"/>
  <c r="B5" i="3" s="1"/>
  <c r="B6" i="3" s="1"/>
  <c r="L3" i="3"/>
  <c r="M3" i="3" s="1"/>
  <c r="J34" i="2"/>
  <c r="I34" i="2"/>
  <c r="H34" i="2"/>
  <c r="G34" i="2"/>
  <c r="F34" i="2"/>
  <c r="E34" i="2"/>
  <c r="D34" i="2"/>
  <c r="C34" i="2"/>
  <c r="B34" i="2"/>
  <c r="AD33" i="2"/>
  <c r="V33" i="2"/>
  <c r="U33" i="2"/>
  <c r="AE33" i="2" s="1"/>
  <c r="T33" i="2"/>
  <c r="S33" i="2"/>
  <c r="AC33" i="2" s="1"/>
  <c r="R33" i="2"/>
  <c r="AB33" i="2" s="1"/>
  <c r="Q33" i="2"/>
  <c r="AA33" i="2" s="1"/>
  <c r="P33" i="2"/>
  <c r="Z33" i="2" s="1"/>
  <c r="O33" i="2"/>
  <c r="Y33" i="2" s="1"/>
  <c r="N33" i="2"/>
  <c r="X33" i="2" s="1"/>
  <c r="M33" i="2"/>
  <c r="W33" i="2" s="1"/>
  <c r="L33" i="2"/>
  <c r="AA32" i="2"/>
  <c r="Y32" i="2"/>
  <c r="X32" i="2"/>
  <c r="W32" i="2"/>
  <c r="U32" i="2"/>
  <c r="AE32" i="2" s="1"/>
  <c r="T32" i="2"/>
  <c r="AD32" i="2" s="1"/>
  <c r="S32" i="2"/>
  <c r="AC32" i="2" s="1"/>
  <c r="R32" i="2"/>
  <c r="AB32" i="2" s="1"/>
  <c r="Q32" i="2"/>
  <c r="P32" i="2"/>
  <c r="Z32" i="2" s="1"/>
  <c r="O32" i="2"/>
  <c r="N32" i="2"/>
  <c r="M32" i="2"/>
  <c r="L32" i="2"/>
  <c r="V32" i="2" s="1"/>
  <c r="AA31" i="2"/>
  <c r="Y31" i="2"/>
  <c r="W31" i="2"/>
  <c r="U31" i="2"/>
  <c r="AE31" i="2" s="1"/>
  <c r="T31" i="2"/>
  <c r="AD31" i="2" s="1"/>
  <c r="S31" i="2"/>
  <c r="AC31" i="2" s="1"/>
  <c r="R31" i="2"/>
  <c r="AB31" i="2" s="1"/>
  <c r="Q31" i="2"/>
  <c r="P31" i="2"/>
  <c r="Z31" i="2" s="1"/>
  <c r="O31" i="2"/>
  <c r="N31" i="2"/>
  <c r="X31" i="2" s="1"/>
  <c r="M31" i="2"/>
  <c r="L31" i="2"/>
  <c r="V31" i="2" s="1"/>
  <c r="AE30" i="2"/>
  <c r="AA30" i="2"/>
  <c r="W30" i="2"/>
  <c r="U30" i="2"/>
  <c r="T30" i="2"/>
  <c r="AD30" i="2" s="1"/>
  <c r="S30" i="2"/>
  <c r="AC30" i="2" s="1"/>
  <c r="R30" i="2"/>
  <c r="AB30" i="2" s="1"/>
  <c r="Q30" i="2"/>
  <c r="P30" i="2"/>
  <c r="Z30" i="2" s="1"/>
  <c r="O30" i="2"/>
  <c r="Y30" i="2" s="1"/>
  <c r="N30" i="2"/>
  <c r="X30" i="2" s="1"/>
  <c r="M30" i="2"/>
  <c r="L30" i="2"/>
  <c r="V30" i="2" s="1"/>
  <c r="AE29" i="2"/>
  <c r="AD29" i="2"/>
  <c r="AC29" i="2"/>
  <c r="AA29" i="2"/>
  <c r="U29" i="2"/>
  <c r="T29" i="2"/>
  <c r="S29" i="2"/>
  <c r="R29" i="2"/>
  <c r="AB29" i="2" s="1"/>
  <c r="Q29" i="2"/>
  <c r="P29" i="2"/>
  <c r="Z29" i="2" s="1"/>
  <c r="O29" i="2"/>
  <c r="Y29" i="2" s="1"/>
  <c r="N29" i="2"/>
  <c r="X29" i="2" s="1"/>
  <c r="M29" i="2"/>
  <c r="W29" i="2" s="1"/>
  <c r="L29" i="2"/>
  <c r="V29" i="2" s="1"/>
  <c r="AE28" i="2"/>
  <c r="AC28" i="2"/>
  <c r="AB28" i="2"/>
  <c r="AA28" i="2"/>
  <c r="U28" i="2"/>
  <c r="T28" i="2"/>
  <c r="AD28" i="2" s="1"/>
  <c r="S28" i="2"/>
  <c r="R28" i="2"/>
  <c r="Q28" i="2"/>
  <c r="P28" i="2"/>
  <c r="Z28" i="2" s="1"/>
  <c r="O28" i="2"/>
  <c r="Y28" i="2" s="1"/>
  <c r="N28" i="2"/>
  <c r="X28" i="2" s="1"/>
  <c r="M28" i="2"/>
  <c r="W28" i="2" s="1"/>
  <c r="L28" i="2"/>
  <c r="V28" i="2" s="1"/>
  <c r="AE27" i="2"/>
  <c r="AD27" i="2"/>
  <c r="V27" i="2"/>
  <c r="U27" i="2"/>
  <c r="T27" i="2"/>
  <c r="S27" i="2"/>
  <c r="AC27" i="2" s="1"/>
  <c r="R27" i="2"/>
  <c r="AB27" i="2" s="1"/>
  <c r="Q27" i="2"/>
  <c r="AA27" i="2" s="1"/>
  <c r="P27" i="2"/>
  <c r="Z27" i="2" s="1"/>
  <c r="O27" i="2"/>
  <c r="Y27" i="2" s="1"/>
  <c r="N27" i="2"/>
  <c r="X27" i="2" s="1"/>
  <c r="M27" i="2"/>
  <c r="W27" i="2" s="1"/>
  <c r="L27" i="2"/>
  <c r="AE26" i="2"/>
  <c r="X26" i="2"/>
  <c r="U26" i="2"/>
  <c r="T26" i="2"/>
  <c r="AD26" i="2" s="1"/>
  <c r="S26" i="2"/>
  <c r="AC26" i="2" s="1"/>
  <c r="R26" i="2"/>
  <c r="AB26" i="2" s="1"/>
  <c r="Q26" i="2"/>
  <c r="AA26" i="2" s="1"/>
  <c r="P26" i="2"/>
  <c r="Z26" i="2" s="1"/>
  <c r="O26" i="2"/>
  <c r="Y26" i="2" s="1"/>
  <c r="N26" i="2"/>
  <c r="M26" i="2"/>
  <c r="W26" i="2" s="1"/>
  <c r="L26" i="2"/>
  <c r="V26" i="2" s="1"/>
  <c r="Z25" i="2"/>
  <c r="U25" i="2"/>
  <c r="AE25" i="2" s="1"/>
  <c r="T25" i="2"/>
  <c r="AD25" i="2" s="1"/>
  <c r="S25" i="2"/>
  <c r="AC25" i="2" s="1"/>
  <c r="R25" i="2"/>
  <c r="AB25" i="2" s="1"/>
  <c r="Q25" i="2"/>
  <c r="AA25" i="2" s="1"/>
  <c r="P25" i="2"/>
  <c r="O25" i="2"/>
  <c r="Y25" i="2" s="1"/>
  <c r="N25" i="2"/>
  <c r="X25" i="2" s="1"/>
  <c r="M25" i="2"/>
  <c r="W25" i="2" s="1"/>
  <c r="L25" i="2"/>
  <c r="V25" i="2" s="1"/>
  <c r="U24" i="2"/>
  <c r="AE24" i="2" s="1"/>
  <c r="T24" i="2"/>
  <c r="AD24" i="2" s="1"/>
  <c r="S24" i="2"/>
  <c r="AC24" i="2" s="1"/>
  <c r="R24" i="2"/>
  <c r="AB24" i="2" s="1"/>
  <c r="Q24" i="2"/>
  <c r="AA24" i="2" s="1"/>
  <c r="P24" i="2"/>
  <c r="Z24" i="2" s="1"/>
  <c r="O24" i="2"/>
  <c r="Y24" i="2" s="1"/>
  <c r="N24" i="2"/>
  <c r="X24" i="2" s="1"/>
  <c r="M24" i="2"/>
  <c r="W24" i="2" s="1"/>
  <c r="L24" i="2"/>
  <c r="V24" i="2" s="1"/>
  <c r="AD23" i="2"/>
  <c r="W23" i="2"/>
  <c r="U23" i="2"/>
  <c r="AE23" i="2" s="1"/>
  <c r="T23" i="2"/>
  <c r="S23" i="2"/>
  <c r="AC23" i="2" s="1"/>
  <c r="R23" i="2"/>
  <c r="AB23" i="2" s="1"/>
  <c r="Q23" i="2"/>
  <c r="AA23" i="2" s="1"/>
  <c r="P23" i="2"/>
  <c r="Z23" i="2" s="1"/>
  <c r="O23" i="2"/>
  <c r="Y23" i="2" s="1"/>
  <c r="N23" i="2"/>
  <c r="X23" i="2" s="1"/>
  <c r="M23" i="2"/>
  <c r="L23" i="2"/>
  <c r="V23" i="2" s="1"/>
  <c r="AA22" i="2"/>
  <c r="U22" i="2"/>
  <c r="AE22" i="2" s="1"/>
  <c r="T22" i="2"/>
  <c r="AD22" i="2" s="1"/>
  <c r="S22" i="2"/>
  <c r="AC22" i="2" s="1"/>
  <c r="R22" i="2"/>
  <c r="AB22" i="2" s="1"/>
  <c r="Q22" i="2"/>
  <c r="P22" i="2"/>
  <c r="Z22" i="2" s="1"/>
  <c r="O22" i="2"/>
  <c r="Y22" i="2" s="1"/>
  <c r="N22" i="2"/>
  <c r="X22" i="2" s="1"/>
  <c r="M22" i="2"/>
  <c r="W22" i="2" s="1"/>
  <c r="L22" i="2"/>
  <c r="V22" i="2" s="1"/>
  <c r="AA21" i="2"/>
  <c r="Y21" i="2"/>
  <c r="V21" i="2"/>
  <c r="U21" i="2"/>
  <c r="AE21" i="2" s="1"/>
  <c r="T21" i="2"/>
  <c r="AD21" i="2" s="1"/>
  <c r="S21" i="2"/>
  <c r="AC21" i="2" s="1"/>
  <c r="R21" i="2"/>
  <c r="AB21" i="2" s="1"/>
  <c r="Q21" i="2"/>
  <c r="P21" i="2"/>
  <c r="Z21" i="2" s="1"/>
  <c r="O21" i="2"/>
  <c r="N21" i="2"/>
  <c r="X21" i="2" s="1"/>
  <c r="M21" i="2"/>
  <c r="W21" i="2" s="1"/>
  <c r="L21" i="2"/>
  <c r="AE20" i="2"/>
  <c r="AD20" i="2"/>
  <c r="AA20" i="2"/>
  <c r="Y20" i="2"/>
  <c r="X20" i="2"/>
  <c r="U20" i="2"/>
  <c r="T20" i="2"/>
  <c r="S20" i="2"/>
  <c r="AC20" i="2" s="1"/>
  <c r="R20" i="2"/>
  <c r="AB20" i="2" s="1"/>
  <c r="Q20" i="2"/>
  <c r="P20" i="2"/>
  <c r="Z20" i="2" s="1"/>
  <c r="O20" i="2"/>
  <c r="N20" i="2"/>
  <c r="M20" i="2"/>
  <c r="W20" i="2" s="1"/>
  <c r="L20" i="2"/>
  <c r="V20" i="2" s="1"/>
  <c r="AE19" i="2"/>
  <c r="AC19" i="2"/>
  <c r="AA19" i="2"/>
  <c r="U19" i="2"/>
  <c r="T19" i="2"/>
  <c r="AD19" i="2" s="1"/>
  <c r="S19" i="2"/>
  <c r="R19" i="2"/>
  <c r="AB19" i="2" s="1"/>
  <c r="Q19" i="2"/>
  <c r="P19" i="2"/>
  <c r="Z19" i="2" s="1"/>
  <c r="O19" i="2"/>
  <c r="Y19" i="2" s="1"/>
  <c r="N19" i="2"/>
  <c r="X19" i="2" s="1"/>
  <c r="M19" i="2"/>
  <c r="W19" i="2" s="1"/>
  <c r="L19" i="2"/>
  <c r="V19" i="2" s="1"/>
  <c r="AE18" i="2"/>
  <c r="AA18" i="2"/>
  <c r="U18" i="2"/>
  <c r="T18" i="2"/>
  <c r="AD18" i="2" s="1"/>
  <c r="S18" i="2"/>
  <c r="AC18" i="2" s="1"/>
  <c r="R18" i="2"/>
  <c r="AB18" i="2" s="1"/>
  <c r="Q18" i="2"/>
  <c r="P18" i="2"/>
  <c r="Z18" i="2" s="1"/>
  <c r="O18" i="2"/>
  <c r="Y18" i="2" s="1"/>
  <c r="N18" i="2"/>
  <c r="X18" i="2" s="1"/>
  <c r="M18" i="2"/>
  <c r="W18" i="2" s="1"/>
  <c r="L18" i="2"/>
  <c r="V18" i="2" s="1"/>
  <c r="AE17" i="2"/>
  <c r="AD17" i="2"/>
  <c r="U17" i="2"/>
  <c r="T17" i="2"/>
  <c r="S17" i="2"/>
  <c r="AC17" i="2" s="1"/>
  <c r="R17" i="2"/>
  <c r="AB17" i="2" s="1"/>
  <c r="Q17" i="2"/>
  <c r="AA17" i="2" s="1"/>
  <c r="P17" i="2"/>
  <c r="Z17" i="2" s="1"/>
  <c r="O17" i="2"/>
  <c r="Y17" i="2" s="1"/>
  <c r="N17" i="2"/>
  <c r="X17" i="2" s="1"/>
  <c r="M17" i="2"/>
  <c r="W17" i="2" s="1"/>
  <c r="L17" i="2"/>
  <c r="V17" i="2" s="1"/>
  <c r="AE16" i="2"/>
  <c r="X16" i="2"/>
  <c r="U16" i="2"/>
  <c r="T16" i="2"/>
  <c r="AD16" i="2" s="1"/>
  <c r="S16" i="2"/>
  <c r="AC16" i="2" s="1"/>
  <c r="R16" i="2"/>
  <c r="AB16" i="2" s="1"/>
  <c r="Q16" i="2"/>
  <c r="AA16" i="2" s="1"/>
  <c r="P16" i="2"/>
  <c r="Z16" i="2" s="1"/>
  <c r="O16" i="2"/>
  <c r="Y16" i="2" s="1"/>
  <c r="N16" i="2"/>
  <c r="M16" i="2"/>
  <c r="W16" i="2" s="1"/>
  <c r="L16" i="2"/>
  <c r="V16" i="2" s="1"/>
  <c r="U15" i="2"/>
  <c r="AE15" i="2" s="1"/>
  <c r="T15" i="2"/>
  <c r="AD15" i="2" s="1"/>
  <c r="S15" i="2"/>
  <c r="AC15" i="2" s="1"/>
  <c r="R15" i="2"/>
  <c r="AB15" i="2" s="1"/>
  <c r="Q15" i="2"/>
  <c r="AA15" i="2" s="1"/>
  <c r="P15" i="2"/>
  <c r="Z15" i="2" s="1"/>
  <c r="O15" i="2"/>
  <c r="Y15" i="2" s="1"/>
  <c r="N15" i="2"/>
  <c r="X15" i="2" s="1"/>
  <c r="M15" i="2"/>
  <c r="W15" i="2" s="1"/>
  <c r="L15" i="2"/>
  <c r="V15" i="2" s="1"/>
  <c r="U14" i="2"/>
  <c r="AE14" i="2" s="1"/>
  <c r="T14" i="2"/>
  <c r="AD14" i="2" s="1"/>
  <c r="S14" i="2"/>
  <c r="AC14" i="2" s="1"/>
  <c r="R14" i="2"/>
  <c r="AB14" i="2" s="1"/>
  <c r="Q14" i="2"/>
  <c r="AA14" i="2" s="1"/>
  <c r="P14" i="2"/>
  <c r="Z14" i="2" s="1"/>
  <c r="O14" i="2"/>
  <c r="Y14" i="2" s="1"/>
  <c r="N14" i="2"/>
  <c r="X14" i="2" s="1"/>
  <c r="M14" i="2"/>
  <c r="W14" i="2" s="1"/>
  <c r="L14" i="2"/>
  <c r="V14" i="2" s="1"/>
  <c r="AD13" i="2"/>
  <c r="Y13" i="2"/>
  <c r="X13" i="2"/>
  <c r="V13" i="2"/>
  <c r="U13" i="2"/>
  <c r="AE13" i="2" s="1"/>
  <c r="T13" i="2"/>
  <c r="S13" i="2"/>
  <c r="AC13" i="2" s="1"/>
  <c r="R13" i="2"/>
  <c r="AB13" i="2" s="1"/>
  <c r="Q13" i="2"/>
  <c r="AA13" i="2" s="1"/>
  <c r="P13" i="2"/>
  <c r="Z13" i="2" s="1"/>
  <c r="O13" i="2"/>
  <c r="N13" i="2"/>
  <c r="M13" i="2"/>
  <c r="W13" i="2" s="1"/>
  <c r="L13" i="2"/>
  <c r="AA12" i="2"/>
  <c r="X12" i="2"/>
  <c r="U12" i="2"/>
  <c r="AE12" i="2" s="1"/>
  <c r="T12" i="2"/>
  <c r="AD12" i="2" s="1"/>
  <c r="S12" i="2"/>
  <c r="AC12" i="2" s="1"/>
  <c r="R12" i="2"/>
  <c r="AB12" i="2" s="1"/>
  <c r="Q12" i="2"/>
  <c r="P12" i="2"/>
  <c r="Z12" i="2" s="1"/>
  <c r="O12" i="2"/>
  <c r="Y12" i="2" s="1"/>
  <c r="N12" i="2"/>
  <c r="M12" i="2"/>
  <c r="W12" i="2" s="1"/>
  <c r="L12" i="2"/>
  <c r="V12" i="2" s="1"/>
  <c r="AD11" i="2"/>
  <c r="AA11" i="2"/>
  <c r="Z11" i="2"/>
  <c r="W11" i="2"/>
  <c r="V11" i="2"/>
  <c r="U11" i="2"/>
  <c r="AE11" i="2" s="1"/>
  <c r="T11" i="2"/>
  <c r="S11" i="2"/>
  <c r="AC11" i="2" s="1"/>
  <c r="R11" i="2"/>
  <c r="AB11" i="2" s="1"/>
  <c r="Q11" i="2"/>
  <c r="P11" i="2"/>
  <c r="O11" i="2"/>
  <c r="Y11" i="2" s="1"/>
  <c r="N11" i="2"/>
  <c r="X11" i="2" s="1"/>
  <c r="M11" i="2"/>
  <c r="L11" i="2"/>
  <c r="AE10" i="2"/>
  <c r="AA10" i="2"/>
  <c r="Y10" i="2"/>
  <c r="W10" i="2"/>
  <c r="U10" i="2"/>
  <c r="T10" i="2"/>
  <c r="AD10" i="2" s="1"/>
  <c r="S10" i="2"/>
  <c r="AC10" i="2" s="1"/>
  <c r="R10" i="2"/>
  <c r="AB10" i="2" s="1"/>
  <c r="Q10" i="2"/>
  <c r="P10" i="2"/>
  <c r="Z10" i="2" s="1"/>
  <c r="O10" i="2"/>
  <c r="N10" i="2"/>
  <c r="X10" i="2" s="1"/>
  <c r="M10" i="2"/>
  <c r="L10" i="2"/>
  <c r="V10" i="2" s="1"/>
  <c r="AE9" i="2"/>
  <c r="AD9" i="2"/>
  <c r="AC9" i="2"/>
  <c r="AA9" i="2"/>
  <c r="U9" i="2"/>
  <c r="T9" i="2"/>
  <c r="S9" i="2"/>
  <c r="R9" i="2"/>
  <c r="AB9" i="2" s="1"/>
  <c r="Q9" i="2"/>
  <c r="P9" i="2"/>
  <c r="Z9" i="2" s="1"/>
  <c r="O9" i="2"/>
  <c r="Y9" i="2" s="1"/>
  <c r="N9" i="2"/>
  <c r="X9" i="2" s="1"/>
  <c r="M9" i="2"/>
  <c r="W9" i="2" s="1"/>
  <c r="L9" i="2"/>
  <c r="V9" i="2" s="1"/>
  <c r="AE8" i="2"/>
  <c r="AA8" i="2"/>
  <c r="U8" i="2"/>
  <c r="T8" i="2"/>
  <c r="AD8" i="2" s="1"/>
  <c r="S8" i="2"/>
  <c r="AC8" i="2" s="1"/>
  <c r="R8" i="2"/>
  <c r="AB8" i="2" s="1"/>
  <c r="Q8" i="2"/>
  <c r="P8" i="2"/>
  <c r="Z8" i="2" s="1"/>
  <c r="O8" i="2"/>
  <c r="Y8" i="2" s="1"/>
  <c r="N8" i="2"/>
  <c r="X8" i="2" s="1"/>
  <c r="M8" i="2"/>
  <c r="W8" i="2" s="1"/>
  <c r="L8" i="2"/>
  <c r="V8" i="2" s="1"/>
  <c r="AE7" i="2"/>
  <c r="AD7" i="2"/>
  <c r="V7" i="2"/>
  <c r="U7" i="2"/>
  <c r="T7" i="2"/>
  <c r="S7" i="2"/>
  <c r="AC7" i="2" s="1"/>
  <c r="R7" i="2"/>
  <c r="AB7" i="2" s="1"/>
  <c r="Q7" i="2"/>
  <c r="AA7" i="2" s="1"/>
  <c r="P7" i="2"/>
  <c r="Z7" i="2" s="1"/>
  <c r="O7" i="2"/>
  <c r="Y7" i="2" s="1"/>
  <c r="N7" i="2"/>
  <c r="X7" i="2" s="1"/>
  <c r="M7" i="2"/>
  <c r="W7" i="2" s="1"/>
  <c r="L7" i="2"/>
  <c r="AE6" i="2"/>
  <c r="U6" i="2"/>
  <c r="T6" i="2"/>
  <c r="AD6" i="2" s="1"/>
  <c r="S6" i="2"/>
  <c r="AC6" i="2" s="1"/>
  <c r="R6" i="2"/>
  <c r="AB6" i="2" s="1"/>
  <c r="Q6" i="2"/>
  <c r="AA6" i="2" s="1"/>
  <c r="P6" i="2"/>
  <c r="Z6" i="2" s="1"/>
  <c r="O6" i="2"/>
  <c r="Y6" i="2" s="1"/>
  <c r="N6" i="2"/>
  <c r="X6" i="2" s="1"/>
  <c r="M6" i="2"/>
  <c r="W6" i="2" s="1"/>
  <c r="L6" i="2"/>
  <c r="V6" i="2" s="1"/>
  <c r="U5" i="2"/>
  <c r="AE5" i="2" s="1"/>
  <c r="T5" i="2"/>
  <c r="AD5" i="2" s="1"/>
  <c r="S5" i="2"/>
  <c r="AC5" i="2" s="1"/>
  <c r="R5" i="2"/>
  <c r="AB5" i="2" s="1"/>
  <c r="Q5" i="2"/>
  <c r="AA5" i="2" s="1"/>
  <c r="P5" i="2"/>
  <c r="Z5" i="2" s="1"/>
  <c r="O5" i="2"/>
  <c r="Y5" i="2" s="1"/>
  <c r="N5" i="2"/>
  <c r="X5" i="2" s="1"/>
  <c r="M5" i="2"/>
  <c r="W5" i="2" s="1"/>
  <c r="L5" i="2"/>
  <c r="V5" i="2" s="1"/>
  <c r="X4" i="2"/>
  <c r="W4" i="2"/>
  <c r="U4" i="2"/>
  <c r="AE4" i="2" s="1"/>
  <c r="T4" i="2"/>
  <c r="S4" i="2"/>
  <c r="AC4" i="2" s="1"/>
  <c r="R4" i="2"/>
  <c r="AB4" i="2" s="1"/>
  <c r="Q4" i="2"/>
  <c r="AA4" i="2" s="1"/>
  <c r="P4" i="2"/>
  <c r="Z4" i="2" s="1"/>
  <c r="O4" i="2"/>
  <c r="Y4" i="2" s="1"/>
  <c r="N4" i="2"/>
  <c r="M4" i="2"/>
  <c r="L4" i="2"/>
  <c r="V4" i="2" s="1"/>
  <c r="AD3" i="2"/>
  <c r="Z3" i="2"/>
  <c r="V3" i="2"/>
  <c r="U3" i="2"/>
  <c r="AE35" i="2" s="1"/>
  <c r="T3" i="2"/>
  <c r="AD35" i="2" s="1"/>
  <c r="S3" i="2"/>
  <c r="AC35" i="2" s="1"/>
  <c r="R3" i="2"/>
  <c r="AB35" i="2" s="1"/>
  <c r="Q3" i="2"/>
  <c r="AA35" i="2" s="1"/>
  <c r="P3" i="2"/>
  <c r="Z35" i="2" s="1"/>
  <c r="O3" i="2"/>
  <c r="Y35" i="2" s="1"/>
  <c r="N3" i="2"/>
  <c r="X35" i="2" s="1"/>
  <c r="M3" i="2"/>
  <c r="W3" i="2" s="1"/>
  <c r="L3" i="2"/>
  <c r="V35" i="2" s="1"/>
  <c r="K36" i="1"/>
  <c r="J36" i="1"/>
  <c r="I36" i="1"/>
  <c r="H36" i="1"/>
  <c r="G36" i="1"/>
  <c r="F36" i="1"/>
  <c r="E36" i="1"/>
  <c r="D36" i="1"/>
  <c r="C36" i="1"/>
  <c r="B36" i="1"/>
  <c r="U34" i="1"/>
  <c r="T34" i="1"/>
  <c r="S34" i="1"/>
  <c r="Q34" i="1"/>
  <c r="O34" i="1"/>
  <c r="N34" i="1"/>
  <c r="L34" i="1"/>
  <c r="K34" i="1"/>
  <c r="J34" i="1"/>
  <c r="I34" i="1"/>
  <c r="H34" i="1"/>
  <c r="G34" i="1"/>
  <c r="F34" i="1"/>
  <c r="E34" i="1"/>
  <c r="D34" i="1"/>
  <c r="C34" i="1"/>
  <c r="B34" i="1"/>
  <c r="AE33" i="1"/>
  <c r="AD33" i="1"/>
  <c r="AC33" i="1"/>
  <c r="AB33" i="1"/>
  <c r="AA33" i="1"/>
  <c r="Z33" i="1"/>
  <c r="Y33" i="1"/>
  <c r="X33" i="1"/>
  <c r="W33" i="1"/>
  <c r="V33" i="1"/>
  <c r="AE32" i="1"/>
  <c r="AD32" i="1"/>
  <c r="AC32" i="1"/>
  <c r="AB32" i="1"/>
  <c r="AA32" i="1"/>
  <c r="Z32" i="1"/>
  <c r="Y32" i="1"/>
  <c r="X32" i="1"/>
  <c r="W32" i="1"/>
  <c r="V32" i="1"/>
  <c r="AE31" i="1"/>
  <c r="AD31" i="1"/>
  <c r="AC31" i="1"/>
  <c r="AB31" i="1"/>
  <c r="AA31" i="1"/>
  <c r="Z31" i="1"/>
  <c r="Y31" i="1"/>
  <c r="X31" i="1"/>
  <c r="W31" i="1"/>
  <c r="V31" i="1"/>
  <c r="AE30" i="1"/>
  <c r="AD30" i="1"/>
  <c r="AC30" i="1"/>
  <c r="AB30" i="1"/>
  <c r="AA30" i="1"/>
  <c r="Z30" i="1"/>
  <c r="Y30" i="1"/>
  <c r="X30" i="1"/>
  <c r="W30" i="1"/>
  <c r="V30" i="1"/>
  <c r="AE29" i="1"/>
  <c r="AD29" i="1"/>
  <c r="AC29" i="1"/>
  <c r="AB29" i="1"/>
  <c r="AA29" i="1"/>
  <c r="Z29" i="1"/>
  <c r="Y29" i="1"/>
  <c r="X29" i="1"/>
  <c r="W29" i="1"/>
  <c r="V29" i="1"/>
  <c r="AE28" i="1"/>
  <c r="AD28" i="1"/>
  <c r="AC28" i="1"/>
  <c r="AB28" i="1"/>
  <c r="AA28" i="1"/>
  <c r="Z28" i="1"/>
  <c r="Y28" i="1"/>
  <c r="X28" i="1"/>
  <c r="W28" i="1"/>
  <c r="V28" i="1"/>
  <c r="AE27" i="1"/>
  <c r="AD27" i="1"/>
  <c r="AC27" i="1"/>
  <c r="AB27" i="1"/>
  <c r="AA27" i="1"/>
  <c r="Z27" i="1"/>
  <c r="Y27" i="1"/>
  <c r="X27" i="1"/>
  <c r="W27" i="1"/>
  <c r="V27" i="1"/>
  <c r="AE26" i="1"/>
  <c r="AD26" i="1"/>
  <c r="AC26" i="1"/>
  <c r="AB26" i="1"/>
  <c r="AA26" i="1"/>
  <c r="Z26" i="1"/>
  <c r="Y26" i="1"/>
  <c r="X26" i="1"/>
  <c r="W26" i="1"/>
  <c r="V26" i="1"/>
  <c r="AE25" i="1"/>
  <c r="AD25" i="1"/>
  <c r="AC25" i="1"/>
  <c r="AB25" i="1"/>
  <c r="AA25" i="1"/>
  <c r="Z25" i="1"/>
  <c r="Y25" i="1"/>
  <c r="X25" i="1"/>
  <c r="W25" i="1"/>
  <c r="V25" i="1"/>
  <c r="AE24" i="1"/>
  <c r="AD24" i="1"/>
  <c r="AC24" i="1"/>
  <c r="AB24" i="1"/>
  <c r="AA24" i="1"/>
  <c r="Z24" i="1"/>
  <c r="Y24" i="1"/>
  <c r="X24" i="1"/>
  <c r="W24" i="1"/>
  <c r="V24" i="1"/>
  <c r="AE23" i="1"/>
  <c r="AD23" i="1"/>
  <c r="AC23" i="1"/>
  <c r="AB23" i="1"/>
  <c r="AA23" i="1"/>
  <c r="Z23" i="1"/>
  <c r="Y23" i="1"/>
  <c r="X23" i="1"/>
  <c r="W23" i="1"/>
  <c r="V23" i="1"/>
  <c r="AE22" i="1"/>
  <c r="AD22" i="1"/>
  <c r="AC22" i="1"/>
  <c r="AB22" i="1"/>
  <c r="AA22" i="1"/>
  <c r="Z22" i="1"/>
  <c r="Y22" i="1"/>
  <c r="X22" i="1"/>
  <c r="W22" i="1"/>
  <c r="V22" i="1"/>
  <c r="AE21" i="1"/>
  <c r="AD21" i="1"/>
  <c r="AC21" i="1"/>
  <c r="AB21" i="1"/>
  <c r="AA21" i="1"/>
  <c r="Z21" i="1"/>
  <c r="Y21" i="1"/>
  <c r="X21" i="1"/>
  <c r="W21" i="1"/>
  <c r="V21" i="1"/>
  <c r="AE20" i="1"/>
  <c r="AD20" i="1"/>
  <c r="AC20" i="1"/>
  <c r="AB20" i="1"/>
  <c r="AA20" i="1"/>
  <c r="Z20" i="1"/>
  <c r="Y20" i="1"/>
  <c r="X20" i="1"/>
  <c r="W20" i="1"/>
  <c r="V20" i="1"/>
  <c r="AE19" i="1"/>
  <c r="AD19" i="1"/>
  <c r="AC19" i="1"/>
  <c r="AB19" i="1"/>
  <c r="AA19" i="1"/>
  <c r="Z19" i="1"/>
  <c r="Y19" i="1"/>
  <c r="X19" i="1"/>
  <c r="W19" i="1"/>
  <c r="V19" i="1"/>
  <c r="AE18" i="1"/>
  <c r="AD18" i="1"/>
  <c r="AC18" i="1"/>
  <c r="AB18" i="1"/>
  <c r="AA18" i="1"/>
  <c r="Z18" i="1"/>
  <c r="Y18" i="1"/>
  <c r="X18" i="1"/>
  <c r="W18" i="1"/>
  <c r="V18" i="1"/>
  <c r="AE17" i="1"/>
  <c r="AD17" i="1"/>
  <c r="AC17" i="1"/>
  <c r="AB17" i="1"/>
  <c r="AA17" i="1"/>
  <c r="Z17" i="1"/>
  <c r="Y17" i="1"/>
  <c r="X17" i="1"/>
  <c r="W17" i="1"/>
  <c r="V17" i="1"/>
  <c r="AE16" i="1"/>
  <c r="AD16" i="1"/>
  <c r="AC16" i="1"/>
  <c r="AB16" i="1"/>
  <c r="AA16" i="1"/>
  <c r="Z16" i="1"/>
  <c r="Y16" i="1"/>
  <c r="X16" i="1"/>
  <c r="W16" i="1"/>
  <c r="V16" i="1"/>
  <c r="AE15" i="1"/>
  <c r="AD15" i="1"/>
  <c r="AC15" i="1"/>
  <c r="AB15" i="1"/>
  <c r="AA15" i="1"/>
  <c r="Z15" i="1"/>
  <c r="Y15" i="1"/>
  <c r="X15" i="1"/>
  <c r="W15" i="1"/>
  <c r="V15" i="1"/>
  <c r="AE14" i="1"/>
  <c r="AD14" i="1"/>
  <c r="AC14" i="1"/>
  <c r="AB14" i="1"/>
  <c r="AA14" i="1"/>
  <c r="Z14" i="1"/>
  <c r="Y14" i="1"/>
  <c r="X14" i="1"/>
  <c r="W14" i="1"/>
  <c r="V14" i="1"/>
  <c r="AE13" i="1"/>
  <c r="AD13" i="1"/>
  <c r="AC13" i="1"/>
  <c r="AB13" i="1"/>
  <c r="AA13" i="1"/>
  <c r="Z13" i="1"/>
  <c r="Y13" i="1"/>
  <c r="X13" i="1"/>
  <c r="W13" i="1"/>
  <c r="V13" i="1"/>
  <c r="AE12" i="1"/>
  <c r="AD12" i="1"/>
  <c r="AC12" i="1"/>
  <c r="AB12" i="1"/>
  <c r="AA12" i="1"/>
  <c r="Z12" i="1"/>
  <c r="Y12" i="1"/>
  <c r="X12" i="1"/>
  <c r="W12" i="1"/>
  <c r="V12" i="1"/>
  <c r="AE11" i="1"/>
  <c r="AD11" i="1"/>
  <c r="AC11" i="1"/>
  <c r="AB11" i="1"/>
  <c r="AA11" i="1"/>
  <c r="Z11" i="1"/>
  <c r="Y11" i="1"/>
  <c r="X11" i="1"/>
  <c r="W11" i="1"/>
  <c r="V11" i="1"/>
  <c r="AE10" i="1"/>
  <c r="AD10" i="1"/>
  <c r="AC10" i="1"/>
  <c r="AB10" i="1"/>
  <c r="AA10" i="1"/>
  <c r="Z10" i="1"/>
  <c r="Y10" i="1"/>
  <c r="X10" i="1"/>
  <c r="W10" i="1"/>
  <c r="V10" i="1"/>
  <c r="AE9" i="1"/>
  <c r="AD9" i="1"/>
  <c r="AC9" i="1"/>
  <c r="AB9" i="1"/>
  <c r="AA9" i="1"/>
  <c r="Z9" i="1"/>
  <c r="Y9" i="1"/>
  <c r="X9" i="1"/>
  <c r="W9" i="1"/>
  <c r="V9" i="1"/>
  <c r="AE8" i="1"/>
  <c r="AD8" i="1"/>
  <c r="AC8" i="1"/>
  <c r="AB8" i="1"/>
  <c r="AA8" i="1"/>
  <c r="Z8" i="1"/>
  <c r="Y8" i="1"/>
  <c r="X8" i="1"/>
  <c r="W8" i="1"/>
  <c r="V8" i="1"/>
  <c r="AE7" i="1"/>
  <c r="AD7" i="1"/>
  <c r="AC7" i="1"/>
  <c r="AB7" i="1"/>
  <c r="AA7" i="1"/>
  <c r="Z7" i="1"/>
  <c r="Y7" i="1"/>
  <c r="X7" i="1"/>
  <c r="W7" i="1"/>
  <c r="V7" i="1"/>
  <c r="AE6" i="1"/>
  <c r="AD6" i="1"/>
  <c r="AC6" i="1"/>
  <c r="AB6" i="1"/>
  <c r="AA6" i="1"/>
  <c r="Z6" i="1"/>
  <c r="Y6" i="1"/>
  <c r="X6" i="1"/>
  <c r="W6" i="1"/>
  <c r="V6" i="1"/>
  <c r="AE5" i="1"/>
  <c r="AD5" i="1"/>
  <c r="AC5" i="1"/>
  <c r="AB5" i="1"/>
  <c r="AA5" i="1"/>
  <c r="Z5" i="1"/>
  <c r="Y5" i="1"/>
  <c r="X5" i="1"/>
  <c r="W5" i="1"/>
  <c r="V5" i="1"/>
  <c r="AE4" i="1"/>
  <c r="AD4" i="1"/>
  <c r="AC4" i="1"/>
  <c r="AB4" i="1"/>
  <c r="AA4" i="1"/>
  <c r="Z4" i="1"/>
  <c r="Y4" i="1"/>
  <c r="X4" i="1"/>
  <c r="W4" i="1"/>
  <c r="V4" i="1"/>
  <c r="AE3" i="1"/>
  <c r="AD3" i="1"/>
  <c r="AC3" i="1"/>
  <c r="AB3" i="1"/>
  <c r="AA3" i="1"/>
  <c r="AA34" i="1" s="1"/>
  <c r="Z3" i="1"/>
  <c r="Y3" i="1"/>
  <c r="X3" i="1"/>
  <c r="W3" i="1"/>
  <c r="V3" i="1"/>
  <c r="AD34" i="1" l="1"/>
  <c r="AD36" i="2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E17" i="4"/>
  <c r="E15" i="4"/>
  <c r="E13" i="4"/>
  <c r="E11" i="4"/>
  <c r="E9" i="4"/>
  <c r="E16" i="4"/>
  <c r="E14" i="4"/>
  <c r="E10" i="4"/>
  <c r="AE34" i="1"/>
  <c r="T34" i="2"/>
  <c r="AB34" i="1"/>
  <c r="AF29" i="1"/>
  <c r="AF9" i="1"/>
  <c r="Z34" i="1"/>
  <c r="AF3" i="1"/>
  <c r="Y34" i="1"/>
  <c r="AF7" i="2"/>
  <c r="AF9" i="2"/>
  <c r="AF6" i="1"/>
  <c r="AF15" i="1"/>
  <c r="AF11" i="1"/>
  <c r="AF21" i="1"/>
  <c r="AF12" i="1"/>
  <c r="AF32" i="1"/>
  <c r="AF25" i="1"/>
  <c r="Y3" i="2"/>
  <c r="AF18" i="1"/>
  <c r="X34" i="1"/>
  <c r="AF4" i="1"/>
  <c r="AF24" i="1"/>
  <c r="AF18" i="2"/>
  <c r="AF8" i="1"/>
  <c r="AF7" i="1"/>
  <c r="AF27" i="1"/>
  <c r="AF13" i="1"/>
  <c r="AF14" i="1"/>
  <c r="AF33" i="1"/>
  <c r="AF26" i="1"/>
  <c r="AF17" i="1"/>
  <c r="AF10" i="1"/>
  <c r="AF23" i="1"/>
  <c r="AF29" i="2"/>
  <c r="AF5" i="1"/>
  <c r="W35" i="2"/>
  <c r="AF16" i="1"/>
  <c r="M34" i="2"/>
  <c r="AF24" i="2"/>
  <c r="AF30" i="1"/>
  <c r="W34" i="1"/>
  <c r="AF19" i="1"/>
  <c r="AF28" i="1"/>
  <c r="AF20" i="2"/>
  <c r="AF31" i="1"/>
  <c r="AF32" i="2"/>
  <c r="AF22" i="1"/>
  <c r="W36" i="2"/>
  <c r="AF20" i="1"/>
  <c r="AF22" i="2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AB36" i="2" s="1"/>
  <c r="AF21" i="2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AC36" i="2" s="1"/>
  <c r="V34" i="2"/>
  <c r="W34" i="2"/>
  <c r="AF8" i="2"/>
  <c r="AF11" i="2"/>
  <c r="AF26" i="2"/>
  <c r="F18" i="4"/>
  <c r="Y34" i="2"/>
  <c r="Y37" i="2" s="1"/>
  <c r="AF33" i="2"/>
  <c r="AF4" i="2"/>
  <c r="E34" i="3"/>
  <c r="AF12" i="2"/>
  <c r="AF25" i="2"/>
  <c r="AF28" i="2"/>
  <c r="AF5" i="2"/>
  <c r="AF16" i="2"/>
  <c r="AF15" i="2"/>
  <c r="AF23" i="2"/>
  <c r="AF31" i="2"/>
  <c r="Z34" i="2"/>
  <c r="Z37" i="2" s="1"/>
  <c r="F34" i="3"/>
  <c r="AF14" i="2"/>
  <c r="AF6" i="2"/>
  <c r="AF10" i="2"/>
  <c r="AF17" i="2"/>
  <c r="AF19" i="2"/>
  <c r="AF27" i="2"/>
  <c r="AF30" i="2"/>
  <c r="AF13" i="2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AE36" i="2" s="1"/>
  <c r="L34" i="2"/>
  <c r="X3" i="2"/>
  <c r="X34" i="2" s="1"/>
  <c r="X37" i="2" s="1"/>
  <c r="B10" i="4" s="1"/>
  <c r="N34" i="2"/>
  <c r="O34" i="2"/>
  <c r="V34" i="1"/>
  <c r="P34" i="2"/>
  <c r="AA3" i="2"/>
  <c r="AA34" i="2" s="1"/>
  <c r="AA37" i="2" s="1"/>
  <c r="B13" i="4" s="1"/>
  <c r="Q34" i="2"/>
  <c r="AB3" i="2"/>
  <c r="AB34" i="2" s="1"/>
  <c r="R34" i="2"/>
  <c r="AC3" i="2"/>
  <c r="AC34" i="2" s="1"/>
  <c r="S34" i="2"/>
  <c r="AE3" i="2"/>
  <c r="AE34" i="2" s="1"/>
  <c r="U34" i="2"/>
  <c r="L4" i="3"/>
  <c r="M4" i="3" s="1"/>
  <c r="E12" i="4"/>
  <c r="AD4" i="2"/>
  <c r="AD34" i="2" s="1"/>
  <c r="AD37" i="2" s="1"/>
  <c r="C34" i="3"/>
  <c r="G34" i="3"/>
  <c r="B16" i="4" l="1"/>
  <c r="J34" i="3"/>
  <c r="B34" i="3"/>
  <c r="AB37" i="2"/>
  <c r="B14" i="4" s="1"/>
  <c r="B12" i="4"/>
  <c r="B11" i="4"/>
  <c r="AF34" i="1"/>
  <c r="B18" i="5" s="1"/>
  <c r="W37" i="2"/>
  <c r="B9" i="4" s="1"/>
  <c r="AG35" i="1"/>
  <c r="AG36" i="1"/>
  <c r="AG37" i="1"/>
  <c r="AG38" i="1"/>
  <c r="L35" i="2"/>
  <c r="K34" i="3"/>
  <c r="AF34" i="2"/>
  <c r="I34" i="3"/>
  <c r="L6" i="3"/>
  <c r="M6" i="3" s="1"/>
  <c r="AE37" i="2"/>
  <c r="B17" i="4" s="1"/>
  <c r="AC37" i="2"/>
  <c r="B15" i="4" s="1"/>
  <c r="L5" i="3"/>
  <c r="M5" i="3" s="1"/>
  <c r="H34" i="3"/>
  <c r="L7" i="3" l="1"/>
  <c r="M7" i="3" s="1"/>
  <c r="L8" i="3" l="1"/>
  <c r="M8" i="3" s="1"/>
  <c r="L9" i="3" l="1"/>
  <c r="M9" i="3" s="1"/>
  <c r="L10" i="3" l="1"/>
  <c r="M10" i="3" s="1"/>
  <c r="L11" i="3" l="1"/>
  <c r="M11" i="3" s="1"/>
  <c r="L12" i="3" l="1"/>
  <c r="M12" i="3" s="1"/>
  <c r="L13" i="3" l="1"/>
  <c r="M13" i="3" s="1"/>
  <c r="L14" i="3" l="1"/>
  <c r="M14" i="3" s="1"/>
  <c r="L15" i="3" l="1"/>
  <c r="M15" i="3" s="1"/>
  <c r="L16" i="3" l="1"/>
  <c r="M16" i="3" s="1"/>
  <c r="L17" i="3" l="1"/>
  <c r="M17" i="3" s="1"/>
  <c r="L18" i="3" l="1"/>
  <c r="M18" i="3" s="1"/>
  <c r="L19" i="3" l="1"/>
  <c r="M19" i="3" s="1"/>
  <c r="L20" i="3" l="1"/>
  <c r="M20" i="3" s="1"/>
  <c r="L21" i="3" l="1"/>
  <c r="M21" i="3" s="1"/>
  <c r="L22" i="3" l="1"/>
  <c r="M22" i="3" s="1"/>
  <c r="L23" i="3" l="1"/>
  <c r="M23" i="3" s="1"/>
  <c r="L24" i="3" l="1"/>
  <c r="M24" i="3" s="1"/>
  <c r="L25" i="3" l="1"/>
  <c r="M25" i="3" s="1"/>
  <c r="L26" i="3" l="1"/>
  <c r="M26" i="3" s="1"/>
  <c r="L27" i="3" l="1"/>
  <c r="M27" i="3" s="1"/>
  <c r="L28" i="3" l="1"/>
  <c r="M28" i="3" s="1"/>
  <c r="L29" i="3" l="1"/>
  <c r="M29" i="3" s="1"/>
  <c r="L30" i="3" l="1"/>
  <c r="M30" i="3" s="1"/>
  <c r="L31" i="3" l="1"/>
  <c r="M31" i="3" s="1"/>
  <c r="L32" i="3" l="1"/>
  <c r="M32" i="3" s="1"/>
  <c r="V36" i="2" l="1"/>
  <c r="V37" i="2" s="1"/>
  <c r="L33" i="3"/>
  <c r="M33" i="3" s="1"/>
  <c r="M34" i="3" s="1"/>
  <c r="M35" i="3" s="1"/>
  <c r="B26" i="5" s="1"/>
  <c r="B30" i="5" l="1"/>
  <c r="B27" i="5"/>
  <c r="B28" i="5" s="1"/>
  <c r="AF37" i="2"/>
  <c r="B19" i="5" s="1"/>
  <c r="B20" i="5" s="1"/>
  <c r="B8" i="4"/>
  <c r="B23" i="5" l="1"/>
  <c r="B22" i="5"/>
  <c r="B18" i="4"/>
  <c r="D13" i="4" l="1"/>
  <c r="D10" i="4"/>
  <c r="D16" i="4"/>
  <c r="D9" i="4"/>
  <c r="D17" i="4"/>
  <c r="D12" i="4"/>
  <c r="D15" i="4"/>
  <c r="D11" i="4"/>
  <c r="D14" i="4"/>
  <c r="D8" i="4"/>
  <c r="B32" i="5"/>
  <c r="B31" i="5"/>
  <c r="B24" i="5"/>
</calcChain>
</file>

<file path=xl/sharedStrings.xml><?xml version="1.0" encoding="utf-8"?>
<sst xmlns="http://schemas.openxmlformats.org/spreadsheetml/2006/main" count="264" uniqueCount="101">
  <si>
    <t>SELLING PRICE</t>
  </si>
  <si>
    <t>REVENUE</t>
  </si>
  <si>
    <t>DATE</t>
  </si>
  <si>
    <t>RICE</t>
  </si>
  <si>
    <t>ATTA</t>
  </si>
  <si>
    <t>TOOR DAL</t>
  </si>
  <si>
    <t>MOONG DAL</t>
  </si>
  <si>
    <t>URAD DAL</t>
  </si>
  <si>
    <t>SUGAR</t>
  </si>
  <si>
    <t>COOKING OIL</t>
  </si>
  <si>
    <t>GHEE</t>
  </si>
  <si>
    <t>MILK &amp; DAIRY</t>
  </si>
  <si>
    <t>DRY FRUITS</t>
  </si>
  <si>
    <t>TOTAL REVENUE</t>
  </si>
  <si>
    <t>AVERAGE REVENUE</t>
  </si>
  <si>
    <t>S.D</t>
  </si>
  <si>
    <t>MIN</t>
  </si>
  <si>
    <t>MAX</t>
  </si>
  <si>
    <t>PURCHASE PRICE</t>
  </si>
  <si>
    <t>EXPENDITURE</t>
  </si>
  <si>
    <t>AVG PRICE--&gt;</t>
  </si>
  <si>
    <t>TOTAL AVG=</t>
  </si>
  <si>
    <t>Initial Inventory</t>
  </si>
  <si>
    <t xml:space="preserve">End Inventory </t>
  </si>
  <si>
    <t>Final Expenditure</t>
  </si>
  <si>
    <t>CP</t>
  </si>
  <si>
    <t>INVENTORY</t>
  </si>
  <si>
    <t>TOTAL DAILY INVENTORY</t>
  </si>
  <si>
    <t>AVERAGE DAILY TOTAL INVENTORY</t>
  </si>
  <si>
    <t>AVERAGE INVENTORY</t>
  </si>
  <si>
    <t>AVG. INVENTORY(IN Rs.)</t>
  </si>
  <si>
    <t>INVENTORY TRENDS</t>
  </si>
  <si>
    <t>Avg Purchase Price</t>
  </si>
  <si>
    <t>Avg Selling Price</t>
  </si>
  <si>
    <t xml:space="preserve">Avg Profit </t>
  </si>
  <si>
    <t>PRODUCT</t>
  </si>
  <si>
    <t>P/L</t>
  </si>
  <si>
    <t>REVENUE (SALES)</t>
  </si>
  <si>
    <t>% OF TOTAL PROFIT</t>
  </si>
  <si>
    <t>% OF TOTAL REVENUE</t>
  </si>
  <si>
    <t>PROFIT MARGIN %</t>
  </si>
  <si>
    <t>Cumulative Profit %</t>
  </si>
  <si>
    <t>TOTAL SALES</t>
  </si>
  <si>
    <t>PROFIT / LOSS</t>
  </si>
  <si>
    <t xml:space="preserve"> 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</si>
  <si>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</si>
  <si>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</si>
  <si>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</si>
  <si>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</si>
  <si>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</si>
  <si>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</si>
  <si>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</si>
  <si>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</si>
  <si>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</si>
  <si>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</si>
  <si>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</si>
  <si>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</si>
  <si>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>EMI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</si>
  <si>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</si>
  <si>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</si>
  <si>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</si>
  <si>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</si>
  <si>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</si>
  <si>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</si>
  <si>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</si>
  <si>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</si>
  <si>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</si>
  <si>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</si>
  <si>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</si>
  <si>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</si>
  <si>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MAJORLY FROM MONTHLY FIXED EXPENSES</t>
  </si>
  <si>
    <t>INVENTORY TURNOVER RATIO</t>
  </si>
  <si>
    <t>NET PROFIT</t>
  </si>
  <si>
    <t>GROSS PROFIT RATIO</t>
  </si>
  <si>
    <t>12% -14%</t>
  </si>
  <si>
    <t>NET PROFIT RATIO</t>
  </si>
  <si>
    <t>7%-8%</t>
  </si>
  <si>
    <t>FARELY GOOD FOR A GENERAL STORE</t>
  </si>
  <si>
    <t>FIXED ASSETS</t>
  </si>
  <si>
    <t>CURRENT ASSETS</t>
  </si>
  <si>
    <t>i.e. STOCK + CASH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</si>
  <si>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</si>
  <si>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</si>
  <si>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</si>
  <si>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</si>
  <si>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</si>
  <si>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</si>
  <si>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</si>
  <si>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</si>
  <si>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</si>
  <si>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</si>
  <si>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</si>
  <si>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SALES(QUANTITY SOLD)</t>
  </si>
  <si>
    <t>Total Items Sold</t>
  </si>
  <si>
    <t>DRY FRUITS(KAJU)</t>
  </si>
  <si>
    <t>Average</t>
  </si>
  <si>
    <t>PURCHASE(Quantity)</t>
  </si>
  <si>
    <t>Cumulative Revenue %</t>
  </si>
  <si>
    <t>TOTAL EXPENDITURE</t>
  </si>
  <si>
    <t>SINCE HE DOES NOT OWN ANY MAJOR ASSETS OTHER THAN A  AND FURNITURE, THE RETURN ON ASSETS IS HIGH.</t>
  </si>
  <si>
    <t xml:space="preserve">%Total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</si>
</sst>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0.0"/>
    <numFmt numFmtId="166" formatCode="0.0%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color rgb="FF202124"/>
      <name val="Roboto"/>
    </font>
    <font>
      <sz val="11"/>
      <color rgb="FF7E3794"/>
      <name val="Inconsolata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theme="9"/>
        <bgColor rgb="FFD9EAD3"/>
      </patternFill>
    </fill>
    <fill>
      <patternFill patternType="solid">
        <fgColor theme="9"/>
        <bgColor rgb="FFFCE5CD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/>
        <bgColor rgb="FFC9DAF8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1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15" borderId="0" xfId="0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" fontId="2" fillId="0" borderId="0" xfId="0" applyNumberFormat="1" applyFont="1"/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1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9" fontId="2" fillId="18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2" fillId="2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164" fontId="2" fillId="21" borderId="0" xfId="0" applyNumberFormat="1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10" fontId="2" fillId="21" borderId="0" xfId="0" applyNumberFormat="1" applyFont="1" applyFill="1" applyAlignment="1">
      <alignment horizontal="center" vertical="center" wrapText="1"/>
    </xf>
    <xf numFmtId="10" fontId="2" fillId="20" borderId="0" xfId="0" applyNumberFormat="1" applyFont="1" applyFill="1" applyAlignment="1">
      <alignment horizontal="center" vertical="center" wrapText="1"/>
    </xf>
    <xf numFmtId="2" fontId="2" fillId="20" borderId="0" xfId="0" applyNumberFormat="1" applyFont="1" applyFill="1" applyAlignment="1">
      <alignment horizontal="center" vertical="center" wrapText="1"/>
    </xf>
    <xf numFmtId="2" fontId="2" fillId="21" borderId="0" xfId="0" applyNumberFormat="1" applyFont="1" applyFill="1" applyAlignment="1">
      <alignment horizontal="center" vertical="center" wrapText="1"/>
    </xf>
    <xf numFmtId="9" fontId="2" fillId="20" borderId="0" xfId="0" applyNumberFormat="1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/>
    </xf>
    <xf numFmtId="14" fontId="1" fillId="22" borderId="0" xfId="0" applyNumberFormat="1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164" fontId="2" fillId="24" borderId="0" xfId="0" applyNumberFormat="1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1" fillId="19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/>
    <xf numFmtId="164" fontId="3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9" fillId="23" borderId="0" xfId="0" applyFont="1" applyFill="1" applyAlignment="1">
      <alignment horizontal="center"/>
    </xf>
    <xf numFmtId="0" fontId="9" fillId="26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9" fillId="2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REVENUE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404069767441862"/>
          <c:y val="0.13006230529595014"/>
          <c:w val="0.59644882005006461"/>
          <c:h val="0.819937694704049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1-4A8C-4CCD-95C8-98BC5445524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166300</c:v>
                </c:pt>
                <c:pt idx="1">
                  <c:v>44660</c:v>
                </c:pt>
                <c:pt idx="2">
                  <c:v>88800</c:v>
                </c:pt>
                <c:pt idx="3">
                  <c:v>46256</c:v>
                </c:pt>
                <c:pt idx="4">
                  <c:v>61104</c:v>
                </c:pt>
                <c:pt idx="5">
                  <c:v>32046</c:v>
                </c:pt>
                <c:pt idx="6">
                  <c:v>79900</c:v>
                </c:pt>
                <c:pt idx="7">
                  <c:v>110490</c:v>
                </c:pt>
                <c:pt idx="8">
                  <c:v>120080</c:v>
                </c:pt>
                <c:pt idx="9">
                  <c:v>97380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CCD-95C8-98BC544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Contribution of each SKU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'Profit  Loss'!$B$7</c:f>
              <c:strCache>
                <c:ptCount val="1"/>
                <c:pt idx="0">
                  <c:v>P/L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407-42C1-9726-23DDA543722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407-42C1-9726-23DDA543722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407-42C1-9726-23DDA543722B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407-42C1-9726-23DDA543722B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407-42C1-9726-23DDA543722B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2407-42C1-9726-23DDA543722B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2407-42C1-9726-23DDA543722B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2407-42C1-9726-23DDA543722B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2407-42C1-9726-23DDA543722B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2407-42C1-9726-23DDA543722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Loss'!$B$8:$B$17</c:f>
              <c:numCache>
                <c:formatCode>[$₹]#,##0</c:formatCode>
                <c:ptCount val="10"/>
                <c:pt idx="0">
                  <c:v>22480</c:v>
                </c:pt>
                <c:pt idx="1">
                  <c:v>4216.8000000000029</c:v>
                </c:pt>
                <c:pt idx="2">
                  <c:v>9312</c:v>
                </c:pt>
                <c:pt idx="3">
                  <c:v>6390.5</c:v>
                </c:pt>
                <c:pt idx="4">
                  <c:v>6231.5200000000041</c:v>
                </c:pt>
                <c:pt idx="5">
                  <c:v>1890.8000000000029</c:v>
                </c:pt>
                <c:pt idx="6">
                  <c:v>7110.1600000000035</c:v>
                </c:pt>
                <c:pt idx="7">
                  <c:v>12579</c:v>
                </c:pt>
                <c:pt idx="8">
                  <c:v>6004</c:v>
                </c:pt>
                <c:pt idx="9">
                  <c:v>25744.799999999988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07-42C1-9726-23DDA543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225697062591"/>
          <c:y val="0.19245442680320698"/>
          <c:w val="0.76067491563554557"/>
          <c:h val="0.5865585330444048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C16-4EF5-85D7-CDD9DC2D3316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C16-4EF5-85D7-CDD9DC2D3316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6C16-4EF5-85D7-CDD9DC2D3316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C16-4EF5-85D7-CDD9DC2D3316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6C16-4EF5-85D7-CDD9DC2D3316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6C16-4EF5-85D7-CDD9DC2D33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Loss'!$D$8:$D$17</c:f>
              <c:numCache>
                <c:formatCode>0.00%</c:formatCode>
                <c:ptCount val="10"/>
                <c:pt idx="0">
                  <c:v>0.2204795272793395</c:v>
                </c:pt>
                <c:pt idx="1">
                  <c:v>4.135756541955158E-2</c:v>
                </c:pt>
                <c:pt idx="2">
                  <c:v>9.1330309520694375E-2</c:v>
                </c:pt>
                <c:pt idx="3">
                  <c:v>6.2676798001717937E-2</c:v>
                </c:pt>
                <c:pt idx="4">
                  <c:v>6.1117552661554747E-2</c:v>
                </c:pt>
                <c:pt idx="5">
                  <c:v>1.8544603655683976E-2</c:v>
                </c:pt>
                <c:pt idx="6">
                  <c:v>6.9735085217102727E-2</c:v>
                </c:pt>
                <c:pt idx="7">
                  <c:v>0.12337241875653077</c:v>
                </c:pt>
                <c:pt idx="8">
                  <c:v>5.8886080150585163E-2</c:v>
                </c:pt>
                <c:pt idx="9">
                  <c:v>0.25250005933723918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6-4EF5-85D7-CDD9DC2D3316}"/>
            </c:ext>
          </c:extLst>
        </c:ser>
        <c:ser>
          <c:idx val="1"/>
          <c:order val="1"/>
          <c:tx>
            <c:strRef>
              <c:f>'Profit  Loss'!$E$7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Loss'!$E$8:$E$17</c:f>
              <c:numCache>
                <c:formatCode>0%</c:formatCode>
                <c:ptCount val="10"/>
                <c:pt idx="0">
                  <c:v>0.19515824481973973</c:v>
                </c:pt>
                <c:pt idx="1">
                  <c:v>5.2409905073058184E-2</c:v>
                </c:pt>
                <c:pt idx="2">
                  <c:v>0.10420957390254293</c:v>
                </c:pt>
                <c:pt idx="3">
                  <c:v>5.4282860928333621E-2</c:v>
                </c:pt>
                <c:pt idx="4">
                  <c:v>7.1707452744830882E-2</c:v>
                </c:pt>
                <c:pt idx="5">
                  <c:v>3.7606982041451471E-2</c:v>
                </c:pt>
                <c:pt idx="6">
                  <c:v>9.3765145887535803E-2</c:v>
                </c:pt>
                <c:pt idx="7">
                  <c:v>0.12966346644698162</c:v>
                </c:pt>
                <c:pt idx="8">
                  <c:v>0.13683726290268258</c:v>
                </c:pt>
                <c:pt idx="9">
                  <c:v>0.12435910525284317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16-4EF5-85D7-CDD9DC2D3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0934608"/>
        <c:axId val="1673811376"/>
      </c:barChart>
      <c:catAx>
        <c:axId val="13909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11376"/>
        <c:crosses val="autoZero"/>
        <c:auto val="1"/>
        <c:lblAlgn val="ctr"/>
        <c:lblOffset val="100"/>
        <c:noMultiLvlLbl val="1"/>
      </c:catAx>
      <c:valAx>
        <c:axId val="1673811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3909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MARGIN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Loss'!$F$7</c:f>
              <c:strCache>
                <c:ptCount val="1"/>
                <c:pt idx="0">
                  <c:v>PROFIT MARGIN %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Loss'!$F$8:$F$17</c:f>
              <c:numCache>
                <c:formatCode>0.00%</c:formatCode>
                <c:ptCount val="10"/>
                <c:pt idx="0">
                  <c:v>0.197548387096774</c:v>
                </c:pt>
                <c:pt idx="1">
                  <c:v>0.2</c:v>
                </c:pt>
                <c:pt idx="2">
                  <c:v>0.17499999999999999</c:v>
                </c:pt>
                <c:pt idx="3">
                  <c:v>0.14893617021276595</c:v>
                </c:pt>
                <c:pt idx="4">
                  <c:v>0.10967741935484035</c:v>
                </c:pt>
                <c:pt idx="5">
                  <c:v>6.000000000000049E-2</c:v>
                </c:pt>
                <c:pt idx="6">
                  <c:v>5.7971014492753624E-2</c:v>
                </c:pt>
                <c:pt idx="7">
                  <c:v>0.19786096256684493</c:v>
                </c:pt>
                <c:pt idx="8">
                  <c:v>5.00000000000001E-2</c:v>
                </c:pt>
                <c:pt idx="9">
                  <c:v>0.18000000000000024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1F-40D1-BA17-0E2FC818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7778"/>
        <c:axId val="1620342099"/>
      </c:barChart>
      <c:catAx>
        <c:axId val="201824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20342099"/>
        <c:crosses val="autoZero"/>
        <c:auto val="1"/>
        <c:lblAlgn val="ctr"/>
        <c:lblOffset val="100"/>
        <c:noMultiLvlLbl val="1"/>
      </c:catAx>
      <c:valAx>
        <c:axId val="162034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82477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Total Profit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89081364829397"/>
          <c:y val="0.23917340521114105"/>
          <c:w val="0.83919265091863515"/>
          <c:h val="0.4874229400570210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Loss'!$B$47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layout>
                <c:manualLayout>
                  <c:x val="2.2222222222222222E-3"/>
                  <c:y val="1.0781671159029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06-40ED-A415-EC08BB8932E5}"/>
                </c:ext>
              </c:extLst>
            </c:dLbl>
            <c:dLbl>
              <c:idx val="1"/>
              <c:layout>
                <c:manualLayout>
                  <c:x val="4.4444444444444444E-3"/>
                  <c:y val="-6.588722928139726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06-40ED-A415-EC08BB89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TOOR DAL</c:v>
                </c:pt>
                <c:pt idx="4">
                  <c:v>COOKING OIL</c:v>
                </c:pt>
                <c:pt idx="5">
                  <c:v>MOONG DAL</c:v>
                </c:pt>
                <c:pt idx="6">
                  <c:v>URAD DAL</c:v>
                </c:pt>
                <c:pt idx="7">
                  <c:v>ATTA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Loss'!$B$48:$B$57</c:f>
              <c:numCache>
                <c:formatCode>0.00%</c:formatCode>
                <c:ptCount val="10"/>
                <c:pt idx="0">
                  <c:v>0.2204795272793395</c:v>
                </c:pt>
                <c:pt idx="1">
                  <c:v>0.25250005933723918</c:v>
                </c:pt>
                <c:pt idx="2">
                  <c:v>0.12337241875653077</c:v>
                </c:pt>
                <c:pt idx="3">
                  <c:v>9.1330309520694375E-2</c:v>
                </c:pt>
                <c:pt idx="4">
                  <c:v>6.9735085217102727E-2</c:v>
                </c:pt>
                <c:pt idx="5">
                  <c:v>6.2676798001717937E-2</c:v>
                </c:pt>
                <c:pt idx="6">
                  <c:v>6.1117552661554747E-2</c:v>
                </c:pt>
                <c:pt idx="7">
                  <c:v>4.135756541955158E-2</c:v>
                </c:pt>
                <c:pt idx="8">
                  <c:v>5.8886080150585163E-2</c:v>
                </c:pt>
                <c:pt idx="9">
                  <c:v>1.8544603655683976E-2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06-40ED-A415-EC08BB89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8975"/>
        <c:axId val="1063190530"/>
      </c:barChart>
      <c:lineChart>
        <c:grouping val="standard"/>
        <c:varyColors val="0"/>
        <c:ser>
          <c:idx val="1"/>
          <c:order val="1"/>
          <c:tx>
            <c:strRef>
              <c:f>'Profit  Loss'!$C$47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06-40ED-A415-EC08BB8932E5}"/>
                </c:ext>
              </c:extLst>
            </c:dLbl>
            <c:dLbl>
              <c:idx val="2"/>
              <c:layout>
                <c:manualLayout>
                  <c:x val="0"/>
                  <c:y val="1.07816711590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06-40ED-A415-EC08BB8932E5}"/>
                </c:ext>
              </c:extLst>
            </c:dLbl>
            <c:dLbl>
              <c:idx val="3"/>
              <c:layout>
                <c:manualLayout>
                  <c:x val="-8.1480540211327956E-17"/>
                  <c:y val="1.4375561545372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06-40ED-A415-EC08BB8932E5}"/>
                </c:ext>
              </c:extLst>
            </c:dLbl>
            <c:dLbl>
              <c:idx val="4"/>
              <c:layout>
                <c:manualLayout>
                  <c:x val="0"/>
                  <c:y val="1.4375561545372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06-40ED-A415-EC08BB8932E5}"/>
                </c:ext>
              </c:extLst>
            </c:dLbl>
            <c:dLbl>
              <c:idx val="5"/>
              <c:layout>
                <c:manualLayout>
                  <c:x val="-8.1480540211327956E-17"/>
                  <c:y val="1.07816711590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06-40ED-A415-EC08BB8932E5}"/>
                </c:ext>
              </c:extLst>
            </c:dLbl>
            <c:dLbl>
              <c:idx val="6"/>
              <c:layout>
                <c:manualLayout>
                  <c:x val="-8.1480540211327956E-17"/>
                  <c:y val="1.0781671159029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06-40ED-A415-EC08BB8932E5}"/>
                </c:ext>
              </c:extLst>
            </c:dLbl>
            <c:dLbl>
              <c:idx val="7"/>
              <c:layout>
                <c:manualLayout>
                  <c:x val="-1.6296108042265591E-16"/>
                  <c:y val="1.07816711590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6-40ED-A415-EC08BB8932E5}"/>
                </c:ext>
              </c:extLst>
            </c:dLbl>
            <c:dLbl>
              <c:idx val="8"/>
              <c:layout>
                <c:manualLayout>
                  <c:x val="-1.6296108042265591E-16"/>
                  <c:y val="1.7969451931716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6-40ED-A415-EC08BB8932E5}"/>
                </c:ext>
              </c:extLst>
            </c:dLbl>
            <c:dLbl>
              <c:idx val="9"/>
              <c:layout>
                <c:manualLayout>
                  <c:x val="-1.6296108042265591E-16"/>
                  <c:y val="-2.156334231805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6-40ED-A415-EC08BB893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TOOR DAL</c:v>
                </c:pt>
                <c:pt idx="4">
                  <c:v>COOKING OIL</c:v>
                </c:pt>
                <c:pt idx="5">
                  <c:v>MOONG DAL</c:v>
                </c:pt>
                <c:pt idx="6">
                  <c:v>URAD DAL</c:v>
                </c:pt>
                <c:pt idx="7">
                  <c:v>ATTA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Loss'!$C$48:$C$57</c:f>
              <c:numCache>
                <c:formatCode>0.00%</c:formatCode>
                <c:ptCount val="10"/>
                <c:pt idx="0">
                  <c:v>0.2204795272793395</c:v>
                </c:pt>
                <c:pt idx="1">
                  <c:v>0.47297958661657868</c:v>
                </c:pt>
                <c:pt idx="2">
                  <c:v>0.59635200537310951</c:v>
                </c:pt>
                <c:pt idx="3">
                  <c:v>0.68768231489380383</c:v>
                </c:pt>
                <c:pt idx="4">
                  <c:v>0.75741740011090652</c:v>
                </c:pt>
                <c:pt idx="5">
                  <c:v>0.82009419811262441</c:v>
                </c:pt>
                <c:pt idx="6">
                  <c:v>0.88121175077417913</c:v>
                </c:pt>
                <c:pt idx="7">
                  <c:v>0.92256931619373073</c:v>
                </c:pt>
                <c:pt idx="8">
                  <c:v>0.98145539634431589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6-40ED-A415-EC08BB89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975"/>
        <c:axId val="1063190530"/>
      </c:lineChart>
      <c:catAx>
        <c:axId val="2105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190530"/>
        <c:crosses val="autoZero"/>
        <c:auto val="1"/>
        <c:lblAlgn val="ctr"/>
        <c:lblOffset val="100"/>
        <c:noMultiLvlLbl val="1"/>
      </c:catAx>
      <c:valAx>
        <c:axId val="106319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58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 Total REVENUE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30395110007222"/>
          <c:y val="0.23917340521114105"/>
          <c:w val="0.82357201994046048"/>
          <c:h val="0.45597639917651805"/>
        </c:manualLayout>
      </c:layout>
      <c:barChart>
        <c:barDir val="col"/>
        <c:grouping val="clustered"/>
        <c:varyColors val="1"/>
        <c:ser>
          <c:idx val="0"/>
          <c:order val="0"/>
          <c:tx>
            <c:v>% Revenue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1"/>
              <c:layout>
                <c:manualLayout>
                  <c:x val="-2.2371364653243847E-3"/>
                  <c:y val="7.1877807726864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E1-4172-BF1B-AF9C86530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Loss'!$B$63:$B$72</c:f>
              <c:numCache>
                <c:formatCode>0.00%</c:formatCode>
                <c:ptCount val="10"/>
                <c:pt idx="0">
                  <c:v>0.19515824481973973</c:v>
                </c:pt>
                <c:pt idx="1">
                  <c:v>0.15835483608115816</c:v>
                </c:pt>
                <c:pt idx="2">
                  <c:v>0.11675313034739386</c:v>
                </c:pt>
                <c:pt idx="3">
                  <c:v>0.11406958741885542</c:v>
                </c:pt>
                <c:pt idx="4">
                  <c:v>0.1126721351549556</c:v>
                </c:pt>
                <c:pt idx="5">
                  <c:v>8.0432952168835045E-2</c:v>
                </c:pt>
                <c:pt idx="6">
                  <c:v>7.1274139663742297E-2</c:v>
                </c:pt>
                <c:pt idx="7">
                  <c:v>6.2399999999999997E-2</c:v>
                </c:pt>
                <c:pt idx="8">
                  <c:v>4.8899999999999999E-2</c:v>
                </c:pt>
                <c:pt idx="9">
                  <c:v>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CE-4FB9-A390-004BAB5E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236"/>
        <c:axId val="1599166561"/>
      </c:barChart>
      <c:lineChart>
        <c:grouping val="standard"/>
        <c:varyColors val="0"/>
        <c:ser>
          <c:idx val="1"/>
          <c:order val="1"/>
          <c:tx>
            <c:v>Cumulative Revenue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E1-4172-BF1B-AF9C86530E41}"/>
                </c:ext>
              </c:extLst>
            </c:dLbl>
            <c:dLbl>
              <c:idx val="9"/>
              <c:layout>
                <c:manualLayout>
                  <c:x val="0"/>
                  <c:y val="-2.5157232704402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E1-4172-BF1B-AF9C86530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Loss'!$C$63:$C$72</c:f>
              <c:numCache>
                <c:formatCode>0.00%</c:formatCode>
                <c:ptCount val="10"/>
                <c:pt idx="0">
                  <c:v>0.19515824481973973</c:v>
                </c:pt>
                <c:pt idx="1">
                  <c:v>0.35351308090089789</c:v>
                </c:pt>
                <c:pt idx="2">
                  <c:v>0.47026621124829177</c:v>
                </c:pt>
                <c:pt idx="3">
                  <c:v>0.58433579866714713</c:v>
                </c:pt>
                <c:pt idx="4">
                  <c:v>0.69700793382210269</c:v>
                </c:pt>
                <c:pt idx="5">
                  <c:v>0.77744088599093775</c:v>
                </c:pt>
                <c:pt idx="6">
                  <c:v>0.84871502565468004</c:v>
                </c:pt>
                <c:pt idx="7">
                  <c:v>0.91111502565468006</c:v>
                </c:pt>
                <c:pt idx="8">
                  <c:v>0.96001502565468</c:v>
                </c:pt>
                <c:pt idx="9">
                  <c:v>1.00001502565468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E-4FB9-A390-004BAB5E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9236"/>
        <c:axId val="1599166561"/>
      </c:lineChart>
      <c:catAx>
        <c:axId val="11549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9166561"/>
        <c:crosses val="autoZero"/>
        <c:auto val="1"/>
        <c:lblAlgn val="ctr"/>
        <c:lblOffset val="100"/>
        <c:noMultiLvlLbl val="1"/>
      </c:catAx>
      <c:valAx>
        <c:axId val="159916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992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49440715883673"/>
          <c:y val="9.0967591315236587E-2"/>
          <c:w val="0.27026845637583891"/>
          <c:h val="0.1190528542422763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SALES, TOTAL EXPENDITURE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Loss'!$B$85:$B$115</c:f>
              <c:numCache>
                <c:formatCode>[$₹]#,##0</c:formatCode>
                <c:ptCount val="31"/>
                <c:pt idx="0">
                  <c:v>47505</c:v>
                </c:pt>
                <c:pt idx="1">
                  <c:v>40895</c:v>
                </c:pt>
                <c:pt idx="2">
                  <c:v>37725</c:v>
                </c:pt>
                <c:pt idx="3">
                  <c:v>40791</c:v>
                </c:pt>
                <c:pt idx="4">
                  <c:v>38564</c:v>
                </c:pt>
                <c:pt idx="5">
                  <c:v>15750</c:v>
                </c:pt>
                <c:pt idx="6">
                  <c:v>13994</c:v>
                </c:pt>
                <c:pt idx="7">
                  <c:v>15945</c:v>
                </c:pt>
                <c:pt idx="8">
                  <c:v>17848</c:v>
                </c:pt>
                <c:pt idx="9">
                  <c:v>13219</c:v>
                </c:pt>
                <c:pt idx="10">
                  <c:v>13964</c:v>
                </c:pt>
                <c:pt idx="11">
                  <c:v>12828</c:v>
                </c:pt>
                <c:pt idx="12">
                  <c:v>11955</c:v>
                </c:pt>
                <c:pt idx="13">
                  <c:v>18621</c:v>
                </c:pt>
                <c:pt idx="14">
                  <c:v>12677</c:v>
                </c:pt>
                <c:pt idx="15">
                  <c:v>13207</c:v>
                </c:pt>
                <c:pt idx="16">
                  <c:v>8227</c:v>
                </c:pt>
                <c:pt idx="17">
                  <c:v>9808</c:v>
                </c:pt>
                <c:pt idx="18">
                  <c:v>12113</c:v>
                </c:pt>
                <c:pt idx="19">
                  <c:v>15955</c:v>
                </c:pt>
                <c:pt idx="20">
                  <c:v>15695</c:v>
                </c:pt>
                <c:pt idx="21">
                  <c:v>62535</c:v>
                </c:pt>
                <c:pt idx="22">
                  <c:v>68743</c:v>
                </c:pt>
                <c:pt idx="23">
                  <c:v>58950</c:v>
                </c:pt>
                <c:pt idx="24">
                  <c:v>50069</c:v>
                </c:pt>
                <c:pt idx="25">
                  <c:v>20450</c:v>
                </c:pt>
                <c:pt idx="26">
                  <c:v>28613</c:v>
                </c:pt>
                <c:pt idx="27">
                  <c:v>42342</c:v>
                </c:pt>
                <c:pt idx="28">
                  <c:v>26626</c:v>
                </c:pt>
                <c:pt idx="29">
                  <c:v>31702</c:v>
                </c:pt>
                <c:pt idx="30">
                  <c:v>29700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D1-4FFA-B2EB-4649E154A62D}"/>
            </c:ext>
          </c:extLst>
        </c:ser>
        <c:ser>
          <c:idx val="1"/>
          <c:order val="1"/>
          <c:tx>
            <c:strRef>
              <c:f>'Profit  Loss'!$C$84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Loss'!$C$85:$C$115</c:f>
              <c:numCache>
                <c:formatCode>[$₹]#,##0</c:formatCode>
                <c:ptCount val="31"/>
                <c:pt idx="0">
                  <c:v>34268.399999999994</c:v>
                </c:pt>
                <c:pt idx="1">
                  <c:v>15932</c:v>
                </c:pt>
                <c:pt idx="2">
                  <c:v>35936</c:v>
                </c:pt>
                <c:pt idx="3">
                  <c:v>17064</c:v>
                </c:pt>
                <c:pt idx="4">
                  <c:v>4560</c:v>
                </c:pt>
                <c:pt idx="5">
                  <c:v>27171</c:v>
                </c:pt>
                <c:pt idx="6">
                  <c:v>17145</c:v>
                </c:pt>
                <c:pt idx="7">
                  <c:v>3420</c:v>
                </c:pt>
                <c:pt idx="8">
                  <c:v>7192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62942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36161.15</c:v>
                </c:pt>
                <c:pt idx="19">
                  <c:v>94710.75</c:v>
                </c:pt>
                <c:pt idx="20">
                  <c:v>85231</c:v>
                </c:pt>
                <c:pt idx="21">
                  <c:v>5130</c:v>
                </c:pt>
                <c:pt idx="22">
                  <c:v>5130</c:v>
                </c:pt>
                <c:pt idx="23">
                  <c:v>75819.199999999997</c:v>
                </c:pt>
                <c:pt idx="24">
                  <c:v>5700</c:v>
                </c:pt>
                <c:pt idx="25">
                  <c:v>3420</c:v>
                </c:pt>
                <c:pt idx="26">
                  <c:v>43070.2</c:v>
                </c:pt>
                <c:pt idx="27">
                  <c:v>30303.399999999998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D1-4FFA-B2EB-4649E15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91851"/>
        <c:axId val="687321952"/>
      </c:barChart>
      <c:lineChart>
        <c:grouping val="standard"/>
        <c:varyColors val="0"/>
        <c:ser>
          <c:idx val="2"/>
          <c:order val="2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13236.600000000006</c:v>
                </c:pt>
                <c:pt idx="1">
                  <c:v>24963</c:v>
                </c:pt>
                <c:pt idx="2">
                  <c:v>1789</c:v>
                </c:pt>
                <c:pt idx="3">
                  <c:v>23727</c:v>
                </c:pt>
                <c:pt idx="4">
                  <c:v>34004</c:v>
                </c:pt>
                <c:pt idx="5">
                  <c:v>-11421</c:v>
                </c:pt>
                <c:pt idx="6">
                  <c:v>-3151</c:v>
                </c:pt>
                <c:pt idx="7">
                  <c:v>12525</c:v>
                </c:pt>
                <c:pt idx="8">
                  <c:v>10656</c:v>
                </c:pt>
                <c:pt idx="9">
                  <c:v>9799</c:v>
                </c:pt>
                <c:pt idx="10">
                  <c:v>10544</c:v>
                </c:pt>
                <c:pt idx="11">
                  <c:v>9408</c:v>
                </c:pt>
                <c:pt idx="12">
                  <c:v>8535</c:v>
                </c:pt>
                <c:pt idx="13">
                  <c:v>-44321</c:v>
                </c:pt>
                <c:pt idx="14">
                  <c:v>9257</c:v>
                </c:pt>
                <c:pt idx="15">
                  <c:v>10072</c:v>
                </c:pt>
                <c:pt idx="16">
                  <c:v>5144.25</c:v>
                </c:pt>
                <c:pt idx="17">
                  <c:v>6725.25</c:v>
                </c:pt>
                <c:pt idx="18">
                  <c:v>-24048.15</c:v>
                </c:pt>
                <c:pt idx="19">
                  <c:v>-78755.75</c:v>
                </c:pt>
                <c:pt idx="20">
                  <c:v>-69536</c:v>
                </c:pt>
                <c:pt idx="21">
                  <c:v>57405</c:v>
                </c:pt>
                <c:pt idx="22">
                  <c:v>63613</c:v>
                </c:pt>
                <c:pt idx="23">
                  <c:v>-16869.199999999997</c:v>
                </c:pt>
                <c:pt idx="24">
                  <c:v>44369</c:v>
                </c:pt>
                <c:pt idx="25">
                  <c:v>17030</c:v>
                </c:pt>
                <c:pt idx="26">
                  <c:v>-14457.199999999997</c:v>
                </c:pt>
                <c:pt idx="27">
                  <c:v>12038.600000000002</c:v>
                </c:pt>
                <c:pt idx="28">
                  <c:v>23491</c:v>
                </c:pt>
                <c:pt idx="29">
                  <c:v>28567</c:v>
                </c:pt>
                <c:pt idx="30">
                  <c:v>26565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1-4FFA-B2EB-4649E15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991851"/>
        <c:axId val="687321952"/>
      </c:lineChart>
      <c:dateAx>
        <c:axId val="68799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321952"/>
        <c:crosses val="autoZero"/>
        <c:auto val="1"/>
        <c:lblOffset val="100"/>
        <c:baseTimeUnit val="days"/>
      </c:dateAx>
      <c:valAx>
        <c:axId val="68732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991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Profit/Loss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749745491969"/>
          <c:y val="0.22841910386201722"/>
          <c:w val="0.88905626571008656"/>
          <c:h val="0.730158886389201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narHorz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1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1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1"/>
            <c:bubble3D val="0"/>
            <c:spPr>
              <a:pattFill prst="narHorz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1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658-46CB-957A-CFD8CBF9122B}"/>
              </c:ext>
            </c:extLst>
          </c:dPt>
          <c:dPt>
            <c:idx val="6"/>
            <c:invertIfNegative val="1"/>
            <c:bubble3D val="0"/>
            <c:spPr>
              <a:pattFill prst="narHorz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658-46CB-957A-CFD8CBF9122B}"/>
              </c:ext>
            </c:extLst>
          </c:dPt>
          <c:dPt>
            <c:idx val="7"/>
            <c:invertIfNegative val="1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1"/>
            <c:bubble3D val="0"/>
            <c:spPr>
              <a:pattFill prst="narHorz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658-46CB-957A-CFD8CBF9122B}"/>
              </c:ext>
            </c:extLst>
          </c:dPt>
          <c:dPt>
            <c:idx val="9"/>
            <c:invertIfNegative val="1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A658-46CB-957A-CFD8CBF9122B}"/>
              </c:ext>
            </c:extLst>
          </c:dPt>
          <c:dPt>
            <c:idx val="10"/>
            <c:invertIfNegative val="1"/>
            <c:bubble3D val="0"/>
            <c:spPr>
              <a:pattFill prst="narHorz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658-46CB-957A-CFD8CBF9122B}"/>
              </c:ext>
            </c:extLst>
          </c:dPt>
          <c:dPt>
            <c:idx val="11"/>
            <c:invertIfNegative val="1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1"/>
            <c:bubble3D val="0"/>
            <c:spPr>
              <a:pattFill prst="narHorz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A658-46CB-957A-CFD8CBF9122B}"/>
              </c:ext>
            </c:extLst>
          </c:dPt>
          <c:dPt>
            <c:idx val="13"/>
            <c:invertIfNegative val="1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1"/>
            <c:bubble3D val="0"/>
            <c:spPr>
              <a:pattFill prst="narHorz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A658-46CB-957A-CFD8CBF9122B}"/>
              </c:ext>
            </c:extLst>
          </c:dPt>
          <c:dPt>
            <c:idx val="15"/>
            <c:invertIfNegative val="1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658-46CB-957A-CFD8CBF9122B}"/>
              </c:ext>
            </c:extLst>
          </c:dPt>
          <c:dPt>
            <c:idx val="16"/>
            <c:invertIfNegative val="1"/>
            <c:bubble3D val="0"/>
            <c:spPr>
              <a:pattFill prst="narHorz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1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A658-46CB-957A-CFD8CBF9122B}"/>
              </c:ext>
            </c:extLst>
          </c:dPt>
          <c:dPt>
            <c:idx val="18"/>
            <c:invertIfNegative val="1"/>
            <c:bubble3D val="0"/>
            <c:spPr>
              <a:pattFill prst="narHorz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658-46CB-957A-CFD8CBF9122B}"/>
              </c:ext>
            </c:extLst>
          </c:dPt>
          <c:dPt>
            <c:idx val="19"/>
            <c:invertIfNegative val="1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1"/>
            <c:bubble3D val="0"/>
            <c:spPr>
              <a:pattFill prst="narHorz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1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1"/>
            <c:bubble3D val="0"/>
            <c:spPr>
              <a:pattFill prst="narHorz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23"/>
            <c:invertIfNegative val="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A658-46CB-957A-CFD8CBF9122B}"/>
              </c:ext>
            </c:extLst>
          </c:dPt>
          <c:dPt>
            <c:idx val="24"/>
            <c:invertIfNegative val="1"/>
            <c:bubble3D val="0"/>
            <c:spPr>
              <a:pattFill prst="narHorz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</c:dPt>
          <c:dPt>
            <c:idx val="25"/>
            <c:invertIfNegative val="1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26"/>
            <c:invertIfNegative val="1"/>
            <c:bubble3D val="0"/>
            <c:spPr>
              <a:pattFill prst="narHorz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658-46CB-957A-CFD8CBF9122B}"/>
              </c:ext>
            </c:extLst>
          </c:dPt>
          <c:dPt>
            <c:idx val="27"/>
            <c:invertIfNegative val="1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28"/>
            <c:invertIfNegative val="1"/>
            <c:bubble3D val="0"/>
            <c:spPr>
              <a:pattFill prst="narHorz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29"/>
            <c:invertIfNegative val="1"/>
            <c:bubble3D val="0"/>
            <c:spPr>
              <a:pattFill prst="narHorz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658-46CB-957A-CFD8CBF9122B}"/>
              </c:ext>
            </c:extLst>
          </c:dPt>
          <c:dPt>
            <c:idx val="30"/>
            <c:invertIfNegative val="1"/>
            <c:bubble3D val="0"/>
            <c:spPr>
              <a:pattFill prst="narHorz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</c:dPt>
          <c:dLbls>
            <c:dLbl>
              <c:idx val="5"/>
              <c:layout>
                <c:manualLayout>
                  <c:x val="-1.1283497884344146E-2"/>
                  <c:y val="-8.03569085114360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58-46CB-957A-CFD8CBF9122B}"/>
                </c:ext>
              </c:extLst>
            </c:dLbl>
            <c:dLbl>
              <c:idx val="6"/>
              <c:layout>
                <c:manualLayout>
                  <c:x val="1.5044663845792127E-2"/>
                  <c:y val="-0.116071194225721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58-46CB-957A-CFD8CBF9122B}"/>
                </c:ext>
              </c:extLst>
            </c:dLbl>
            <c:dLbl>
              <c:idx val="8"/>
              <c:layout>
                <c:manualLayout>
                  <c:x val="-6.8953912731730284E-17"/>
                  <c:y val="-5.35714285714285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58-46CB-957A-CFD8CBF9122B}"/>
                </c:ext>
              </c:extLst>
            </c:dLbl>
            <c:dLbl>
              <c:idx val="10"/>
              <c:layout>
                <c:manualLayout>
                  <c:x val="0"/>
                  <c:y val="-3.57142857142857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58-46CB-957A-CFD8CBF9122B}"/>
                </c:ext>
              </c:extLst>
            </c:dLbl>
            <c:dLbl>
              <c:idx val="12"/>
              <c:layout>
                <c:manualLayout>
                  <c:x val="5.6417489421720732E-3"/>
                  <c:y val="-3.5714285714285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58-46CB-957A-CFD8CBF9122B}"/>
                </c:ext>
              </c:extLst>
            </c:dLbl>
            <c:dLbl>
              <c:idx val="14"/>
              <c:layout>
                <c:manualLayout>
                  <c:x val="-9.402914903620053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58-46CB-957A-CFD8CBF9122B}"/>
                </c:ext>
              </c:extLst>
            </c:dLbl>
            <c:dLbl>
              <c:idx val="15"/>
              <c:layout>
                <c:manualLayout>
                  <c:x val="0"/>
                  <c:y val="-1.78571428571428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58-46CB-957A-CFD8CBF9122B}"/>
                </c:ext>
              </c:extLst>
            </c:dLbl>
            <c:dLbl>
              <c:idx val="17"/>
              <c:layout>
                <c:manualLayout>
                  <c:x val="1.1283497884344146E-2"/>
                  <c:y val="-2.08333333333333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58-46CB-957A-CFD8CBF9122B}"/>
                </c:ext>
              </c:extLst>
            </c:dLbl>
            <c:dLbl>
              <c:idx val="18"/>
              <c:layout>
                <c:manualLayout>
                  <c:x val="-1.8805829807240312E-2"/>
                  <c:y val="-5.05950037495313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58-46CB-957A-CFD8CBF9122B}"/>
                </c:ext>
              </c:extLst>
            </c:dLbl>
            <c:dLbl>
              <c:idx val="23"/>
              <c:layout>
                <c:manualLayout>
                  <c:x val="0"/>
                  <c:y val="-8.6309523809523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58-46CB-957A-CFD8CBF9122B}"/>
                </c:ext>
              </c:extLst>
            </c:dLbl>
            <c:dLbl>
              <c:idx val="26"/>
              <c:layout>
                <c:manualLayout>
                  <c:x val="0"/>
                  <c:y val="-9.8214285714285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58-46CB-957A-CFD8CBF9122B}"/>
                </c:ext>
              </c:extLst>
            </c:dLbl>
            <c:dLbl>
              <c:idx val="29"/>
              <c:layout>
                <c:manualLayout>
                  <c:x val="-1.1283497884344146E-2"/>
                  <c:y val="-2.67857142857142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58-46CB-957A-CFD8CBF91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Trendline for PROFIT / LOSS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13236.600000000006</c:v>
                </c:pt>
                <c:pt idx="1">
                  <c:v>24963</c:v>
                </c:pt>
                <c:pt idx="2">
                  <c:v>1789</c:v>
                </c:pt>
                <c:pt idx="3">
                  <c:v>23727</c:v>
                </c:pt>
                <c:pt idx="4">
                  <c:v>34004</c:v>
                </c:pt>
                <c:pt idx="5">
                  <c:v>-11421</c:v>
                </c:pt>
                <c:pt idx="6">
                  <c:v>-3151</c:v>
                </c:pt>
                <c:pt idx="7">
                  <c:v>12525</c:v>
                </c:pt>
                <c:pt idx="8">
                  <c:v>10656</c:v>
                </c:pt>
                <c:pt idx="9">
                  <c:v>9799</c:v>
                </c:pt>
                <c:pt idx="10">
                  <c:v>10544</c:v>
                </c:pt>
                <c:pt idx="11">
                  <c:v>9408</c:v>
                </c:pt>
                <c:pt idx="12">
                  <c:v>8535</c:v>
                </c:pt>
                <c:pt idx="13">
                  <c:v>-44321</c:v>
                </c:pt>
                <c:pt idx="14">
                  <c:v>9257</c:v>
                </c:pt>
                <c:pt idx="15">
                  <c:v>10072</c:v>
                </c:pt>
                <c:pt idx="16">
                  <c:v>5144.25</c:v>
                </c:pt>
                <c:pt idx="17">
                  <c:v>6725.25</c:v>
                </c:pt>
                <c:pt idx="18">
                  <c:v>-24048.15</c:v>
                </c:pt>
                <c:pt idx="19">
                  <c:v>-78755.75</c:v>
                </c:pt>
                <c:pt idx="20">
                  <c:v>-69536</c:v>
                </c:pt>
                <c:pt idx="21">
                  <c:v>57405</c:v>
                </c:pt>
                <c:pt idx="22">
                  <c:v>63613</c:v>
                </c:pt>
                <c:pt idx="23">
                  <c:v>-16869.199999999997</c:v>
                </c:pt>
                <c:pt idx="24">
                  <c:v>44369</c:v>
                </c:pt>
                <c:pt idx="25">
                  <c:v>17030</c:v>
                </c:pt>
                <c:pt idx="26">
                  <c:v>-14457.199999999997</c:v>
                </c:pt>
                <c:pt idx="27">
                  <c:v>12038.600000000002</c:v>
                </c:pt>
                <c:pt idx="28">
                  <c:v>23491</c:v>
                </c:pt>
                <c:pt idx="29">
                  <c:v>28567</c:v>
                </c:pt>
                <c:pt idx="30">
                  <c:v>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9-4501-BA07-055F1957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7406261"/>
        <c:axId val="1286778244"/>
      </c:barChart>
      <c:dateAx>
        <c:axId val="105740626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78244"/>
        <c:crosses val="autoZero"/>
        <c:auto val="1"/>
        <c:lblOffset val="100"/>
        <c:baseTimeUnit val="days"/>
      </c:dateAx>
      <c:valAx>
        <c:axId val="12867782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6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Loss'!$B$85:$B$115</c:f>
              <c:numCache>
                <c:formatCode>[$₹]#,##0</c:formatCode>
                <c:ptCount val="31"/>
                <c:pt idx="0">
                  <c:v>47505</c:v>
                </c:pt>
                <c:pt idx="1">
                  <c:v>40895</c:v>
                </c:pt>
                <c:pt idx="2">
                  <c:v>37725</c:v>
                </c:pt>
                <c:pt idx="3">
                  <c:v>40791</c:v>
                </c:pt>
                <c:pt idx="4">
                  <c:v>38564</c:v>
                </c:pt>
                <c:pt idx="5">
                  <c:v>15750</c:v>
                </c:pt>
                <c:pt idx="6">
                  <c:v>13994</c:v>
                </c:pt>
                <c:pt idx="7">
                  <c:v>15945</c:v>
                </c:pt>
                <c:pt idx="8">
                  <c:v>17848</c:v>
                </c:pt>
                <c:pt idx="9">
                  <c:v>13219</c:v>
                </c:pt>
                <c:pt idx="10">
                  <c:v>13964</c:v>
                </c:pt>
                <c:pt idx="11">
                  <c:v>12828</c:v>
                </c:pt>
                <c:pt idx="12">
                  <c:v>11955</c:v>
                </c:pt>
                <c:pt idx="13">
                  <c:v>18621</c:v>
                </c:pt>
                <c:pt idx="14">
                  <c:v>12677</c:v>
                </c:pt>
                <c:pt idx="15">
                  <c:v>13207</c:v>
                </c:pt>
                <c:pt idx="16">
                  <c:v>8227</c:v>
                </c:pt>
                <c:pt idx="17">
                  <c:v>9808</c:v>
                </c:pt>
                <c:pt idx="18">
                  <c:v>12113</c:v>
                </c:pt>
                <c:pt idx="19">
                  <c:v>15955</c:v>
                </c:pt>
                <c:pt idx="20">
                  <c:v>15695</c:v>
                </c:pt>
                <c:pt idx="21">
                  <c:v>62535</c:v>
                </c:pt>
                <c:pt idx="22">
                  <c:v>68743</c:v>
                </c:pt>
                <c:pt idx="23">
                  <c:v>58950</c:v>
                </c:pt>
                <c:pt idx="24">
                  <c:v>50069</c:v>
                </c:pt>
                <c:pt idx="25">
                  <c:v>20450</c:v>
                </c:pt>
                <c:pt idx="26">
                  <c:v>28613</c:v>
                </c:pt>
                <c:pt idx="27">
                  <c:v>42342</c:v>
                </c:pt>
                <c:pt idx="28">
                  <c:v>26626</c:v>
                </c:pt>
                <c:pt idx="29">
                  <c:v>31702</c:v>
                </c:pt>
                <c:pt idx="30">
                  <c:v>29700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F4-4C94-AAA6-3DF68C4A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7793"/>
        <c:axId val="2062681752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13236.600000000006</c:v>
                </c:pt>
                <c:pt idx="1">
                  <c:v>24963</c:v>
                </c:pt>
                <c:pt idx="2">
                  <c:v>1789</c:v>
                </c:pt>
                <c:pt idx="3">
                  <c:v>23727</c:v>
                </c:pt>
                <c:pt idx="4">
                  <c:v>34004</c:v>
                </c:pt>
                <c:pt idx="5">
                  <c:v>-11421</c:v>
                </c:pt>
                <c:pt idx="6">
                  <c:v>-3151</c:v>
                </c:pt>
                <c:pt idx="7">
                  <c:v>12525</c:v>
                </c:pt>
                <c:pt idx="8">
                  <c:v>10656</c:v>
                </c:pt>
                <c:pt idx="9">
                  <c:v>9799</c:v>
                </c:pt>
                <c:pt idx="10">
                  <c:v>10544</c:v>
                </c:pt>
                <c:pt idx="11">
                  <c:v>9408</c:v>
                </c:pt>
                <c:pt idx="12">
                  <c:v>8535</c:v>
                </c:pt>
                <c:pt idx="13">
                  <c:v>-44321</c:v>
                </c:pt>
                <c:pt idx="14">
                  <c:v>9257</c:v>
                </c:pt>
                <c:pt idx="15">
                  <c:v>10072</c:v>
                </c:pt>
                <c:pt idx="16">
                  <c:v>5144.25</c:v>
                </c:pt>
                <c:pt idx="17">
                  <c:v>6725.25</c:v>
                </c:pt>
                <c:pt idx="18">
                  <c:v>-24048.15</c:v>
                </c:pt>
                <c:pt idx="19">
                  <c:v>-78755.75</c:v>
                </c:pt>
                <c:pt idx="20">
                  <c:v>-69536</c:v>
                </c:pt>
                <c:pt idx="21">
                  <c:v>57405</c:v>
                </c:pt>
                <c:pt idx="22">
                  <c:v>63613</c:v>
                </c:pt>
                <c:pt idx="23">
                  <c:v>-16869.199999999997</c:v>
                </c:pt>
                <c:pt idx="24">
                  <c:v>44369</c:v>
                </c:pt>
                <c:pt idx="25">
                  <c:v>17030</c:v>
                </c:pt>
                <c:pt idx="26">
                  <c:v>-14457.199999999997</c:v>
                </c:pt>
                <c:pt idx="27">
                  <c:v>12038.600000000002</c:v>
                </c:pt>
                <c:pt idx="28">
                  <c:v>23491</c:v>
                </c:pt>
                <c:pt idx="29">
                  <c:v>28567</c:v>
                </c:pt>
                <c:pt idx="30">
                  <c:v>26565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C94-AAA6-3DF68C4A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793"/>
        <c:axId val="2062681752"/>
      </c:lineChart>
      <c:dateAx>
        <c:axId val="16670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681752"/>
        <c:crosses val="autoZero"/>
        <c:auto val="1"/>
        <c:lblOffset val="100"/>
        <c:baseTimeUnit val="days"/>
      </c:dateAx>
      <c:valAx>
        <c:axId val="206268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70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EXPENDITURE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Loss'!$C$84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Loss'!$C$85:$C$115</c:f>
              <c:numCache>
                <c:formatCode>[$₹]#,##0</c:formatCode>
                <c:ptCount val="31"/>
                <c:pt idx="0">
                  <c:v>34268.399999999994</c:v>
                </c:pt>
                <c:pt idx="1">
                  <c:v>15932</c:v>
                </c:pt>
                <c:pt idx="2">
                  <c:v>35936</c:v>
                </c:pt>
                <c:pt idx="3">
                  <c:v>17064</c:v>
                </c:pt>
                <c:pt idx="4">
                  <c:v>4560</c:v>
                </c:pt>
                <c:pt idx="5">
                  <c:v>27171</c:v>
                </c:pt>
                <c:pt idx="6">
                  <c:v>17145</c:v>
                </c:pt>
                <c:pt idx="7">
                  <c:v>3420</c:v>
                </c:pt>
                <c:pt idx="8">
                  <c:v>7192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62942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36161.15</c:v>
                </c:pt>
                <c:pt idx="19">
                  <c:v>94710.75</c:v>
                </c:pt>
                <c:pt idx="20">
                  <c:v>85231</c:v>
                </c:pt>
                <c:pt idx="21">
                  <c:v>5130</c:v>
                </c:pt>
                <c:pt idx="22">
                  <c:v>5130</c:v>
                </c:pt>
                <c:pt idx="23">
                  <c:v>75819.199999999997</c:v>
                </c:pt>
                <c:pt idx="24">
                  <c:v>5700</c:v>
                </c:pt>
                <c:pt idx="25">
                  <c:v>3420</c:v>
                </c:pt>
                <c:pt idx="26">
                  <c:v>43070.2</c:v>
                </c:pt>
                <c:pt idx="27">
                  <c:v>30303.399999999998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12-4978-91F9-1523F3E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4974"/>
        <c:axId val="400872323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13236.600000000006</c:v>
                </c:pt>
                <c:pt idx="1">
                  <c:v>24963</c:v>
                </c:pt>
                <c:pt idx="2">
                  <c:v>1789</c:v>
                </c:pt>
                <c:pt idx="3">
                  <c:v>23727</c:v>
                </c:pt>
                <c:pt idx="4">
                  <c:v>34004</c:v>
                </c:pt>
                <c:pt idx="5">
                  <c:v>-11421</c:v>
                </c:pt>
                <c:pt idx="6">
                  <c:v>-3151</c:v>
                </c:pt>
                <c:pt idx="7">
                  <c:v>12525</c:v>
                </c:pt>
                <c:pt idx="8">
                  <c:v>10656</c:v>
                </c:pt>
                <c:pt idx="9">
                  <c:v>9799</c:v>
                </c:pt>
                <c:pt idx="10">
                  <c:v>10544</c:v>
                </c:pt>
                <c:pt idx="11">
                  <c:v>9408</c:v>
                </c:pt>
                <c:pt idx="12">
                  <c:v>8535</c:v>
                </c:pt>
                <c:pt idx="13">
                  <c:v>-44321</c:v>
                </c:pt>
                <c:pt idx="14">
                  <c:v>9257</c:v>
                </c:pt>
                <c:pt idx="15">
                  <c:v>10072</c:v>
                </c:pt>
                <c:pt idx="16">
                  <c:v>5144.25</c:v>
                </c:pt>
                <c:pt idx="17">
                  <c:v>6725.25</c:v>
                </c:pt>
                <c:pt idx="18">
                  <c:v>-24048.15</c:v>
                </c:pt>
                <c:pt idx="19">
                  <c:v>-78755.75</c:v>
                </c:pt>
                <c:pt idx="20">
                  <c:v>-69536</c:v>
                </c:pt>
                <c:pt idx="21">
                  <c:v>57405</c:v>
                </c:pt>
                <c:pt idx="22">
                  <c:v>63613</c:v>
                </c:pt>
                <c:pt idx="23">
                  <c:v>-16869.199999999997</c:v>
                </c:pt>
                <c:pt idx="24">
                  <c:v>44369</c:v>
                </c:pt>
                <c:pt idx="25">
                  <c:v>17030</c:v>
                </c:pt>
                <c:pt idx="26">
                  <c:v>-14457.199999999997</c:v>
                </c:pt>
                <c:pt idx="27">
                  <c:v>12038.600000000002</c:v>
                </c:pt>
                <c:pt idx="28">
                  <c:v>23491</c:v>
                </c:pt>
                <c:pt idx="29">
                  <c:v>28567</c:v>
                </c:pt>
                <c:pt idx="30">
                  <c:v>26565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2-4978-91F9-1523F3E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14974"/>
        <c:axId val="400872323"/>
      </c:lineChart>
      <c:dateAx>
        <c:axId val="56741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872323"/>
        <c:crosses val="autoZero"/>
        <c:auto val="1"/>
        <c:lblOffset val="100"/>
        <c:baseTimeUnit val="days"/>
      </c:dateAx>
      <c:valAx>
        <c:axId val="400872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414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Purchase Price VS Avg Selling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51596847097403E-2"/>
          <c:y val="0.21072620639401207"/>
          <c:w val="0.92974515548193837"/>
          <c:h val="0.537115973710833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Loss'!$A$2</c:f>
              <c:strCache>
                <c:ptCount val="1"/>
                <c:pt idx="0">
                  <c:v>Avg Purchase Price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Loss'!$B$2:$K$2</c:f>
              <c:numCache>
                <c:formatCode>0</c:formatCode>
                <c:ptCount val="10"/>
                <c:pt idx="0">
                  <c:v>40.1225806451613</c:v>
                </c:pt>
                <c:pt idx="1">
                  <c:v>28</c:v>
                </c:pt>
                <c:pt idx="2">
                  <c:v>165</c:v>
                </c:pt>
                <c:pt idx="3">
                  <c:v>120</c:v>
                </c:pt>
                <c:pt idx="4">
                  <c:v>105.948387096774</c:v>
                </c:pt>
                <c:pt idx="5">
                  <c:v>41.481290322580627</c:v>
                </c:pt>
                <c:pt idx="6">
                  <c:v>130</c:v>
                </c:pt>
                <c:pt idx="7">
                  <c:v>450</c:v>
                </c:pt>
                <c:pt idx="8">
                  <c:v>56.8774193548387</c:v>
                </c:pt>
                <c:pt idx="9">
                  <c:v>716.97096774193528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D45-4A9B-A1B8-9A9C1C12B503}"/>
            </c:ext>
          </c:extLst>
        </c:ser>
        <c:ser>
          <c:idx val="1"/>
          <c:order val="1"/>
          <c:tx>
            <c:strRef>
              <c:f>'Profit  Loss'!$A$3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Loss'!$B$3:$K$3</c:f>
              <c:numCache>
                <c:formatCode>0</c:formatCode>
                <c:ptCount val="10"/>
                <c:pt idx="0">
                  <c:v>50</c:v>
                </c:pt>
                <c:pt idx="1">
                  <c:v>35</c:v>
                </c:pt>
                <c:pt idx="2">
                  <c:v>200</c:v>
                </c:pt>
                <c:pt idx="3">
                  <c:v>141</c:v>
                </c:pt>
                <c:pt idx="4">
                  <c:v>119</c:v>
                </c:pt>
                <c:pt idx="5">
                  <c:v>44.12903225806452</c:v>
                </c:pt>
                <c:pt idx="6">
                  <c:v>138</c:v>
                </c:pt>
                <c:pt idx="7">
                  <c:v>561</c:v>
                </c:pt>
                <c:pt idx="8">
                  <c:v>59.87096774193548</c:v>
                </c:pt>
                <c:pt idx="9">
                  <c:v>874.35483870967744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8D45-4A9B-A1B8-9A9C1C12B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840952"/>
        <c:axId val="147751221"/>
      </c:barChart>
      <c:catAx>
        <c:axId val="19098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1221"/>
        <c:crosses val="autoZero"/>
        <c:auto val="1"/>
        <c:lblAlgn val="ctr"/>
        <c:lblOffset val="100"/>
        <c:noMultiLvlLbl val="1"/>
      </c:catAx>
      <c:valAx>
        <c:axId val="14775122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9098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1B4-4111-8825-1BF2C7A919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107.29032258064517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10.612903225806452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18.64516129032258</c:v>
                </c:pt>
                <c:pt idx="7">
                  <c:v>6.290322580645161</c:v>
                </c:pt>
                <c:pt idx="8">
                  <c:v>64.677419354838705</c:v>
                </c:pt>
                <c:pt idx="9">
                  <c:v>3.5806451612903225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4-4111-8825-1BF2C7A9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9.4166666666666662E-2"/>
          <c:y val="0.15341419586702604"/>
          <c:w val="0.87491666666666679"/>
          <c:h val="0.6107367475292003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Loss'!$A$4</c:f>
              <c:strCache>
                <c:ptCount val="1"/>
                <c:pt idx="0">
                  <c:v>Avg Profit 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'Profit  Loss'!$B$5:$K$5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Loss'!$B$4:$K$4</c:f>
              <c:numCache>
                <c:formatCode>0</c:formatCode>
                <c:ptCount val="10"/>
                <c:pt idx="0">
                  <c:v>9.8774193548387004</c:v>
                </c:pt>
                <c:pt idx="1">
                  <c:v>7</c:v>
                </c:pt>
                <c:pt idx="2">
                  <c:v>35</c:v>
                </c:pt>
                <c:pt idx="3">
                  <c:v>21</c:v>
                </c:pt>
                <c:pt idx="4">
                  <c:v>13.051612903226001</c:v>
                </c:pt>
                <c:pt idx="5">
                  <c:v>2.6477419354838929</c:v>
                </c:pt>
                <c:pt idx="6">
                  <c:v>8</c:v>
                </c:pt>
                <c:pt idx="7">
                  <c:v>111</c:v>
                </c:pt>
                <c:pt idx="8">
                  <c:v>2.9935483870967801</c:v>
                </c:pt>
                <c:pt idx="9">
                  <c:v>157.38387096774215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1D0-B027-3E4ACDF0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826715"/>
        <c:axId val="1830046639"/>
      </c:barChart>
      <c:catAx>
        <c:axId val="3128267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46639"/>
        <c:crosses val="autoZero"/>
        <c:auto val="1"/>
        <c:lblAlgn val="ctr"/>
        <c:lblOffset val="100"/>
        <c:noMultiLvlLbl val="1"/>
      </c:catAx>
      <c:valAx>
        <c:axId val="18300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RICE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INVENTORY!$A$3:$A$37</c:f>
              <c:numCache>
                <c:formatCode>m/d/yyyy</c:formatCode>
                <c:ptCount val="35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INVENTORY!$B$3:$B$37</c:f>
              <c:numCache>
                <c:formatCode>General</c:formatCode>
                <c:ptCount val="35"/>
                <c:pt idx="0">
                  <c:v>900</c:v>
                </c:pt>
                <c:pt idx="1">
                  <c:v>805</c:v>
                </c:pt>
                <c:pt idx="2">
                  <c:v>715</c:v>
                </c:pt>
                <c:pt idx="3">
                  <c:v>645</c:v>
                </c:pt>
                <c:pt idx="4">
                  <c:v>560</c:v>
                </c:pt>
                <c:pt idx="5">
                  <c:v>494</c:v>
                </c:pt>
                <c:pt idx="6">
                  <c:v>459</c:v>
                </c:pt>
                <c:pt idx="7">
                  <c:v>419</c:v>
                </c:pt>
                <c:pt idx="8">
                  <c:v>379</c:v>
                </c:pt>
                <c:pt idx="9">
                  <c:v>319</c:v>
                </c:pt>
                <c:pt idx="10">
                  <c:v>254</c:v>
                </c:pt>
                <c:pt idx="11">
                  <c:v>170</c:v>
                </c:pt>
                <c:pt idx="12">
                  <c:v>122</c:v>
                </c:pt>
                <c:pt idx="13">
                  <c:v>72</c:v>
                </c:pt>
                <c:pt idx="14">
                  <c:v>367</c:v>
                </c:pt>
                <c:pt idx="15">
                  <c:v>305</c:v>
                </c:pt>
                <c:pt idx="16">
                  <c:v>265</c:v>
                </c:pt>
                <c:pt idx="17">
                  <c:v>227</c:v>
                </c:pt>
                <c:pt idx="18">
                  <c:v>187</c:v>
                </c:pt>
                <c:pt idx="19">
                  <c:v>118</c:v>
                </c:pt>
                <c:pt idx="20">
                  <c:v>953</c:v>
                </c:pt>
                <c:pt idx="21">
                  <c:v>885</c:v>
                </c:pt>
                <c:pt idx="22">
                  <c:v>620</c:v>
                </c:pt>
                <c:pt idx="23">
                  <c:v>330</c:v>
                </c:pt>
                <c:pt idx="24">
                  <c:v>600</c:v>
                </c:pt>
                <c:pt idx="25">
                  <c:v>440</c:v>
                </c:pt>
                <c:pt idx="26">
                  <c:v>290</c:v>
                </c:pt>
                <c:pt idx="27">
                  <c:v>680</c:v>
                </c:pt>
                <c:pt idx="28">
                  <c:v>420</c:v>
                </c:pt>
                <c:pt idx="29">
                  <c:v>260</c:v>
                </c:pt>
                <c:pt idx="30">
                  <c:v>104</c:v>
                </c:pt>
                <c:pt idx="31" formatCode="0.0">
                  <c:v>431.09677419354841</c:v>
                </c:pt>
                <c:pt idx="33">
                  <c:v>0</c:v>
                </c:pt>
                <c:pt idx="34" formatCode="0">
                  <c:v>431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A4-4F37-B725-E9495227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54363"/>
        <c:axId val="1065251396"/>
      </c:barChart>
      <c:dateAx>
        <c:axId val="50365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65251396"/>
        <c:crosses val="autoZero"/>
        <c:auto val="1"/>
        <c:lblOffset val="100"/>
        <c:baseTimeUnit val="days"/>
      </c:dateAx>
      <c:valAx>
        <c:axId val="106525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365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ATTA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INVENTORY!$C$1:$C$2</c:f>
              <c:strCache>
                <c:ptCount val="2"/>
                <c:pt idx="1">
                  <c:v>ATTA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FD-4D91-8A5B-4D4B33EC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43838"/>
        <c:axId val="1040373946"/>
      </c:barChart>
      <c:dateAx>
        <c:axId val="172874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0373946"/>
        <c:crosses val="autoZero"/>
        <c:auto val="1"/>
        <c:lblOffset val="100"/>
        <c:baseTimeUnit val="days"/>
      </c:dateAx>
      <c:valAx>
        <c:axId val="104037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8743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STOCK IN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9.6698113207547176E-2"/>
          <c:y val="0.15341419586702604"/>
          <c:w val="0.82246855345911951"/>
          <c:h val="0.5379604672057503"/>
        </c:manualLayout>
      </c:layout>
      <c:barChart>
        <c:barDir val="col"/>
        <c:grouping val="clustered"/>
        <c:varyColors val="1"/>
        <c:ser>
          <c:idx val="0"/>
          <c:order val="0"/>
          <c:tx>
            <c:v>STOCK</c:v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INVENTORY!$B$36:$K$36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INVENTORY!$B$37:$K$37</c:f>
              <c:numCache>
                <c:formatCode>0</c:formatCode>
                <c:ptCount val="10"/>
                <c:pt idx="0">
                  <c:v>431</c:v>
                </c:pt>
                <c:pt idx="1">
                  <c:v>187.09677419354838</c:v>
                </c:pt>
                <c:pt idx="2">
                  <c:v>54.322580645161288</c:v>
                </c:pt>
                <c:pt idx="3">
                  <c:v>40</c:v>
                </c:pt>
                <c:pt idx="4">
                  <c:v>63.483870967741936</c:v>
                </c:pt>
                <c:pt idx="5">
                  <c:v>103.09677419354838</c:v>
                </c:pt>
                <c:pt idx="6">
                  <c:v>70</c:v>
                </c:pt>
                <c:pt idx="7">
                  <c:v>30.06451612903226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56C-B001-98E92043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BAGS/ CARTONS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Line</c:name>
            <c:spPr>
              <a:ln w="19050">
                <a:solidFill>
                  <a:srgbClr val="000000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INVENTORY!$N$2:$N$33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INVENTORY!$M$2:$M$33</c:f>
              <c:numCache>
                <c:formatCode>General</c:formatCode>
                <c:ptCount val="32"/>
                <c:pt idx="0">
                  <c:v>0</c:v>
                </c:pt>
                <c:pt idx="1">
                  <c:v>183.6</c:v>
                </c:pt>
                <c:pt idx="2">
                  <c:v>146.4</c:v>
                </c:pt>
                <c:pt idx="3">
                  <c:v>135.6</c:v>
                </c:pt>
                <c:pt idx="4">
                  <c:v>123.3</c:v>
                </c:pt>
                <c:pt idx="5">
                  <c:v>103.4</c:v>
                </c:pt>
                <c:pt idx="6">
                  <c:v>75.7</c:v>
                </c:pt>
                <c:pt idx="7">
                  <c:v>100.2</c:v>
                </c:pt>
                <c:pt idx="8">
                  <c:v>96.5</c:v>
                </c:pt>
                <c:pt idx="9">
                  <c:v>85.6</c:v>
                </c:pt>
                <c:pt idx="10">
                  <c:v>75.2</c:v>
                </c:pt>
                <c:pt idx="11">
                  <c:v>62</c:v>
                </c:pt>
                <c:pt idx="12">
                  <c:v>47.6</c:v>
                </c:pt>
                <c:pt idx="13">
                  <c:v>36.200000000000003</c:v>
                </c:pt>
                <c:pt idx="14">
                  <c:v>24.9</c:v>
                </c:pt>
                <c:pt idx="15">
                  <c:v>81.7</c:v>
                </c:pt>
                <c:pt idx="16">
                  <c:v>69.8</c:v>
                </c:pt>
                <c:pt idx="17">
                  <c:v>59</c:v>
                </c:pt>
                <c:pt idx="18">
                  <c:v>51.3</c:v>
                </c:pt>
                <c:pt idx="19">
                  <c:v>42.9</c:v>
                </c:pt>
                <c:pt idx="20">
                  <c:v>95</c:v>
                </c:pt>
                <c:pt idx="21">
                  <c:v>219.1</c:v>
                </c:pt>
                <c:pt idx="22">
                  <c:v>234.9</c:v>
                </c:pt>
                <c:pt idx="23">
                  <c:v>172.1</c:v>
                </c:pt>
                <c:pt idx="24">
                  <c:v>104.5</c:v>
                </c:pt>
                <c:pt idx="25">
                  <c:v>135.80000000000001</c:v>
                </c:pt>
                <c:pt idx="26">
                  <c:v>99.7</c:v>
                </c:pt>
                <c:pt idx="27">
                  <c:v>78.099999999999994</c:v>
                </c:pt>
                <c:pt idx="28">
                  <c:v>127</c:v>
                </c:pt>
                <c:pt idx="29">
                  <c:v>97.9</c:v>
                </c:pt>
                <c:pt idx="30">
                  <c:v>71.099999999999994</c:v>
                </c:pt>
                <c:pt idx="31">
                  <c:v>44.3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F54-4737-A496-6A88DBCA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1584"/>
        <c:axId val="1445253523"/>
      </c:barChart>
      <c:catAx>
        <c:axId val="2901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53523"/>
        <c:crosses val="autoZero"/>
        <c:auto val="1"/>
        <c:lblAlgn val="ctr"/>
        <c:lblOffset val="100"/>
        <c:noMultiLvlLbl val="1"/>
      </c:catAx>
      <c:valAx>
        <c:axId val="144525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171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INVENTORY TREND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INVENTORY!$M$1:$M$2</c:f>
              <c:strCache>
                <c:ptCount val="2"/>
                <c:pt idx="1">
                  <c:v>AVERAGE DAILY TOTAL INVENTORY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57-4A79-A020-2AFF88488196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57-4A79-A020-2AFF88488196}"/>
              </c:ext>
            </c:extLst>
          </c:dPt>
          <c:dPt>
            <c:idx val="2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57-4A79-A020-2AFF88488196}"/>
              </c:ext>
            </c:extLst>
          </c:dPt>
          <c:dPt>
            <c:idx val="23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57-4A79-A020-2AFF88488196}"/>
              </c:ext>
            </c:extLst>
          </c:dPt>
          <c:cat>
            <c:numRef>
              <c:f>INVENTORY!$N$3:$N$33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146.4</c:v>
                </c:pt>
                <c:pt idx="2">
                  <c:v>135.6</c:v>
                </c:pt>
                <c:pt idx="3">
                  <c:v>123.3</c:v>
                </c:pt>
                <c:pt idx="4">
                  <c:v>103.4</c:v>
                </c:pt>
                <c:pt idx="5">
                  <c:v>75.7</c:v>
                </c:pt>
                <c:pt idx="6">
                  <c:v>100.2</c:v>
                </c:pt>
                <c:pt idx="7">
                  <c:v>96.5</c:v>
                </c:pt>
                <c:pt idx="8">
                  <c:v>85.6</c:v>
                </c:pt>
                <c:pt idx="9">
                  <c:v>75.2</c:v>
                </c:pt>
                <c:pt idx="10">
                  <c:v>62</c:v>
                </c:pt>
                <c:pt idx="11">
                  <c:v>47.6</c:v>
                </c:pt>
                <c:pt idx="12">
                  <c:v>36.200000000000003</c:v>
                </c:pt>
                <c:pt idx="13">
                  <c:v>24.9</c:v>
                </c:pt>
                <c:pt idx="14">
                  <c:v>81.7</c:v>
                </c:pt>
                <c:pt idx="15">
                  <c:v>69.8</c:v>
                </c:pt>
                <c:pt idx="16">
                  <c:v>59</c:v>
                </c:pt>
                <c:pt idx="17">
                  <c:v>51.3</c:v>
                </c:pt>
                <c:pt idx="18">
                  <c:v>42.9</c:v>
                </c:pt>
                <c:pt idx="19">
                  <c:v>95</c:v>
                </c:pt>
                <c:pt idx="20">
                  <c:v>219.1</c:v>
                </c:pt>
                <c:pt idx="21">
                  <c:v>234.9</c:v>
                </c:pt>
                <c:pt idx="22">
                  <c:v>172.1</c:v>
                </c:pt>
                <c:pt idx="23">
                  <c:v>104.5</c:v>
                </c:pt>
                <c:pt idx="24">
                  <c:v>135.80000000000001</c:v>
                </c:pt>
                <c:pt idx="25">
                  <c:v>99.7</c:v>
                </c:pt>
                <c:pt idx="26">
                  <c:v>78.099999999999994</c:v>
                </c:pt>
                <c:pt idx="27">
                  <c:v>127</c:v>
                </c:pt>
                <c:pt idx="28">
                  <c:v>97.9</c:v>
                </c:pt>
                <c:pt idx="29">
                  <c:v>71.099999999999994</c:v>
                </c:pt>
                <c:pt idx="30">
                  <c:v>44.3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B57-4A79-A020-2AFF8848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59765"/>
        <c:axId val="1161707052"/>
      </c:barChart>
      <c:dateAx>
        <c:axId val="147975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INVENTORY/DATE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61707052"/>
        <c:crosses val="autoZero"/>
        <c:auto val="1"/>
        <c:lblOffset val="100"/>
        <c:baseTimeUnit val="days"/>
      </c:dateAx>
      <c:valAx>
        <c:axId val="116170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79759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602814158304864E-2"/>
          <c:y val="0.10016044089933446"/>
          <c:w val="0.82297659388347011"/>
          <c:h val="0.76252067950234215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INVENTORY!$B$2:$B$33</c:f>
              <c:numCache>
                <c:formatCode>General</c:formatCode>
                <c:ptCount val="32"/>
                <c:pt idx="0">
                  <c:v>0</c:v>
                </c:pt>
                <c:pt idx="1">
                  <c:v>900</c:v>
                </c:pt>
                <c:pt idx="2">
                  <c:v>805</c:v>
                </c:pt>
                <c:pt idx="3">
                  <c:v>715</c:v>
                </c:pt>
                <c:pt idx="4">
                  <c:v>645</c:v>
                </c:pt>
                <c:pt idx="5">
                  <c:v>560</c:v>
                </c:pt>
                <c:pt idx="6">
                  <c:v>494</c:v>
                </c:pt>
                <c:pt idx="7">
                  <c:v>459</c:v>
                </c:pt>
                <c:pt idx="8">
                  <c:v>419</c:v>
                </c:pt>
                <c:pt idx="9">
                  <c:v>379</c:v>
                </c:pt>
                <c:pt idx="10">
                  <c:v>319</c:v>
                </c:pt>
                <c:pt idx="11">
                  <c:v>254</c:v>
                </c:pt>
                <c:pt idx="12">
                  <c:v>170</c:v>
                </c:pt>
                <c:pt idx="13">
                  <c:v>122</c:v>
                </c:pt>
                <c:pt idx="14">
                  <c:v>72</c:v>
                </c:pt>
                <c:pt idx="15">
                  <c:v>367</c:v>
                </c:pt>
                <c:pt idx="16">
                  <c:v>305</c:v>
                </c:pt>
                <c:pt idx="17">
                  <c:v>265</c:v>
                </c:pt>
                <c:pt idx="18">
                  <c:v>227</c:v>
                </c:pt>
                <c:pt idx="19">
                  <c:v>187</c:v>
                </c:pt>
                <c:pt idx="20">
                  <c:v>118</c:v>
                </c:pt>
                <c:pt idx="21">
                  <c:v>953</c:v>
                </c:pt>
                <c:pt idx="22">
                  <c:v>885</c:v>
                </c:pt>
                <c:pt idx="23">
                  <c:v>620</c:v>
                </c:pt>
                <c:pt idx="24">
                  <c:v>330</c:v>
                </c:pt>
                <c:pt idx="25">
                  <c:v>600</c:v>
                </c:pt>
                <c:pt idx="26">
                  <c:v>440</c:v>
                </c:pt>
                <c:pt idx="27">
                  <c:v>290</c:v>
                </c:pt>
                <c:pt idx="28">
                  <c:v>680</c:v>
                </c:pt>
                <c:pt idx="29">
                  <c:v>420</c:v>
                </c:pt>
                <c:pt idx="30">
                  <c:v>260</c:v>
                </c:pt>
                <c:pt idx="31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20-4514-8EEE-0A03DF00213C}"/>
            </c:ext>
          </c:extLst>
        </c:ser>
        <c:ser>
          <c:idx val="1"/>
          <c:order val="1"/>
          <c:tx>
            <c:v>ATTA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INVENTORY!$C$2:$C$33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90</c:v>
                </c:pt>
                <c:pt idx="3">
                  <c:v>210</c:v>
                </c:pt>
                <c:pt idx="4">
                  <c:v>160</c:v>
                </c:pt>
                <c:pt idx="5">
                  <c:v>120</c:v>
                </c:pt>
                <c:pt idx="6">
                  <c:v>84</c:v>
                </c:pt>
                <c:pt idx="7">
                  <c:v>260</c:v>
                </c:pt>
                <c:pt idx="8">
                  <c:v>240</c:v>
                </c:pt>
                <c:pt idx="9">
                  <c:v>216</c:v>
                </c:pt>
                <c:pt idx="10">
                  <c:v>186</c:v>
                </c:pt>
                <c:pt idx="11">
                  <c:v>154</c:v>
                </c:pt>
                <c:pt idx="12">
                  <c:v>130</c:v>
                </c:pt>
                <c:pt idx="13">
                  <c:v>102</c:v>
                </c:pt>
                <c:pt idx="14">
                  <c:v>74</c:v>
                </c:pt>
                <c:pt idx="15">
                  <c:v>140</c:v>
                </c:pt>
                <c:pt idx="16">
                  <c:v>116</c:v>
                </c:pt>
                <c:pt idx="17">
                  <c:v>90</c:v>
                </c:pt>
                <c:pt idx="18">
                  <c:v>70</c:v>
                </c:pt>
                <c:pt idx="19">
                  <c:v>40</c:v>
                </c:pt>
                <c:pt idx="20">
                  <c:v>520</c:v>
                </c:pt>
                <c:pt idx="21">
                  <c:v>502</c:v>
                </c:pt>
                <c:pt idx="22">
                  <c:v>472</c:v>
                </c:pt>
                <c:pt idx="23">
                  <c:v>382</c:v>
                </c:pt>
                <c:pt idx="24">
                  <c:v>266</c:v>
                </c:pt>
                <c:pt idx="25">
                  <c:v>170</c:v>
                </c:pt>
                <c:pt idx="26">
                  <c:v>110</c:v>
                </c:pt>
                <c:pt idx="27">
                  <c:v>94</c:v>
                </c:pt>
                <c:pt idx="28">
                  <c:v>214</c:v>
                </c:pt>
                <c:pt idx="29">
                  <c:v>154</c:v>
                </c:pt>
                <c:pt idx="30">
                  <c:v>130</c:v>
                </c:pt>
                <c:pt idx="31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20-4514-8EEE-0A03DF00213C}"/>
            </c:ext>
          </c:extLst>
        </c:ser>
        <c:ser>
          <c:idx val="2"/>
          <c:order val="2"/>
          <c:tx>
            <c:v>Toor Dal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INVENTORY!$D$2:$D$33</c:f>
              <c:numCache>
                <c:formatCode>General</c:formatCode>
                <c:ptCount val="32"/>
                <c:pt idx="0">
                  <c:v>0</c:v>
                </c:pt>
                <c:pt idx="1">
                  <c:v>80</c:v>
                </c:pt>
                <c:pt idx="2">
                  <c:v>56</c:v>
                </c:pt>
                <c:pt idx="3">
                  <c:v>28</c:v>
                </c:pt>
                <c:pt idx="4">
                  <c:v>58</c:v>
                </c:pt>
                <c:pt idx="5">
                  <c:v>36</c:v>
                </c:pt>
                <c:pt idx="6">
                  <c:v>18</c:v>
                </c:pt>
                <c:pt idx="7">
                  <c:v>60</c:v>
                </c:pt>
                <c:pt idx="8">
                  <c:v>52</c:v>
                </c:pt>
                <c:pt idx="9">
                  <c:v>44</c:v>
                </c:pt>
                <c:pt idx="10">
                  <c:v>38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10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  <c:pt idx="21">
                  <c:v>154</c:v>
                </c:pt>
                <c:pt idx="22">
                  <c:v>146</c:v>
                </c:pt>
                <c:pt idx="23">
                  <c:v>110</c:v>
                </c:pt>
                <c:pt idx="24">
                  <c:v>80</c:v>
                </c:pt>
                <c:pt idx="25">
                  <c:v>100</c:v>
                </c:pt>
                <c:pt idx="26">
                  <c:v>78</c:v>
                </c:pt>
                <c:pt idx="27">
                  <c:v>66</c:v>
                </c:pt>
                <c:pt idx="28">
                  <c:v>48</c:v>
                </c:pt>
                <c:pt idx="29">
                  <c:v>68</c:v>
                </c:pt>
                <c:pt idx="30">
                  <c:v>54</c:v>
                </c:pt>
                <c:pt idx="3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20-4514-8EEE-0A03DF00213C}"/>
            </c:ext>
          </c:extLst>
        </c:ser>
        <c:ser>
          <c:idx val="3"/>
          <c:order val="3"/>
          <c:tx>
            <c:v>Moong Dal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INVENTORY!$E$2:$E$33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34</c:v>
                </c:pt>
                <c:pt idx="3">
                  <c:v>66</c:v>
                </c:pt>
                <c:pt idx="4">
                  <c:v>46</c:v>
                </c:pt>
                <c:pt idx="5">
                  <c:v>32</c:v>
                </c:pt>
                <c:pt idx="6">
                  <c:v>17</c:v>
                </c:pt>
                <c:pt idx="7">
                  <c:v>7</c:v>
                </c:pt>
                <c:pt idx="8">
                  <c:v>49</c:v>
                </c:pt>
                <c:pt idx="9">
                  <c:v>43</c:v>
                </c:pt>
                <c:pt idx="10">
                  <c:v>39</c:v>
                </c:pt>
                <c:pt idx="11">
                  <c:v>33</c:v>
                </c:pt>
                <c:pt idx="12">
                  <c:v>25</c:v>
                </c:pt>
                <c:pt idx="13">
                  <c:v>17</c:v>
                </c:pt>
                <c:pt idx="14">
                  <c:v>9</c:v>
                </c:pt>
                <c:pt idx="15">
                  <c:v>51</c:v>
                </c:pt>
                <c:pt idx="16">
                  <c:v>41</c:v>
                </c:pt>
                <c:pt idx="17">
                  <c:v>31</c:v>
                </c:pt>
                <c:pt idx="18">
                  <c:v>28</c:v>
                </c:pt>
                <c:pt idx="19">
                  <c:v>25</c:v>
                </c:pt>
                <c:pt idx="20">
                  <c:v>22</c:v>
                </c:pt>
                <c:pt idx="21">
                  <c:v>76</c:v>
                </c:pt>
                <c:pt idx="22">
                  <c:v>74</c:v>
                </c:pt>
                <c:pt idx="23">
                  <c:v>48</c:v>
                </c:pt>
                <c:pt idx="24">
                  <c:v>33</c:v>
                </c:pt>
                <c:pt idx="25">
                  <c:v>65</c:v>
                </c:pt>
                <c:pt idx="26">
                  <c:v>55</c:v>
                </c:pt>
                <c:pt idx="27">
                  <c:v>47</c:v>
                </c:pt>
                <c:pt idx="28">
                  <c:v>37</c:v>
                </c:pt>
                <c:pt idx="29">
                  <c:v>59</c:v>
                </c:pt>
                <c:pt idx="30">
                  <c:v>43</c:v>
                </c:pt>
                <c:pt idx="31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20-4514-8EEE-0A03DF00213C}"/>
            </c:ext>
          </c:extLst>
        </c:ser>
        <c:ser>
          <c:idx val="4"/>
          <c:order val="4"/>
          <c:tx>
            <c:v>Urad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INVENTORY!$G$2:$G$33</c:f>
              <c:numCache>
                <c:formatCode>General</c:formatCode>
                <c:ptCount val="32"/>
                <c:pt idx="0">
                  <c:v>0</c:v>
                </c:pt>
                <c:pt idx="1">
                  <c:v>280</c:v>
                </c:pt>
                <c:pt idx="2">
                  <c:v>210</c:v>
                </c:pt>
                <c:pt idx="3">
                  <c:v>162</c:v>
                </c:pt>
                <c:pt idx="4">
                  <c:v>122</c:v>
                </c:pt>
                <c:pt idx="5">
                  <c:v>80</c:v>
                </c:pt>
                <c:pt idx="6">
                  <c:v>32</c:v>
                </c:pt>
                <c:pt idx="7">
                  <c:v>72</c:v>
                </c:pt>
                <c:pt idx="8">
                  <c:v>64</c:v>
                </c:pt>
                <c:pt idx="9">
                  <c:v>54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26</c:v>
                </c:pt>
                <c:pt idx="14">
                  <c:v>16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40</c:v>
                </c:pt>
                <c:pt idx="20">
                  <c:v>156</c:v>
                </c:pt>
                <c:pt idx="21">
                  <c:v>310</c:v>
                </c:pt>
                <c:pt idx="22">
                  <c:v>302</c:v>
                </c:pt>
                <c:pt idx="23">
                  <c:v>208</c:v>
                </c:pt>
                <c:pt idx="24">
                  <c:v>108</c:v>
                </c:pt>
                <c:pt idx="25">
                  <c:v>154</c:v>
                </c:pt>
                <c:pt idx="26">
                  <c:v>114</c:v>
                </c:pt>
                <c:pt idx="27">
                  <c:v>102</c:v>
                </c:pt>
                <c:pt idx="28">
                  <c:v>90</c:v>
                </c:pt>
                <c:pt idx="29">
                  <c:v>72</c:v>
                </c:pt>
                <c:pt idx="30">
                  <c:v>62</c:v>
                </c:pt>
                <c:pt idx="31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20-4514-8EEE-0A03DF00213C}"/>
            </c:ext>
          </c:extLst>
        </c:ser>
        <c:ser>
          <c:idx val="5"/>
          <c:order val="5"/>
          <c:tx>
            <c:v>Sugar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INVENTORY!$H$2:$H$33</c:f>
              <c:numCache>
                <c:formatCode>General</c:formatCode>
                <c:ptCount val="32"/>
                <c:pt idx="0">
                  <c:v>0</c:v>
                </c:pt>
                <c:pt idx="1">
                  <c:v>130</c:v>
                </c:pt>
                <c:pt idx="2">
                  <c:v>94</c:v>
                </c:pt>
                <c:pt idx="3">
                  <c:v>59</c:v>
                </c:pt>
                <c:pt idx="4">
                  <c:v>79</c:v>
                </c:pt>
                <c:pt idx="5">
                  <c:v>94</c:v>
                </c:pt>
                <c:pt idx="6">
                  <c:v>56</c:v>
                </c:pt>
                <c:pt idx="7">
                  <c:v>48</c:v>
                </c:pt>
                <c:pt idx="8">
                  <c:v>42</c:v>
                </c:pt>
                <c:pt idx="9">
                  <c:v>34</c:v>
                </c:pt>
                <c:pt idx="10">
                  <c:v>48</c:v>
                </c:pt>
                <c:pt idx="11">
                  <c:v>40</c:v>
                </c:pt>
                <c:pt idx="12">
                  <c:v>34</c:v>
                </c:pt>
                <c:pt idx="13">
                  <c:v>28</c:v>
                </c:pt>
                <c:pt idx="14">
                  <c:v>24</c:v>
                </c:pt>
                <c:pt idx="15">
                  <c:v>56</c:v>
                </c:pt>
                <c:pt idx="16">
                  <c:v>52</c:v>
                </c:pt>
                <c:pt idx="17">
                  <c:v>46</c:v>
                </c:pt>
                <c:pt idx="18">
                  <c:v>44</c:v>
                </c:pt>
                <c:pt idx="19">
                  <c:v>44</c:v>
                </c:pt>
                <c:pt idx="20">
                  <c:v>40</c:v>
                </c:pt>
                <c:pt idx="21">
                  <c:v>36</c:v>
                </c:pt>
                <c:pt idx="22">
                  <c:v>210</c:v>
                </c:pt>
                <c:pt idx="23">
                  <c:v>142</c:v>
                </c:pt>
                <c:pt idx="24">
                  <c:v>82</c:v>
                </c:pt>
                <c:pt idx="25">
                  <c:v>106</c:v>
                </c:pt>
                <c:pt idx="26">
                  <c:v>84</c:v>
                </c:pt>
                <c:pt idx="27">
                  <c:v>78</c:v>
                </c:pt>
                <c:pt idx="28">
                  <c:v>118</c:v>
                </c:pt>
                <c:pt idx="29">
                  <c:v>90</c:v>
                </c:pt>
                <c:pt idx="30">
                  <c:v>70</c:v>
                </c:pt>
                <c:pt idx="31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20-4514-8EEE-0A03DF00213C}"/>
            </c:ext>
          </c:extLst>
        </c:ser>
        <c:ser>
          <c:idx val="6"/>
          <c:order val="6"/>
          <c:tx>
            <c:v>Cooking Oil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INVENTORY!$I$2:$I$33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32</c:v>
                </c:pt>
                <c:pt idx="5">
                  <c:v>22</c:v>
                </c:pt>
                <c:pt idx="6">
                  <c:v>14</c:v>
                </c:pt>
                <c:pt idx="7">
                  <c:v>10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26</c:v>
                </c:pt>
                <c:pt idx="20">
                  <c:v>23</c:v>
                </c:pt>
                <c:pt idx="21">
                  <c:v>18</c:v>
                </c:pt>
                <c:pt idx="22">
                  <c:v>111</c:v>
                </c:pt>
                <c:pt idx="23">
                  <c:v>93</c:v>
                </c:pt>
                <c:pt idx="24">
                  <c:v>73</c:v>
                </c:pt>
                <c:pt idx="25">
                  <c:v>52</c:v>
                </c:pt>
                <c:pt idx="26">
                  <c:v>32</c:v>
                </c:pt>
                <c:pt idx="27">
                  <c:v>30</c:v>
                </c:pt>
                <c:pt idx="28">
                  <c:v>26</c:v>
                </c:pt>
                <c:pt idx="29">
                  <c:v>18</c:v>
                </c:pt>
                <c:pt idx="30">
                  <c:v>14</c:v>
                </c:pt>
                <c:pt idx="31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720-4514-8EEE-0A03DF00213C}"/>
            </c:ext>
          </c:extLst>
        </c:ser>
        <c:ser>
          <c:idx val="7"/>
          <c:order val="7"/>
          <c:tx>
            <c:v>Ghee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720-4514-8EEE-0A03DF00213C}"/>
            </c:ext>
          </c:extLst>
        </c:ser>
        <c:ser>
          <c:idx val="8"/>
          <c:order val="8"/>
          <c:tx>
            <c:v>Dry Fruits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8-0720-4514-8EEE-0A03DF00213C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9-0720-4514-8EEE-0A03DF00213C}"/>
              </c:ext>
            </c:extLst>
          </c:dPt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INVENTORY!$K$2:$K$33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28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19</c:v>
                </c:pt>
                <c:pt idx="21">
                  <c:v>16</c:v>
                </c:pt>
                <c:pt idx="22">
                  <c:v>25</c:v>
                </c:pt>
                <c:pt idx="23">
                  <c:v>22</c:v>
                </c:pt>
                <c:pt idx="24">
                  <c:v>13</c:v>
                </c:pt>
                <c:pt idx="25">
                  <c:v>25</c:v>
                </c:pt>
                <c:pt idx="26">
                  <c:v>14</c:v>
                </c:pt>
                <c:pt idx="27">
                  <c:v>12</c:v>
                </c:pt>
                <c:pt idx="28">
                  <c:v>11</c:v>
                </c:pt>
                <c:pt idx="29">
                  <c:v>16</c:v>
                </c:pt>
                <c:pt idx="30">
                  <c:v>14</c:v>
                </c:pt>
                <c:pt idx="31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720-4514-8EEE-0A03DF00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cat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Algn val="ctr"/>
        <c:lblOffset val="100"/>
        <c:noMultiLvlLbl val="1"/>
      </c:catAx>
      <c:valAx>
        <c:axId val="27226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Bags / Cartons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2239720034996E-2"/>
          <c:y val="0.17147356580427447"/>
          <c:w val="0.88546089238845149"/>
          <c:h val="0.55791186479048605"/>
        </c:manualLayout>
      </c:layout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107.29032258064517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10.612903225806452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18.64516129032258</c:v>
                </c:pt>
                <c:pt idx="7">
                  <c:v>6.290322580645161</c:v>
                </c:pt>
                <c:pt idx="8">
                  <c:v>64.677419354838705</c:v>
                </c:pt>
                <c:pt idx="9">
                  <c:v>3.5806451612903225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D-49D7-A13E-374C2D84103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D-49D7-A13E-374C2D84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5829436"/>
        <c:axId val="382191723"/>
      </c:barChart>
      <c:catAx>
        <c:axId val="14258294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91723"/>
        <c:crosses val="autoZero"/>
        <c:auto val="1"/>
        <c:lblAlgn val="ctr"/>
        <c:lblOffset val="100"/>
        <c:noMultiLvlLbl val="1"/>
      </c:catAx>
      <c:valAx>
        <c:axId val="382191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94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PROPORTION OF FIXED COSTS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5"/>
          <c:y val="0.13724168912848156"/>
          <c:w val="0.54119160879629635"/>
          <c:h val="0.81275831087151829"/>
        </c:manualLayout>
      </c:layout>
      <c:pieChart>
        <c:varyColors val="1"/>
        <c:ser>
          <c:idx val="0"/>
          <c:order val="0"/>
          <c:tx>
            <c:strRef>
              <c:f>'PL &amp; INSIGHTS'!$D$2</c:f>
              <c:strCache>
                <c:ptCount val="1"/>
                <c:pt idx="0">
                  <c:v>DEPRICIATION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DFD-4DA6-A39B-ED7C017F5ED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DFD-4DA6-A39B-ED7C017F5ED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DFD-4DA6-A39B-ED7C017F5ED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DFD-4DA6-A39B-ED7C017F5ED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DFD-4DA6-A39B-ED7C017F5ED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5DFD-4DA6-A39B-ED7C017F5ED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5DFD-4DA6-A39B-ED7C017F5ED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5DFD-4DA6-A39B-ED7C017F5ED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5DFD-4DA6-A39B-ED7C017F5ED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 &amp; INSIGHTS'!$A$3:$A$12</c:f>
              <c:strCache>
                <c:ptCount val="10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  <c:pt idx="8">
                  <c:v>EMI</c:v>
                </c:pt>
                <c:pt idx="9">
                  <c:v>TOTAL FIXED COST </c:v>
                </c:pt>
              </c:strCache>
            </c:strRef>
          </c:cat>
          <c:val>
            <c:numRef>
              <c:f>'PL &amp; INSIGHTS'!$D$3:$D$11</c:f>
              <c:numCache>
                <c:formatCode>[$₹]#,##0</c:formatCode>
                <c:ptCount val="9"/>
                <c:pt idx="0">
                  <c:v>2000</c:v>
                </c:pt>
                <c:pt idx="1">
                  <c:v>800</c:v>
                </c:pt>
                <c:pt idx="2">
                  <c:v>200</c:v>
                </c:pt>
                <c:pt idx="3">
                  <c:v>2600</c:v>
                </c:pt>
                <c:pt idx="4">
                  <c:v>3000</c:v>
                </c:pt>
                <c:pt idx="5">
                  <c:v>15000</c:v>
                </c:pt>
                <c:pt idx="6">
                  <c:v>1000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FD-4DA6-A39B-ED7C017F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Insights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0298455550199083"/>
          <c:y val="0.1372416483204083"/>
          <c:w val="0.61739139750388339"/>
          <c:h val="0.69059230316613462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'PL &amp; INSIGHTS'!$B$16:$B$17</c:f>
              <c:strCache>
                <c:ptCount val="2"/>
                <c:pt idx="0">
                  <c:v>BALENCE SHEET AND KEY INSIGHTS</c:v>
                </c:pt>
                <c:pt idx="1">
                  <c:v>VALUE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INSIGHTS'!$A$18:$A$22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INSIGHTS'!$B$18:$B$22</c:f>
              <c:numCache>
                <c:formatCode>[$₹]#,##0</c:formatCode>
                <c:ptCount val="5"/>
                <c:pt idx="0">
                  <c:v>847016</c:v>
                </c:pt>
                <c:pt idx="1">
                  <c:v>745056.41999999993</c:v>
                </c:pt>
                <c:pt idx="2">
                  <c:v>101959.58000000007</c:v>
                </c:pt>
                <c:pt idx="3">
                  <c:v>36600</c:v>
                </c:pt>
                <c:pt idx="4">
                  <c:v>65359.580000000075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E9-4DDB-BB06-BBF1723E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2190"/>
        <c:axId val="573489118"/>
      </c:barChart>
      <c:catAx>
        <c:axId val="816362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489118"/>
        <c:crosses val="autoZero"/>
        <c:auto val="1"/>
        <c:lblAlgn val="ctr"/>
        <c:lblOffset val="100"/>
        <c:noMultiLvlLbl val="1"/>
      </c:catAx>
      <c:valAx>
        <c:axId val="573489118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3621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 Over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883515681301299E-2"/>
          <c:y val="8.2705631555398132E-2"/>
          <c:w val="0.96470701095959632"/>
          <c:h val="0.72945685997601173"/>
        </c:manualLayout>
      </c:layout>
      <c:barChart>
        <c:barDir val="col"/>
        <c:grouping val="clustered"/>
        <c:varyColors val="1"/>
        <c:ser>
          <c:idx val="0"/>
          <c:order val="0"/>
          <c:tx>
            <c:v>Revenue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3-4E87-857A-0692834731DC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0-4DFF-BE40-9B5FCE375A46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0-4DFF-BE40-9B5FCE375A46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C0-4DFF-BE40-9B5FCE375A46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C0-4DFF-BE40-9B5FCE375A46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C0-4DFF-BE40-9B5FCE375A46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C0-4DFF-BE40-9B5FCE375A46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C0-4DFF-BE40-9B5FCE375A46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C0-4DFF-BE40-9B5FCE375A46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C0-4DFF-BE40-9B5FCE375A46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C0-4DFF-BE40-9B5FCE375A46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C0-4DFF-BE40-9B5FCE375A46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C0-4DFF-BE40-9B5FCE375A46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C0-4DFF-BE40-9B5FCE375A46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C0-4DFF-BE40-9B5FCE375A46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C0-4DFF-BE40-9B5FCE375A46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DC0-4DFF-BE40-9B5FCE375A46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DC0-4DFF-BE40-9B5FCE375A46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DC0-4DFF-BE40-9B5FCE375A46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DC0-4DFF-BE40-9B5FCE375A46}"/>
              </c:ext>
            </c:extLst>
          </c:dPt>
          <c:dPt>
            <c:idx val="20"/>
            <c:invertIfNegative val="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DC0-4DFF-BE40-9B5FCE375A46}"/>
              </c:ext>
            </c:extLst>
          </c:dPt>
          <c:dPt>
            <c:idx val="21"/>
            <c:invertIfNegative val="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DC0-4DFF-BE40-9B5FCE375A46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DC0-4DFF-BE40-9B5FCE375A46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DC0-4DFF-BE40-9B5FCE375A46}"/>
              </c:ext>
            </c:extLst>
          </c:dPt>
          <c:dPt>
            <c:idx val="24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73-4E87-857A-0692834731DC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DC0-4DFF-BE40-9B5FCE375A46}"/>
              </c:ext>
            </c:extLst>
          </c:dPt>
          <c:dPt>
            <c:idx val="26"/>
            <c:invertIfNegative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DC0-4DFF-BE40-9B5FCE375A46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DC0-4DFF-BE40-9B5FCE375A46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DC0-4DFF-BE40-9B5FCE375A46}"/>
              </c:ext>
            </c:extLst>
          </c:dPt>
          <c:dPt>
            <c:idx val="29"/>
            <c:invertIfNegative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DC0-4DFF-BE40-9B5FCE375A46}"/>
              </c:ext>
            </c:extLst>
          </c:dPt>
          <c:dPt>
            <c:idx val="30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DC0-4DFF-BE40-9B5FCE375A46}"/>
              </c:ext>
            </c:extLst>
          </c:dPt>
          <c:dPt>
            <c:idx val="31"/>
            <c:invertIfNegative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DC0-4DFF-BE40-9B5FCE375A4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73-4E87-857A-0692834731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SALES!$AG$2:$AG$34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SALES!$AF$2:$AF$33</c:f>
              <c:numCache>
                <c:formatCode>[$₹]#,##0</c:formatCode>
                <c:ptCount val="32"/>
                <c:pt idx="0" formatCode="General">
                  <c:v>0</c:v>
                </c:pt>
                <c:pt idx="1">
                  <c:v>47505</c:v>
                </c:pt>
                <c:pt idx="2">
                  <c:v>40895</c:v>
                </c:pt>
                <c:pt idx="3">
                  <c:v>37725</c:v>
                </c:pt>
                <c:pt idx="4">
                  <c:v>40791</c:v>
                </c:pt>
                <c:pt idx="5">
                  <c:v>38564</c:v>
                </c:pt>
                <c:pt idx="6">
                  <c:v>15750</c:v>
                </c:pt>
                <c:pt idx="7">
                  <c:v>13994</c:v>
                </c:pt>
                <c:pt idx="8">
                  <c:v>15945</c:v>
                </c:pt>
                <c:pt idx="9">
                  <c:v>17848</c:v>
                </c:pt>
                <c:pt idx="10">
                  <c:v>13219</c:v>
                </c:pt>
                <c:pt idx="11">
                  <c:v>13964</c:v>
                </c:pt>
                <c:pt idx="12">
                  <c:v>12828</c:v>
                </c:pt>
                <c:pt idx="13">
                  <c:v>11955</c:v>
                </c:pt>
                <c:pt idx="14">
                  <c:v>18621</c:v>
                </c:pt>
                <c:pt idx="15">
                  <c:v>12677</c:v>
                </c:pt>
                <c:pt idx="16">
                  <c:v>13207</c:v>
                </c:pt>
                <c:pt idx="17">
                  <c:v>8227</c:v>
                </c:pt>
                <c:pt idx="18">
                  <c:v>9808</c:v>
                </c:pt>
                <c:pt idx="19">
                  <c:v>12113</c:v>
                </c:pt>
                <c:pt idx="20">
                  <c:v>15955</c:v>
                </c:pt>
                <c:pt idx="21">
                  <c:v>15695</c:v>
                </c:pt>
                <c:pt idx="22">
                  <c:v>62535</c:v>
                </c:pt>
                <c:pt idx="23">
                  <c:v>68743</c:v>
                </c:pt>
                <c:pt idx="24">
                  <c:v>58950</c:v>
                </c:pt>
                <c:pt idx="25">
                  <c:v>50069</c:v>
                </c:pt>
                <c:pt idx="26">
                  <c:v>20450</c:v>
                </c:pt>
                <c:pt idx="27">
                  <c:v>28613</c:v>
                </c:pt>
                <c:pt idx="28">
                  <c:v>42342</c:v>
                </c:pt>
                <c:pt idx="29">
                  <c:v>26626</c:v>
                </c:pt>
                <c:pt idx="30">
                  <c:v>31702</c:v>
                </c:pt>
                <c:pt idx="31">
                  <c:v>29700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3-4E87-857A-069283473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1558306"/>
        <c:axId val="1731236959"/>
      </c:barChart>
      <c:catAx>
        <c:axId val="1051558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36959"/>
        <c:crosses val="autoZero"/>
        <c:auto val="1"/>
        <c:lblAlgn val="ctr"/>
        <c:lblOffset val="100"/>
        <c:noMultiLvlLbl val="1"/>
      </c:catAx>
      <c:valAx>
        <c:axId val="1731236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15583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of SKU's (/month)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8506546688215E-2"/>
          <c:y val="0.31276656581640061"/>
          <c:w val="0.76196418940783084"/>
          <c:h val="0.38480558782611191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C5-48E6-8258-2B08E8D70257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C5-48E6-8258-2B08E8D70257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5-48E6-8258-2B08E8D70257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C5-48E6-8258-2B08E8D70257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C5-48E6-8258-2B08E8D70257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C5-48E6-8258-2B08E8D70257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C5-48E6-8258-2B08E8D70257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C5-48E6-8258-2B08E8D70257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C5-48E6-8258-2B08E8D70257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C5-48E6-8258-2B08E8D70257}"/>
              </c:ext>
            </c:extLst>
          </c:dPt>
          <c:dLbls>
            <c:dLbl>
              <c:idx val="0"/>
              <c:layout>
                <c:manualLayout>
                  <c:x val="0"/>
                  <c:y val="-8.4128383736010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5-48E6-8258-2B08E8D70257}"/>
                </c:ext>
              </c:extLst>
            </c:dLbl>
            <c:dLbl>
              <c:idx val="1"/>
              <c:layout>
                <c:manualLayout>
                  <c:x val="0"/>
                  <c:y val="-1.4750287056484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5-48E6-8258-2B08E8D70257}"/>
                </c:ext>
              </c:extLst>
            </c:dLbl>
            <c:dLbl>
              <c:idx val="2"/>
              <c:layout>
                <c:manualLayout>
                  <c:x val="1.6612725452343584E-3"/>
                  <c:y val="4.2620589921659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5-48E6-8258-2B08E8D70257}"/>
                </c:ext>
              </c:extLst>
            </c:dLbl>
            <c:dLbl>
              <c:idx val="3"/>
              <c:layout>
                <c:manualLayout>
                  <c:x val="-1.6612725452343584E-3"/>
                  <c:y val="1.09333465072412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5-48E6-8258-2B08E8D70257}"/>
                </c:ext>
              </c:extLst>
            </c:dLbl>
            <c:dLbl>
              <c:idx val="4"/>
              <c:layout>
                <c:manualLayout>
                  <c:x val="0"/>
                  <c:y val="-2.0753896907175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5-48E6-8258-2B08E8D70257}"/>
                </c:ext>
              </c:extLst>
            </c:dLbl>
            <c:dLbl>
              <c:idx val="5"/>
              <c:layout>
                <c:manualLayout>
                  <c:x val="0"/>
                  <c:y val="1.09333465072424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5-48E6-8258-2B08E8D70257}"/>
                </c:ext>
              </c:extLst>
            </c:dLbl>
            <c:dLbl>
              <c:idx val="6"/>
              <c:layout>
                <c:manualLayout>
                  <c:x val="-1.6612725452343584E-3"/>
                  <c:y val="-2.0753896907175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5-48E6-8258-2B08E8D70257}"/>
                </c:ext>
              </c:extLst>
            </c:dLbl>
            <c:dLbl>
              <c:idx val="7"/>
              <c:layout>
                <c:manualLayout>
                  <c:x val="-1.6612725452343584E-3"/>
                  <c:y val="-2.0753896907175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5-48E6-8258-2B08E8D70257}"/>
                </c:ext>
              </c:extLst>
            </c:dLbl>
            <c:dLbl>
              <c:idx val="8"/>
              <c:layout>
                <c:manualLayout>
                  <c:x val="0"/>
                  <c:y val="-8.4128383736011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5-48E6-8258-2B08E8D70257}"/>
                </c:ext>
              </c:extLst>
            </c:dLbl>
            <c:dLbl>
              <c:idx val="9"/>
              <c:layout>
                <c:manualLayout>
                  <c:x val="-1.2182524598154895E-16"/>
                  <c:y val="1.09333465072418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C5-48E6-8258-2B08E8D702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166300</c:v>
                </c:pt>
                <c:pt idx="1">
                  <c:v>44660</c:v>
                </c:pt>
                <c:pt idx="2">
                  <c:v>88800</c:v>
                </c:pt>
                <c:pt idx="3">
                  <c:v>46256</c:v>
                </c:pt>
                <c:pt idx="4">
                  <c:v>61104</c:v>
                </c:pt>
                <c:pt idx="5">
                  <c:v>32046</c:v>
                </c:pt>
                <c:pt idx="6">
                  <c:v>79900</c:v>
                </c:pt>
                <c:pt idx="7">
                  <c:v>110490</c:v>
                </c:pt>
                <c:pt idx="8">
                  <c:v>120080</c:v>
                </c:pt>
                <c:pt idx="9">
                  <c:v>97380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5-48E6-8258-2B08E8D702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7022624"/>
        <c:axId val="755578612"/>
      </c:barChart>
      <c:catAx>
        <c:axId val="2570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8612"/>
        <c:crosses val="autoZero"/>
        <c:auto val="1"/>
        <c:lblAlgn val="ctr"/>
        <c:lblOffset val="100"/>
        <c:noMultiLvlLbl val="1"/>
      </c:catAx>
      <c:valAx>
        <c:axId val="75557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strRef>
              <c:f>SALES!$C$2</c:f>
              <c:strCache>
                <c:ptCount val="1"/>
                <c:pt idx="0">
                  <c:v>ATTA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SALES!$C$3:$C$33</c:f>
              <c:numCache>
                <c:formatCode>General</c:formatCode>
                <c:ptCount val="31"/>
                <c:pt idx="0">
                  <c:v>110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30</c:v>
                </c:pt>
                <c:pt idx="18">
                  <c:v>20</c:v>
                </c:pt>
                <c:pt idx="19">
                  <c:v>18</c:v>
                </c:pt>
                <c:pt idx="20">
                  <c:v>30</c:v>
                </c:pt>
                <c:pt idx="21">
                  <c:v>90</c:v>
                </c:pt>
                <c:pt idx="22">
                  <c:v>116</c:v>
                </c:pt>
                <c:pt idx="23">
                  <c:v>96</c:v>
                </c:pt>
                <c:pt idx="24">
                  <c:v>60</c:v>
                </c:pt>
                <c:pt idx="25">
                  <c:v>16</c:v>
                </c:pt>
                <c:pt idx="26">
                  <c:v>40</c:v>
                </c:pt>
                <c:pt idx="27">
                  <c:v>60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F-465A-82C2-7251754DDBBC}"/>
            </c:ext>
          </c:extLst>
        </c:ser>
        <c:ser>
          <c:idx val="1"/>
          <c:order val="1"/>
          <c:tx>
            <c:strRef>
              <c:f>SALES!$B$2</c:f>
              <c:strCache>
                <c:ptCount val="1"/>
                <c:pt idx="0">
                  <c:v>RICE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SALES!$B$3:$B$33</c:f>
              <c:numCache>
                <c:formatCode>General</c:formatCode>
                <c:ptCount val="31"/>
                <c:pt idx="0">
                  <c:v>95</c:v>
                </c:pt>
                <c:pt idx="1">
                  <c:v>90</c:v>
                </c:pt>
                <c:pt idx="2">
                  <c:v>70</c:v>
                </c:pt>
                <c:pt idx="3">
                  <c:v>85</c:v>
                </c:pt>
                <c:pt idx="4">
                  <c:v>66</c:v>
                </c:pt>
                <c:pt idx="5">
                  <c:v>35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65</c:v>
                </c:pt>
                <c:pt idx="10">
                  <c:v>84</c:v>
                </c:pt>
                <c:pt idx="11">
                  <c:v>48</c:v>
                </c:pt>
                <c:pt idx="12">
                  <c:v>50</c:v>
                </c:pt>
                <c:pt idx="13">
                  <c:v>105</c:v>
                </c:pt>
                <c:pt idx="14">
                  <c:v>62</c:v>
                </c:pt>
                <c:pt idx="15">
                  <c:v>40</c:v>
                </c:pt>
                <c:pt idx="16">
                  <c:v>38</c:v>
                </c:pt>
                <c:pt idx="17">
                  <c:v>40</c:v>
                </c:pt>
                <c:pt idx="18">
                  <c:v>69</c:v>
                </c:pt>
                <c:pt idx="19">
                  <c:v>65</c:v>
                </c:pt>
                <c:pt idx="20">
                  <c:v>68</c:v>
                </c:pt>
                <c:pt idx="21">
                  <c:v>265</c:v>
                </c:pt>
                <c:pt idx="22">
                  <c:v>290</c:v>
                </c:pt>
                <c:pt idx="23">
                  <c:v>230</c:v>
                </c:pt>
                <c:pt idx="24">
                  <c:v>160</c:v>
                </c:pt>
                <c:pt idx="25">
                  <c:v>150</c:v>
                </c:pt>
                <c:pt idx="26">
                  <c:v>210</c:v>
                </c:pt>
                <c:pt idx="27">
                  <c:v>260</c:v>
                </c:pt>
                <c:pt idx="28">
                  <c:v>160</c:v>
                </c:pt>
                <c:pt idx="29">
                  <c:v>156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F-465A-82C2-7251754DDBBC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SALES!$D$3:$D$33</c:f>
              <c:numCache>
                <c:formatCode>General</c:formatCode>
                <c:ptCount val="31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36</c:v>
                </c:pt>
                <c:pt idx="22">
                  <c:v>30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18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F-465A-82C2-7251754DDBBC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SALES!$E$3:$E$33</c:f>
              <c:numCache>
                <c:formatCode>General</c:formatCode>
                <c:ptCount val="3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26</c:v>
                </c:pt>
                <c:pt idx="22">
                  <c:v>15</c:v>
                </c:pt>
                <c:pt idx="23">
                  <c:v>18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18</c:v>
                </c:pt>
                <c:pt idx="28">
                  <c:v>16</c:v>
                </c:pt>
                <c:pt idx="29">
                  <c:v>10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F-465A-82C2-7251754DDBBC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SALES!$F$3:$F$33</c:f>
              <c:numCache>
                <c:formatCode>General</c:formatCode>
                <c:ptCount val="31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28</c:v>
                </c:pt>
                <c:pt idx="22">
                  <c:v>36</c:v>
                </c:pt>
                <c:pt idx="23">
                  <c:v>24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F-465A-82C2-7251754DDBBC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SALES!$G$3:$G$33</c:f>
              <c:numCache>
                <c:formatCode>General</c:formatCode>
                <c:ptCount val="31"/>
                <c:pt idx="0">
                  <c:v>70</c:v>
                </c:pt>
                <c:pt idx="1">
                  <c:v>48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94</c:v>
                </c:pt>
                <c:pt idx="22">
                  <c:v>100</c:v>
                </c:pt>
                <c:pt idx="23">
                  <c:v>54</c:v>
                </c:pt>
                <c:pt idx="24">
                  <c:v>40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F-465A-82C2-7251754DDBBC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SALES!$H$3:$H$33</c:f>
              <c:numCache>
                <c:formatCode>General</c:formatCode>
                <c:ptCount val="31"/>
                <c:pt idx="0">
                  <c:v>36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38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68</c:v>
                </c:pt>
                <c:pt idx="22">
                  <c:v>60</c:v>
                </c:pt>
                <c:pt idx="23">
                  <c:v>36</c:v>
                </c:pt>
                <c:pt idx="24">
                  <c:v>22</c:v>
                </c:pt>
                <c:pt idx="25">
                  <c:v>6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F-465A-82C2-7251754DDBBC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SALES!$I$3:$I$33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F-465A-82C2-7251754DDBBC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SALES!$J$3:$J$33</c:f>
              <c:numCache>
                <c:formatCode>General</c:formatCode>
                <c:ptCount val="31"/>
                <c:pt idx="0">
                  <c:v>60</c:v>
                </c:pt>
                <c:pt idx="1">
                  <c:v>56</c:v>
                </c:pt>
                <c:pt idx="2">
                  <c:v>60</c:v>
                </c:pt>
                <c:pt idx="3">
                  <c:v>64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50</c:v>
                </c:pt>
                <c:pt idx="21">
                  <c:v>90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60</c:v>
                </c:pt>
                <c:pt idx="26">
                  <c:v>55</c:v>
                </c:pt>
                <c:pt idx="27">
                  <c:v>65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0F-465A-82C2-7251754DDBBC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11/1/2023</c:v>
                </c:pt>
                <c:pt idx="2">
                  <c:v>11/2/2023</c:v>
                </c:pt>
                <c:pt idx="3">
                  <c:v>11/3/2023</c:v>
                </c:pt>
                <c:pt idx="4">
                  <c:v>11/4/2023</c:v>
                </c:pt>
                <c:pt idx="5">
                  <c:v>11/5/2023</c:v>
                </c:pt>
                <c:pt idx="6">
                  <c:v>11/6/2023</c:v>
                </c:pt>
                <c:pt idx="7">
                  <c:v>11/7/2023</c:v>
                </c:pt>
                <c:pt idx="8">
                  <c:v>11/8/2023</c:v>
                </c:pt>
                <c:pt idx="9">
                  <c:v>11/9/2023</c:v>
                </c:pt>
                <c:pt idx="10">
                  <c:v>11/10/2023</c:v>
                </c:pt>
                <c:pt idx="11">
                  <c:v>11/11/2023</c:v>
                </c:pt>
                <c:pt idx="12">
                  <c:v>11/12/2023</c:v>
                </c:pt>
                <c:pt idx="13">
                  <c:v>11/13/2023</c:v>
                </c:pt>
                <c:pt idx="14">
                  <c:v>11/14/2023</c:v>
                </c:pt>
                <c:pt idx="15">
                  <c:v>11/15/2023</c:v>
                </c:pt>
                <c:pt idx="16">
                  <c:v>11/16/2023</c:v>
                </c:pt>
                <c:pt idx="17">
                  <c:v>11/17/2023</c:v>
                </c:pt>
                <c:pt idx="18">
                  <c:v>11/18/2023</c:v>
                </c:pt>
                <c:pt idx="19">
                  <c:v>11/19/2023</c:v>
                </c:pt>
                <c:pt idx="20">
                  <c:v>11/20/2023</c:v>
                </c:pt>
                <c:pt idx="21">
                  <c:v>11/21/2023</c:v>
                </c:pt>
                <c:pt idx="22">
                  <c:v>11/22/2023</c:v>
                </c:pt>
                <c:pt idx="23">
                  <c:v>11/23/2023</c:v>
                </c:pt>
                <c:pt idx="24">
                  <c:v>11/24/2023</c:v>
                </c:pt>
                <c:pt idx="25">
                  <c:v>11/25/2023</c:v>
                </c:pt>
                <c:pt idx="26">
                  <c:v>11/26/2023</c:v>
                </c:pt>
                <c:pt idx="27">
                  <c:v>11/27/2023</c:v>
                </c:pt>
                <c:pt idx="28">
                  <c:v>11/28/2023</c:v>
                </c:pt>
                <c:pt idx="29">
                  <c:v>11/29/2023</c:v>
                </c:pt>
                <c:pt idx="30">
                  <c:v>11/30/2023</c:v>
                </c:pt>
                <c:pt idx="31">
                  <c:v>12/1/2023</c:v>
                </c:pt>
              </c:strCache>
            </c:strRef>
          </c:cat>
          <c:val>
            <c:numRef>
              <c:f>SALES!$K$3:$K$33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10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0F-465A-82C2-7251754D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59366"/>
        <c:axId val="1711480718"/>
      </c:lineChart>
      <c:catAx>
        <c:axId val="21424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480718"/>
        <c:crosses val="autoZero"/>
        <c:auto val="1"/>
        <c:lblAlgn val="ctr"/>
        <c:lblOffset val="100"/>
        <c:noMultiLvlLbl val="1"/>
      </c:catAx>
      <c:valAx>
        <c:axId val="171148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45936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6708595387846"/>
          <c:y val="5.974805212216841E-2"/>
          <c:w val="0.16122431865828094"/>
          <c:h val="0.446973892507051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Average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176377952755899E-2"/>
          <c:y val="0.16956560757774131"/>
          <c:w val="0.88490693663292086"/>
          <c:h val="0.5915757251655018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>
                <a:alpha val="70196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107.29032258064517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10.612903225806452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18.64516129032258</c:v>
                </c:pt>
                <c:pt idx="7">
                  <c:v>6.290322580645161</c:v>
                </c:pt>
                <c:pt idx="8">
                  <c:v>64.677419354838705</c:v>
                </c:pt>
                <c:pt idx="9">
                  <c:v>3.5806451612903225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B75-4FC6-BDD7-8B005909D6CB}"/>
            </c:ext>
          </c:extLst>
        </c:ser>
        <c:ser>
          <c:idx val="1"/>
          <c:order val="1"/>
          <c:spPr>
            <a:solidFill>
              <a:srgbClr val="EA4335">
                <a:alpha val="70196"/>
              </a:srgbClr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5B75-4FC6-BDD7-8B005909D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009560"/>
        <c:axId val="1751149458"/>
      </c:barChart>
      <c:catAx>
        <c:axId val="20100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49458"/>
        <c:crosses val="autoZero"/>
        <c:auto val="1"/>
        <c:lblAlgn val="ctr"/>
        <c:lblOffset val="100"/>
        <c:noMultiLvlLbl val="1"/>
      </c:catAx>
      <c:valAx>
        <c:axId val="175114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Price Trend (SKU)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201635435529"/>
          <c:y val="9.6449785882027905E-2"/>
          <c:w val="0.72684239131919126"/>
          <c:h val="0.61470626697978548"/>
        </c:manualLayout>
      </c:layout>
      <c:lineChart>
        <c:grouping val="standard"/>
        <c:varyColors val="1"/>
        <c:ser>
          <c:idx val="0"/>
          <c:order val="0"/>
          <c:tx>
            <c:strRef>
              <c:f>PURCHASE!$L$1:$L$2</c:f>
              <c:strCache>
                <c:ptCount val="2"/>
                <c:pt idx="0">
                  <c:v>PURCHASE(Quantity)</c:v>
                </c:pt>
                <c:pt idx="1">
                  <c:v>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PURCHASE!$L$3:$L$33</c:f>
              <c:numCache>
                <c:formatCode>[$₹]#,##0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7-4A4B-B029-A73EEAD7DCD1}"/>
            </c:ext>
          </c:extLst>
        </c:ser>
        <c:ser>
          <c:idx val="1"/>
          <c:order val="1"/>
          <c:tx>
            <c:strRef>
              <c:f>PURCHASE!$M$1:$M$2</c:f>
              <c:strCache>
                <c:ptCount val="2"/>
                <c:pt idx="0">
                  <c:v>PURCHASE(Quantity)</c:v>
                </c:pt>
                <c:pt idx="1">
                  <c:v>ATTA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PURCHASE!$M$3:$M$33</c:f>
              <c:numCache>
                <c:formatCode>[$₹]#,##0</c:formatCode>
                <c:ptCount val="31"/>
                <c:pt idx="0">
                  <c:v>32.200000000000003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7-4A4B-B029-A73EEAD7DCD1}"/>
            </c:ext>
          </c:extLst>
        </c:ser>
        <c:ser>
          <c:idx val="2"/>
          <c:order val="2"/>
          <c:tx>
            <c:strRef>
              <c:f>PURCHASE!$N$1:$N$2</c:f>
              <c:strCache>
                <c:ptCount val="2"/>
                <c:pt idx="0">
                  <c:v>PURCHASE(Quantity)</c:v>
                </c:pt>
                <c:pt idx="1">
                  <c:v>TOOR DAL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PURCHASE!$N$3:$N$33</c:f>
              <c:numCache>
                <c:formatCode>[$₹]#,##0</c:formatCode>
                <c:ptCount val="31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7-4A4B-B029-A73EEAD7DCD1}"/>
            </c:ext>
          </c:extLst>
        </c:ser>
        <c:ser>
          <c:idx val="3"/>
          <c:order val="3"/>
          <c:tx>
            <c:strRef>
              <c:f>PURCHASE!$O$1:$O$2</c:f>
              <c:strCache>
                <c:ptCount val="2"/>
                <c:pt idx="0">
                  <c:v>PURCHASE(Quantity)</c:v>
                </c:pt>
                <c:pt idx="1">
                  <c:v>MOONG DAL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PURCHASE!$O$3:$O$33</c:f>
              <c:numCache>
                <c:formatCode>[$₹]#,##0</c:formatCode>
                <c:ptCount val="31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126.9</c:v>
                </c:pt>
                <c:pt idx="26">
                  <c:v>126.9</c:v>
                </c:pt>
                <c:pt idx="27">
                  <c:v>127.8</c:v>
                </c:pt>
                <c:pt idx="28">
                  <c:v>127.8</c:v>
                </c:pt>
                <c:pt idx="29">
                  <c:v>130.5</c:v>
                </c:pt>
                <c:pt idx="30">
                  <c:v>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7-4A4B-B029-A73EEAD7DCD1}"/>
            </c:ext>
          </c:extLst>
        </c:ser>
        <c:ser>
          <c:idx val="4"/>
          <c:order val="4"/>
          <c:tx>
            <c:strRef>
              <c:f>PURCHASE!$P$1:$P$2</c:f>
              <c:strCache>
                <c:ptCount val="2"/>
                <c:pt idx="0">
                  <c:v>PURCHASE PRICE</c:v>
                </c:pt>
                <c:pt idx="1">
                  <c:v>URAD DAL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PURCHASE!$P$3:$P$33</c:f>
              <c:numCache>
                <c:formatCode>[$₹]#,##0</c:formatCode>
                <c:ptCount val="31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110.4</c:v>
                </c:pt>
                <c:pt idx="4">
                  <c:v>110.4</c:v>
                </c:pt>
                <c:pt idx="5">
                  <c:v>110.4</c:v>
                </c:pt>
                <c:pt idx="6">
                  <c:v>110.4</c:v>
                </c:pt>
                <c:pt idx="7">
                  <c:v>110.4</c:v>
                </c:pt>
                <c:pt idx="8">
                  <c:v>110.4</c:v>
                </c:pt>
                <c:pt idx="9">
                  <c:v>110.4</c:v>
                </c:pt>
                <c:pt idx="10">
                  <c:v>110.4</c:v>
                </c:pt>
                <c:pt idx="11">
                  <c:v>110.4</c:v>
                </c:pt>
                <c:pt idx="12">
                  <c:v>110.4</c:v>
                </c:pt>
                <c:pt idx="13">
                  <c:v>110.4</c:v>
                </c:pt>
                <c:pt idx="14">
                  <c:v>110.4</c:v>
                </c:pt>
                <c:pt idx="15">
                  <c:v>110.4</c:v>
                </c:pt>
                <c:pt idx="16">
                  <c:v>110.4</c:v>
                </c:pt>
                <c:pt idx="17">
                  <c:v>110.4</c:v>
                </c:pt>
                <c:pt idx="18">
                  <c:v>110.4</c:v>
                </c:pt>
                <c:pt idx="19">
                  <c:v>110.4</c:v>
                </c:pt>
                <c:pt idx="20">
                  <c:v>110.4</c:v>
                </c:pt>
                <c:pt idx="21">
                  <c:v>110.4</c:v>
                </c:pt>
                <c:pt idx="22">
                  <c:v>108.56</c:v>
                </c:pt>
                <c:pt idx="23">
                  <c:v>108.56</c:v>
                </c:pt>
                <c:pt idx="24">
                  <c:v>108.56</c:v>
                </c:pt>
                <c:pt idx="25">
                  <c:v>108.56</c:v>
                </c:pt>
                <c:pt idx="26">
                  <c:v>108.56</c:v>
                </c:pt>
                <c:pt idx="27">
                  <c:v>108.56</c:v>
                </c:pt>
                <c:pt idx="28">
                  <c:v>108.56</c:v>
                </c:pt>
                <c:pt idx="29">
                  <c:v>108.56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7-4A4B-B029-A73EEAD7DCD1}"/>
            </c:ext>
          </c:extLst>
        </c:ser>
        <c:ser>
          <c:idx val="5"/>
          <c:order val="5"/>
          <c:tx>
            <c:strRef>
              <c:f>PURCHASE!$Q$1:$Q$2</c:f>
              <c:strCache>
                <c:ptCount val="2"/>
                <c:pt idx="0">
                  <c:v>PURCHASE PRICE</c:v>
                </c:pt>
                <c:pt idx="1">
                  <c:v>SUGAR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PURCHASE!$Q$3:$Q$33</c:f>
              <c:numCache>
                <c:formatCode>[$₹]#,##0</c:formatCode>
                <c:ptCount val="31"/>
                <c:pt idx="0">
                  <c:v>42.3</c:v>
                </c:pt>
                <c:pt idx="1">
                  <c:v>42.3</c:v>
                </c:pt>
                <c:pt idx="2">
                  <c:v>42.3</c:v>
                </c:pt>
                <c:pt idx="3">
                  <c:v>40.419999999999995</c:v>
                </c:pt>
                <c:pt idx="4">
                  <c:v>40.419999999999995</c:v>
                </c:pt>
                <c:pt idx="5">
                  <c:v>40.419999999999995</c:v>
                </c:pt>
                <c:pt idx="6">
                  <c:v>40.419999999999995</c:v>
                </c:pt>
                <c:pt idx="7">
                  <c:v>40.419999999999995</c:v>
                </c:pt>
                <c:pt idx="8">
                  <c:v>40.419999999999995</c:v>
                </c:pt>
                <c:pt idx="9">
                  <c:v>40.419999999999995</c:v>
                </c:pt>
                <c:pt idx="10">
                  <c:v>40.419999999999995</c:v>
                </c:pt>
                <c:pt idx="11">
                  <c:v>40.419999999999995</c:v>
                </c:pt>
                <c:pt idx="12">
                  <c:v>40.419999999999995</c:v>
                </c:pt>
                <c:pt idx="13">
                  <c:v>40.419999999999995</c:v>
                </c:pt>
                <c:pt idx="14">
                  <c:v>40.419999999999995</c:v>
                </c:pt>
                <c:pt idx="15">
                  <c:v>40.419999999999995</c:v>
                </c:pt>
                <c:pt idx="16">
                  <c:v>40.419999999999995</c:v>
                </c:pt>
                <c:pt idx="17">
                  <c:v>41.36</c:v>
                </c:pt>
                <c:pt idx="18">
                  <c:v>44.18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7-4A4B-B029-A73EEAD7DCD1}"/>
            </c:ext>
          </c:extLst>
        </c:ser>
        <c:ser>
          <c:idx val="6"/>
          <c:order val="6"/>
          <c:tx>
            <c:strRef>
              <c:f>PURCHASE!$R$1:$R$2</c:f>
              <c:strCache>
                <c:ptCount val="2"/>
                <c:pt idx="0">
                  <c:v>PURCHASE PRICE</c:v>
                </c:pt>
                <c:pt idx="1">
                  <c:v>COOKING OIL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PURCHASE!$R$3:$R$33</c:f>
              <c:numCache>
                <c:formatCode>[$₹]#,##0</c:formatCode>
                <c:ptCount val="31"/>
                <c:pt idx="0">
                  <c:v>131.6</c:v>
                </c:pt>
                <c:pt idx="1">
                  <c:v>131.6</c:v>
                </c:pt>
                <c:pt idx="2">
                  <c:v>131.6</c:v>
                </c:pt>
                <c:pt idx="3">
                  <c:v>131.6</c:v>
                </c:pt>
                <c:pt idx="4">
                  <c:v>131.6</c:v>
                </c:pt>
                <c:pt idx="5">
                  <c:v>131.6</c:v>
                </c:pt>
                <c:pt idx="6">
                  <c:v>131.6</c:v>
                </c:pt>
                <c:pt idx="7">
                  <c:v>131.6</c:v>
                </c:pt>
                <c:pt idx="8">
                  <c:v>131.6</c:v>
                </c:pt>
                <c:pt idx="9">
                  <c:v>131.6</c:v>
                </c:pt>
                <c:pt idx="10">
                  <c:v>131.6</c:v>
                </c:pt>
                <c:pt idx="11">
                  <c:v>126.89999999999999</c:v>
                </c:pt>
                <c:pt idx="12">
                  <c:v>126.89999999999999</c:v>
                </c:pt>
                <c:pt idx="13">
                  <c:v>126.89999999999999</c:v>
                </c:pt>
                <c:pt idx="14">
                  <c:v>126.89999999999999</c:v>
                </c:pt>
                <c:pt idx="15">
                  <c:v>126.89999999999999</c:v>
                </c:pt>
                <c:pt idx="16">
                  <c:v>126.89999999999999</c:v>
                </c:pt>
                <c:pt idx="17">
                  <c:v>126.89999999999999</c:v>
                </c:pt>
                <c:pt idx="18">
                  <c:v>126.89999999999999</c:v>
                </c:pt>
                <c:pt idx="19">
                  <c:v>126.89999999999999</c:v>
                </c:pt>
                <c:pt idx="20">
                  <c:v>126.89999999999999</c:v>
                </c:pt>
                <c:pt idx="21">
                  <c:v>126.89999999999999</c:v>
                </c:pt>
                <c:pt idx="22">
                  <c:v>129.72</c:v>
                </c:pt>
                <c:pt idx="23">
                  <c:v>129.72</c:v>
                </c:pt>
                <c:pt idx="24">
                  <c:v>129.72</c:v>
                </c:pt>
                <c:pt idx="25">
                  <c:v>129.72</c:v>
                </c:pt>
                <c:pt idx="26">
                  <c:v>129.72</c:v>
                </c:pt>
                <c:pt idx="27">
                  <c:v>129.72</c:v>
                </c:pt>
                <c:pt idx="28">
                  <c:v>129.72</c:v>
                </c:pt>
                <c:pt idx="29">
                  <c:v>129.72</c:v>
                </c:pt>
                <c:pt idx="30">
                  <c:v>129.72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37-4A4B-B029-A73EEAD7DCD1}"/>
            </c:ext>
          </c:extLst>
        </c:ser>
        <c:ser>
          <c:idx val="7"/>
          <c:order val="7"/>
          <c:tx>
            <c:strRef>
              <c:f>PURCHASE!$S$1:$S$2</c:f>
              <c:strCache>
                <c:ptCount val="2"/>
                <c:pt idx="0">
                  <c:v>PURCHASE PRICE</c:v>
                </c:pt>
                <c:pt idx="1">
                  <c:v>GHEE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PURCHASE!$S$3:$S$33</c:f>
              <c:numCache>
                <c:formatCode>[$₹]#,##0</c:formatCode>
                <c:ptCount val="31"/>
                <c:pt idx="0">
                  <c:v>495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495</c:v>
                </c:pt>
                <c:pt idx="6">
                  <c:v>495</c:v>
                </c:pt>
                <c:pt idx="7">
                  <c:v>495</c:v>
                </c:pt>
                <c:pt idx="8">
                  <c:v>495</c:v>
                </c:pt>
                <c:pt idx="9">
                  <c:v>495</c:v>
                </c:pt>
                <c:pt idx="10">
                  <c:v>495</c:v>
                </c:pt>
                <c:pt idx="11">
                  <c:v>495</c:v>
                </c:pt>
                <c:pt idx="12">
                  <c:v>495</c:v>
                </c:pt>
                <c:pt idx="13">
                  <c:v>495</c:v>
                </c:pt>
                <c:pt idx="14">
                  <c:v>495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522</c:v>
                </c:pt>
                <c:pt idx="21">
                  <c:v>522</c:v>
                </c:pt>
                <c:pt idx="22">
                  <c:v>522</c:v>
                </c:pt>
                <c:pt idx="23">
                  <c:v>522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522</c:v>
                </c:pt>
                <c:pt idx="28">
                  <c:v>522</c:v>
                </c:pt>
                <c:pt idx="29">
                  <c:v>522</c:v>
                </c:pt>
                <c:pt idx="30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37-4A4B-B029-A73EEAD7DCD1}"/>
            </c:ext>
          </c:extLst>
        </c:ser>
        <c:ser>
          <c:idx val="8"/>
          <c:order val="8"/>
          <c:tx>
            <c:strRef>
              <c:f>PURCHASE!$T$1:$T$2</c:f>
              <c:strCache>
                <c:ptCount val="2"/>
                <c:pt idx="0">
                  <c:v>PURCHASE PRICE</c:v>
                </c:pt>
                <c:pt idx="1">
                  <c:v>MILK &amp; DAIRY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PURCHASE!$T$3:$T$33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56.05</c:v>
                </c:pt>
                <c:pt idx="17">
                  <c:v>56.05</c:v>
                </c:pt>
                <c:pt idx="18">
                  <c:v>56.05</c:v>
                </c:pt>
                <c:pt idx="19">
                  <c:v>56.05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37-4A4B-B029-A73EEAD7DCD1}"/>
            </c:ext>
          </c:extLst>
        </c:ser>
        <c:ser>
          <c:idx val="9"/>
          <c:order val="9"/>
          <c:tx>
            <c:strRef>
              <c:f>PURCHASE!$U$1:$U$2</c:f>
              <c:strCache>
                <c:ptCount val="2"/>
                <c:pt idx="0">
                  <c:v>PURCHASE PRICE</c:v>
                </c:pt>
                <c:pt idx="1">
                  <c:v>DRY FRUITS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PURCHASE!$U$3:$U$33</c:f>
              <c:numCache>
                <c:formatCode>[$₹]#,##0</c:formatCode>
                <c:ptCount val="31"/>
                <c:pt idx="0">
                  <c:v>701.09999999999991</c:v>
                </c:pt>
                <c:pt idx="1">
                  <c:v>701.09999999999991</c:v>
                </c:pt>
                <c:pt idx="2">
                  <c:v>701.09999999999991</c:v>
                </c:pt>
                <c:pt idx="3">
                  <c:v>709.3</c:v>
                </c:pt>
                <c:pt idx="4">
                  <c:v>709.3</c:v>
                </c:pt>
                <c:pt idx="5">
                  <c:v>709.3</c:v>
                </c:pt>
                <c:pt idx="6">
                  <c:v>709.3</c:v>
                </c:pt>
                <c:pt idx="7">
                  <c:v>709.3</c:v>
                </c:pt>
                <c:pt idx="8">
                  <c:v>709.3</c:v>
                </c:pt>
                <c:pt idx="9">
                  <c:v>709.3</c:v>
                </c:pt>
                <c:pt idx="10">
                  <c:v>709.3</c:v>
                </c:pt>
                <c:pt idx="11">
                  <c:v>709.3</c:v>
                </c:pt>
                <c:pt idx="12">
                  <c:v>709.3</c:v>
                </c:pt>
                <c:pt idx="13">
                  <c:v>709.3</c:v>
                </c:pt>
                <c:pt idx="14">
                  <c:v>709.3</c:v>
                </c:pt>
                <c:pt idx="15">
                  <c:v>709.3</c:v>
                </c:pt>
                <c:pt idx="16">
                  <c:v>709.3</c:v>
                </c:pt>
                <c:pt idx="17">
                  <c:v>709.3</c:v>
                </c:pt>
                <c:pt idx="18">
                  <c:v>729.8</c:v>
                </c:pt>
                <c:pt idx="19">
                  <c:v>729.8</c:v>
                </c:pt>
                <c:pt idx="20">
                  <c:v>733.9</c:v>
                </c:pt>
                <c:pt idx="21">
                  <c:v>733.9</c:v>
                </c:pt>
                <c:pt idx="22">
                  <c:v>733.9</c:v>
                </c:pt>
                <c:pt idx="23">
                  <c:v>733.9</c:v>
                </c:pt>
                <c:pt idx="24">
                  <c:v>733.9</c:v>
                </c:pt>
                <c:pt idx="25">
                  <c:v>733.9</c:v>
                </c:pt>
                <c:pt idx="26">
                  <c:v>733.9</c:v>
                </c:pt>
                <c:pt idx="27">
                  <c:v>721.59999999999991</c:v>
                </c:pt>
                <c:pt idx="28">
                  <c:v>721.59999999999991</c:v>
                </c:pt>
                <c:pt idx="29">
                  <c:v>721.59999999999991</c:v>
                </c:pt>
                <c:pt idx="3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37-4A4B-B029-A73EEAD7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06412112"/>
        <c:axId val="1186897083"/>
      </c:lineChart>
      <c:dateAx>
        <c:axId val="200641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7083"/>
        <c:crosses val="autoZero"/>
        <c:auto val="1"/>
        <c:lblOffset val="100"/>
        <c:baseTimeUnit val="days"/>
      </c:dateAx>
      <c:valAx>
        <c:axId val="11868970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2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79657836735"/>
          <c:y val="0.85427342634802228"/>
          <c:w val="0.71188542119019738"/>
          <c:h val="0.14572657365197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COOKING OIL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464872944693567E-2"/>
          <c:y val="0.15229885057471262"/>
          <c:w val="0.89835575485799701"/>
          <c:h val="0.6648924327182657"/>
        </c:manualLayout>
      </c:layout>
      <c:barChart>
        <c:barDir val="col"/>
        <c:grouping val="clustered"/>
        <c:varyColors val="1"/>
        <c:ser>
          <c:idx val="0"/>
          <c:order val="0"/>
          <c:tx>
            <c:v>OIL PURCHASE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331-4A5C-8996-0EE2345B96C9}"/>
              </c:ext>
            </c:extLst>
          </c:dPt>
          <c:dPt>
            <c:idx val="2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31-4A5C-8996-0EE2345B9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PURCHASE!$A$41:$A$71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PURCHASE!$B$41:$B$71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331-4A5C-8996-0EE2345B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304241"/>
        <c:axId val="726067660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4-7331-4A5C-8996-0EE2345B96C9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7331-4A5C-8996-0EE2345B96C9}"/>
              </c:ext>
            </c:extLst>
          </c:dPt>
          <c:cat>
            <c:numRef>
              <c:f>PURCHASE!$A$41:$A$71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PURCHASE!$C$40:$C$71</c:f>
              <c:numCache>
                <c:formatCode>General</c:formatCode>
                <c:ptCount val="32"/>
                <c:pt idx="0">
                  <c:v>0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155.1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152.28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148.51999999999998</c:v>
                </c:pt>
                <c:pt idx="21">
                  <c:v>133.47999999999999</c:v>
                </c:pt>
                <c:pt idx="22">
                  <c:v>133.47999999999999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122.19999999999999</c:v>
                </c:pt>
                <c:pt idx="30">
                  <c:v>132.54</c:v>
                </c:pt>
                <c:pt idx="31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31-4A5C-8996-0EE2345B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04241"/>
        <c:axId val="726067660"/>
      </c:lineChart>
      <c:dateAx>
        <c:axId val="640304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26067660"/>
        <c:crosses val="autoZero"/>
        <c:auto val="1"/>
        <c:lblOffset val="100"/>
        <c:baseTimeUnit val="days"/>
      </c:dateAx>
      <c:valAx>
        <c:axId val="72606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030424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URAD DAL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7500000000000003E-2"/>
          <c:y val="0.21909254267744827"/>
          <c:w val="0.87158333333333338"/>
          <c:h val="0.56392632524708008"/>
        </c:manualLayout>
      </c:layout>
      <c:barChart>
        <c:barDir val="col"/>
        <c:grouping val="clustered"/>
        <c:varyColors val="1"/>
        <c:ser>
          <c:idx val="0"/>
          <c:order val="0"/>
          <c:tx>
            <c:v>Purchase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48-4899-8E23-A1CD9F6DB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PURCHASE!$E$41:$E$71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48-4899-8E23-A1CD9F6D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42356"/>
        <c:axId val="675817492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  <c:pt idx="30">
                  <c:v>45261</c:v>
                </c:pt>
              </c:numCache>
            </c:numRef>
          </c:cat>
          <c:val>
            <c:numRef>
              <c:f>PURCHASE!$G$41:$G$71</c:f>
              <c:numCache>
                <c:formatCode>General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8-4899-8E23-A1CD9F6D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42356"/>
        <c:axId val="675817492"/>
      </c:lineChart>
      <c:dateAx>
        <c:axId val="104284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817492"/>
        <c:crosses val="autoZero"/>
        <c:auto val="1"/>
        <c:lblOffset val="100"/>
        <c:baseTimeUnit val="days"/>
      </c:dateAx>
      <c:valAx>
        <c:axId val="67581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842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58263</xdr:colOff>
      <xdr:row>38</xdr:row>
      <xdr:rowOff>134339</xdr:rowOff>
    </xdr:from>
    <xdr:ext cx="5562600" cy="3486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8288</xdr:colOff>
      <xdr:row>59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148443</xdr:colOff>
      <xdr:row>37</xdr:row>
      <xdr:rowOff>85723</xdr:rowOff>
    </xdr:from>
    <xdr:ext cx="8547760" cy="4058269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12369</xdr:colOff>
      <xdr:row>37</xdr:row>
      <xdr:rowOff>148443</xdr:rowOff>
    </xdr:from>
    <xdr:ext cx="6828313" cy="4007922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200024</xdr:colOff>
      <xdr:row>59</xdr:row>
      <xdr:rowOff>98961</xdr:rowOff>
    </xdr:from>
    <xdr:ext cx="7572375" cy="4155497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9524</xdr:colOff>
      <xdr:row>59</xdr:row>
      <xdr:rowOff>107619</xdr:rowOff>
    </xdr:from>
    <xdr:ext cx="6667500" cy="40671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485775</xdr:colOff>
      <xdr:row>39</xdr:row>
      <xdr:rowOff>85725</xdr:rowOff>
    </xdr:from>
    <xdr:ext cx="9153525" cy="54292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142875</xdr:colOff>
      <xdr:row>39</xdr:row>
      <xdr:rowOff>95250</xdr:rowOff>
    </xdr:from>
    <xdr:ext cx="6372225" cy="39338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60</xdr:row>
      <xdr:rowOff>19050</xdr:rowOff>
    </xdr:from>
    <xdr:ext cx="6372225" cy="39338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19</xdr:row>
      <xdr:rowOff>38100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1085850</xdr:colOff>
      <xdr:row>19</xdr:row>
      <xdr:rowOff>85726</xdr:rowOff>
    </xdr:from>
    <xdr:ext cx="6067425" cy="34861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561975</xdr:colOff>
      <xdr:row>22</xdr:row>
      <xdr:rowOff>47625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742950</xdr:colOff>
      <xdr:row>41</xdr:row>
      <xdr:rowOff>9525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742950</xdr:colOff>
      <xdr:row>60</xdr:row>
      <xdr:rowOff>19050</xdr:rowOff>
    </xdr:from>
    <xdr:ext cx="56769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314325</xdr:colOff>
      <xdr:row>83</xdr:row>
      <xdr:rowOff>0</xdr:rowOff>
    </xdr:from>
    <xdr:ext cx="7724775" cy="52578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552450</xdr:colOff>
      <xdr:row>22</xdr:row>
      <xdr:rowOff>66674</xdr:rowOff>
    </xdr:from>
    <xdr:ext cx="6886575" cy="431482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628650</xdr:colOff>
      <xdr:row>110</xdr:row>
      <xdr:rowOff>152400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257175</xdr:colOff>
      <xdr:row>110</xdr:row>
      <xdr:rowOff>104775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228600</xdr:colOff>
      <xdr:row>0</xdr:row>
      <xdr:rowOff>104775</xdr:rowOff>
    </xdr:from>
    <xdr:ext cx="6067425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19</xdr:col>
      <xdr:colOff>552450</xdr:colOff>
      <xdr:row>0</xdr:row>
      <xdr:rowOff>190500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64</xdr:row>
      <xdr:rowOff>38100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314325</xdr:colOff>
      <xdr:row>42</xdr:row>
      <xdr:rowOff>28575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219075</xdr:colOff>
      <xdr:row>64</xdr:row>
      <xdr:rowOff>19050</xdr:rowOff>
    </xdr:from>
    <xdr:ext cx="6057900" cy="37433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19049</xdr:colOff>
      <xdr:row>42</xdr:row>
      <xdr:rowOff>19050</xdr:rowOff>
    </xdr:from>
    <xdr:ext cx="7829551" cy="42576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419100</xdr:colOff>
      <xdr:row>42</xdr:row>
      <xdr:rowOff>47625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800100</xdr:colOff>
      <xdr:row>86</xdr:row>
      <xdr:rowOff>200024</xdr:rowOff>
    </xdr:from>
    <xdr:ext cx="8229601" cy="70389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38100</xdr:colOff>
      <xdr:row>64</xdr:row>
      <xdr:rowOff>28575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5706894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371473</xdr:colOff>
      <xdr:row>21</xdr:row>
      <xdr:rowOff>295275</xdr:rowOff>
    </xdr:from>
    <xdr:ext cx="8170373" cy="378142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topLeftCell="A25" zoomScale="77" zoomScaleNormal="77" workbookViewId="0">
      <pane xSplit="1" topLeftCell="B1" activePane="topRight" state="frozen"/>
      <selection pane="topRight" activeCell="M50" sqref="M50"/>
    </sheetView>
  </sheetViews>
  <sheetFormatPr defaultColWidth="12.5703125" defaultRowHeight="15" customHeight="1" x14ac:dyDescent="0.2"/>
  <cols>
    <col min="1" max="1" width="19" bestFit="1" customWidth="1"/>
    <col min="2" max="20" width="14.42578125" customWidth="1"/>
    <col min="21" max="21" width="18.28515625" bestFit="1" customWidth="1"/>
    <col min="22" max="31" width="14.42578125" customWidth="1"/>
    <col min="32" max="32" width="20" bestFit="1" customWidth="1"/>
    <col min="33" max="33" width="14.42578125" customWidth="1"/>
  </cols>
  <sheetData>
    <row r="1" spans="1:33" ht="15.75" customHeight="1" x14ac:dyDescent="0.2">
      <c r="A1" s="69"/>
      <c r="B1" s="69"/>
      <c r="C1" s="69"/>
      <c r="D1" s="69"/>
      <c r="E1" s="69"/>
      <c r="F1" s="69" t="s">
        <v>92</v>
      </c>
      <c r="G1" s="69"/>
      <c r="H1" s="69"/>
      <c r="I1" s="69"/>
      <c r="J1" s="69"/>
      <c r="K1" s="69"/>
      <c r="L1" s="69"/>
      <c r="M1" s="69"/>
      <c r="N1" s="69"/>
      <c r="O1" s="69"/>
      <c r="P1" s="69" t="s">
        <v>0</v>
      </c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 t="s">
        <v>1</v>
      </c>
      <c r="AD1" s="69"/>
      <c r="AE1" s="69"/>
      <c r="AF1" s="69"/>
      <c r="AG1" s="69"/>
    </row>
    <row r="2" spans="1:33" ht="15.75" customHeight="1" x14ac:dyDescent="0.2">
      <c r="A2" s="6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94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1" t="s">
        <v>13</v>
      </c>
      <c r="AG2" s="2" t="s">
        <v>2</v>
      </c>
    </row>
    <row r="3" spans="1:33" ht="15.75" customHeight="1" x14ac:dyDescent="0.2">
      <c r="A3" s="68">
        <f>DATE(2023,11,1)</f>
        <v>45231</v>
      </c>
      <c r="B3" s="4">
        <v>95</v>
      </c>
      <c r="C3" s="4">
        <v>110</v>
      </c>
      <c r="D3" s="4">
        <v>24</v>
      </c>
      <c r="E3" s="4">
        <v>16</v>
      </c>
      <c r="F3" s="4">
        <v>40</v>
      </c>
      <c r="G3" s="4">
        <v>70</v>
      </c>
      <c r="H3" s="4">
        <v>36</v>
      </c>
      <c r="I3" s="4">
        <v>20</v>
      </c>
      <c r="J3" s="22">
        <v>60</v>
      </c>
      <c r="K3" s="4">
        <v>5</v>
      </c>
      <c r="L3" s="70">
        <v>50</v>
      </c>
      <c r="M3" s="70">
        <v>35</v>
      </c>
      <c r="N3" s="70">
        <v>200</v>
      </c>
      <c r="O3" s="70">
        <v>140</v>
      </c>
      <c r="P3" s="70">
        <v>120</v>
      </c>
      <c r="Q3" s="70">
        <v>45</v>
      </c>
      <c r="R3" s="70">
        <v>140</v>
      </c>
      <c r="S3" s="70">
        <v>550</v>
      </c>
      <c r="T3" s="70">
        <v>60</v>
      </c>
      <c r="U3" s="70">
        <v>855</v>
      </c>
      <c r="V3" s="6">
        <f t="shared" ref="V3:AE3" si="0">B3*L3</f>
        <v>4750</v>
      </c>
      <c r="W3" s="6">
        <f t="shared" si="0"/>
        <v>3850</v>
      </c>
      <c r="X3" s="6">
        <f t="shared" si="0"/>
        <v>4800</v>
      </c>
      <c r="Y3" s="6">
        <f t="shared" si="0"/>
        <v>2240</v>
      </c>
      <c r="Z3" s="6">
        <f t="shared" si="0"/>
        <v>4800</v>
      </c>
      <c r="AA3" s="6">
        <f t="shared" si="0"/>
        <v>3150</v>
      </c>
      <c r="AB3" s="6">
        <f t="shared" si="0"/>
        <v>5040</v>
      </c>
      <c r="AC3" s="6">
        <f t="shared" si="0"/>
        <v>11000</v>
      </c>
      <c r="AD3" s="6">
        <f t="shared" si="0"/>
        <v>3600</v>
      </c>
      <c r="AE3" s="6">
        <f t="shared" si="0"/>
        <v>4275</v>
      </c>
      <c r="AF3" s="7">
        <f t="shared" ref="AF3:AF33" si="1">SUM(V3:AE3)</f>
        <v>47505</v>
      </c>
      <c r="AG3" s="3">
        <f>DATE(2023,11,1)</f>
        <v>45231</v>
      </c>
    </row>
    <row r="4" spans="1:33" ht="15.75" customHeight="1" x14ac:dyDescent="0.2">
      <c r="A4" s="68">
        <f>DATE(2023,11,2)</f>
        <v>45232</v>
      </c>
      <c r="B4" s="4">
        <v>90</v>
      </c>
      <c r="C4" s="4">
        <v>80</v>
      </c>
      <c r="D4" s="4">
        <v>28</v>
      </c>
      <c r="E4" s="4">
        <v>18</v>
      </c>
      <c r="F4" s="4">
        <v>44</v>
      </c>
      <c r="G4" s="4">
        <v>48</v>
      </c>
      <c r="H4" s="4">
        <v>35</v>
      </c>
      <c r="I4" s="4">
        <v>10</v>
      </c>
      <c r="J4" s="22">
        <v>56</v>
      </c>
      <c r="K4" s="4">
        <v>5</v>
      </c>
      <c r="L4" s="70">
        <v>50</v>
      </c>
      <c r="M4" s="70">
        <v>35</v>
      </c>
      <c r="N4" s="70">
        <v>200</v>
      </c>
      <c r="O4" s="70">
        <v>140</v>
      </c>
      <c r="P4" s="70">
        <v>120</v>
      </c>
      <c r="Q4" s="70">
        <v>45</v>
      </c>
      <c r="R4" s="70">
        <v>140</v>
      </c>
      <c r="S4" s="70">
        <v>550</v>
      </c>
      <c r="T4" s="70">
        <v>60</v>
      </c>
      <c r="U4" s="70">
        <v>855</v>
      </c>
      <c r="V4" s="6">
        <f t="shared" ref="V4:AE4" si="2">B4*L4</f>
        <v>4500</v>
      </c>
      <c r="W4" s="6">
        <f t="shared" si="2"/>
        <v>2800</v>
      </c>
      <c r="X4" s="6">
        <f t="shared" si="2"/>
        <v>5600</v>
      </c>
      <c r="Y4" s="6">
        <f t="shared" si="2"/>
        <v>2520</v>
      </c>
      <c r="Z4" s="6">
        <f t="shared" si="2"/>
        <v>5280</v>
      </c>
      <c r="AA4" s="6">
        <f t="shared" si="2"/>
        <v>2160</v>
      </c>
      <c r="AB4" s="6">
        <f t="shared" si="2"/>
        <v>4900</v>
      </c>
      <c r="AC4" s="6">
        <f t="shared" si="2"/>
        <v>5500</v>
      </c>
      <c r="AD4" s="6">
        <f t="shared" si="2"/>
        <v>3360</v>
      </c>
      <c r="AE4" s="6">
        <f t="shared" si="2"/>
        <v>4275</v>
      </c>
      <c r="AF4" s="7">
        <f t="shared" si="1"/>
        <v>40895</v>
      </c>
      <c r="AG4" s="3">
        <f>DATE(2023,11,2)</f>
        <v>45232</v>
      </c>
    </row>
    <row r="5" spans="1:33" ht="15.75" customHeight="1" x14ac:dyDescent="0.2">
      <c r="A5" s="68">
        <f>DATE(2023,11,3)</f>
        <v>45233</v>
      </c>
      <c r="B5" s="4">
        <v>70</v>
      </c>
      <c r="C5" s="4">
        <v>50</v>
      </c>
      <c r="D5" s="4">
        <v>20</v>
      </c>
      <c r="E5" s="4">
        <v>20</v>
      </c>
      <c r="F5" s="4">
        <v>50</v>
      </c>
      <c r="G5" s="4">
        <v>40</v>
      </c>
      <c r="H5" s="4">
        <v>40</v>
      </c>
      <c r="I5" s="4">
        <v>8</v>
      </c>
      <c r="J5" s="22">
        <v>60</v>
      </c>
      <c r="K5" s="4">
        <v>5</v>
      </c>
      <c r="L5" s="70">
        <v>50</v>
      </c>
      <c r="M5" s="70">
        <v>35</v>
      </c>
      <c r="N5" s="70">
        <v>200</v>
      </c>
      <c r="O5" s="70">
        <v>140</v>
      </c>
      <c r="P5" s="70">
        <v>120</v>
      </c>
      <c r="Q5" s="70">
        <v>45</v>
      </c>
      <c r="R5" s="70">
        <v>140</v>
      </c>
      <c r="S5" s="70">
        <v>550</v>
      </c>
      <c r="T5" s="70">
        <v>60</v>
      </c>
      <c r="U5" s="70">
        <v>855</v>
      </c>
      <c r="V5" s="6">
        <f t="shared" ref="V5:AE5" si="3">B5*L5</f>
        <v>3500</v>
      </c>
      <c r="W5" s="6">
        <f t="shared" si="3"/>
        <v>1750</v>
      </c>
      <c r="X5" s="6">
        <f t="shared" si="3"/>
        <v>4000</v>
      </c>
      <c r="Y5" s="6">
        <f t="shared" si="3"/>
        <v>2800</v>
      </c>
      <c r="Z5" s="6">
        <f t="shared" si="3"/>
        <v>6000</v>
      </c>
      <c r="AA5" s="6">
        <f t="shared" si="3"/>
        <v>1800</v>
      </c>
      <c r="AB5" s="6">
        <f t="shared" si="3"/>
        <v>5600</v>
      </c>
      <c r="AC5" s="6">
        <f t="shared" si="3"/>
        <v>4400</v>
      </c>
      <c r="AD5" s="6">
        <f t="shared" si="3"/>
        <v>3600</v>
      </c>
      <c r="AE5" s="6">
        <f t="shared" si="3"/>
        <v>4275</v>
      </c>
      <c r="AF5" s="7">
        <f t="shared" si="1"/>
        <v>37725</v>
      </c>
      <c r="AG5" s="3">
        <f>DATE(2023,11,3)</f>
        <v>45233</v>
      </c>
    </row>
    <row r="6" spans="1:33" ht="15.75" customHeight="1" x14ac:dyDescent="0.2">
      <c r="A6" s="68">
        <f>DATE(2023,11,4)</f>
        <v>45234</v>
      </c>
      <c r="B6" s="4">
        <v>85</v>
      </c>
      <c r="C6" s="4">
        <v>40</v>
      </c>
      <c r="D6" s="4">
        <v>22</v>
      </c>
      <c r="E6" s="4">
        <v>14</v>
      </c>
      <c r="F6" s="4">
        <v>44</v>
      </c>
      <c r="G6" s="4">
        <v>42</v>
      </c>
      <c r="H6" s="4">
        <v>45</v>
      </c>
      <c r="I6" s="4">
        <v>10</v>
      </c>
      <c r="J6" s="22">
        <v>64</v>
      </c>
      <c r="K6" s="4">
        <v>7</v>
      </c>
      <c r="L6" s="70">
        <v>50</v>
      </c>
      <c r="M6" s="70">
        <v>35</v>
      </c>
      <c r="N6" s="70">
        <v>200</v>
      </c>
      <c r="O6" s="70">
        <v>140</v>
      </c>
      <c r="P6" s="70">
        <v>120</v>
      </c>
      <c r="Q6" s="70">
        <v>43</v>
      </c>
      <c r="R6" s="70">
        <v>140</v>
      </c>
      <c r="S6" s="70">
        <v>550</v>
      </c>
      <c r="T6" s="70">
        <v>60</v>
      </c>
      <c r="U6" s="70">
        <v>865</v>
      </c>
      <c r="V6" s="6">
        <f t="shared" ref="V6:AE6" si="4">B6*L6</f>
        <v>4250</v>
      </c>
      <c r="W6" s="6">
        <f t="shared" si="4"/>
        <v>1400</v>
      </c>
      <c r="X6" s="6">
        <f t="shared" si="4"/>
        <v>4400</v>
      </c>
      <c r="Y6" s="6">
        <f t="shared" si="4"/>
        <v>1960</v>
      </c>
      <c r="Z6" s="6">
        <f t="shared" si="4"/>
        <v>5280</v>
      </c>
      <c r="AA6" s="6">
        <f t="shared" si="4"/>
        <v>1806</v>
      </c>
      <c r="AB6" s="6">
        <f t="shared" si="4"/>
        <v>6300</v>
      </c>
      <c r="AC6" s="6">
        <f t="shared" si="4"/>
        <v>5500</v>
      </c>
      <c r="AD6" s="6">
        <f t="shared" si="4"/>
        <v>3840</v>
      </c>
      <c r="AE6" s="6">
        <f t="shared" si="4"/>
        <v>6055</v>
      </c>
      <c r="AF6" s="7">
        <f t="shared" si="1"/>
        <v>40791</v>
      </c>
      <c r="AG6" s="3">
        <f>DATE(2023,11,4)</f>
        <v>45234</v>
      </c>
    </row>
    <row r="7" spans="1:33" ht="15.75" customHeight="1" x14ac:dyDescent="0.2">
      <c r="A7" s="68">
        <f>DATE(2023,11,5)</f>
        <v>45235</v>
      </c>
      <c r="B7" s="4">
        <v>66</v>
      </c>
      <c r="C7" s="4">
        <v>36</v>
      </c>
      <c r="D7" s="4">
        <v>18</v>
      </c>
      <c r="E7" s="4">
        <v>15</v>
      </c>
      <c r="F7" s="4">
        <v>40</v>
      </c>
      <c r="G7" s="4">
        <v>48</v>
      </c>
      <c r="H7" s="4">
        <v>38</v>
      </c>
      <c r="I7" s="4">
        <v>8</v>
      </c>
      <c r="J7" s="22">
        <v>80</v>
      </c>
      <c r="K7" s="4">
        <v>8</v>
      </c>
      <c r="L7" s="70">
        <v>50</v>
      </c>
      <c r="M7" s="70">
        <v>35</v>
      </c>
      <c r="N7" s="70">
        <v>200</v>
      </c>
      <c r="O7" s="70">
        <v>140</v>
      </c>
      <c r="P7" s="70">
        <v>120</v>
      </c>
      <c r="Q7" s="70">
        <v>43</v>
      </c>
      <c r="R7" s="70">
        <v>140</v>
      </c>
      <c r="S7" s="70">
        <v>550</v>
      </c>
      <c r="T7" s="70">
        <v>60</v>
      </c>
      <c r="U7" s="70">
        <v>865</v>
      </c>
      <c r="V7" s="6">
        <f t="shared" ref="V7:AE7" si="5">B7*L7</f>
        <v>3300</v>
      </c>
      <c r="W7" s="6">
        <f t="shared" si="5"/>
        <v>1260</v>
      </c>
      <c r="X7" s="6">
        <f t="shared" si="5"/>
        <v>3600</v>
      </c>
      <c r="Y7" s="6">
        <f t="shared" si="5"/>
        <v>2100</v>
      </c>
      <c r="Z7" s="6">
        <f t="shared" si="5"/>
        <v>4800</v>
      </c>
      <c r="AA7" s="6">
        <f t="shared" si="5"/>
        <v>2064</v>
      </c>
      <c r="AB7" s="6">
        <f t="shared" si="5"/>
        <v>5320</v>
      </c>
      <c r="AC7" s="6">
        <f t="shared" si="5"/>
        <v>4400</v>
      </c>
      <c r="AD7" s="6">
        <f t="shared" si="5"/>
        <v>4800</v>
      </c>
      <c r="AE7" s="6">
        <f t="shared" si="5"/>
        <v>6920</v>
      </c>
      <c r="AF7" s="7">
        <f t="shared" si="1"/>
        <v>38564</v>
      </c>
      <c r="AG7" s="3">
        <f>DATE(2023,11,5)</f>
        <v>45235</v>
      </c>
    </row>
    <row r="8" spans="1:33" ht="15.75" customHeight="1" x14ac:dyDescent="0.2">
      <c r="A8" s="68">
        <f>DATE(2023,11,6)</f>
        <v>45236</v>
      </c>
      <c r="B8" s="4">
        <v>35</v>
      </c>
      <c r="C8" s="4">
        <v>24</v>
      </c>
      <c r="D8" s="4">
        <v>8</v>
      </c>
      <c r="E8" s="4">
        <v>10</v>
      </c>
      <c r="F8" s="4">
        <v>4</v>
      </c>
      <c r="G8" s="4">
        <v>10</v>
      </c>
      <c r="H8" s="4">
        <v>8</v>
      </c>
      <c r="I8" s="4">
        <v>4</v>
      </c>
      <c r="J8" s="22">
        <v>70</v>
      </c>
      <c r="K8" s="4">
        <v>2</v>
      </c>
      <c r="L8" s="70">
        <v>50</v>
      </c>
      <c r="M8" s="70">
        <v>35</v>
      </c>
      <c r="N8" s="70">
        <v>200</v>
      </c>
      <c r="O8" s="70">
        <v>140</v>
      </c>
      <c r="P8" s="70">
        <v>120</v>
      </c>
      <c r="Q8" s="70">
        <v>43</v>
      </c>
      <c r="R8" s="70">
        <v>140</v>
      </c>
      <c r="S8" s="70">
        <v>550</v>
      </c>
      <c r="T8" s="70">
        <v>60</v>
      </c>
      <c r="U8" s="70">
        <v>865</v>
      </c>
      <c r="V8" s="6">
        <f t="shared" ref="V8:AE8" si="6">B8*L8</f>
        <v>1750</v>
      </c>
      <c r="W8" s="6">
        <f t="shared" si="6"/>
        <v>840</v>
      </c>
      <c r="X8" s="6">
        <f t="shared" si="6"/>
        <v>1600</v>
      </c>
      <c r="Y8" s="6">
        <f t="shared" si="6"/>
        <v>1400</v>
      </c>
      <c r="Z8" s="6">
        <f t="shared" si="6"/>
        <v>480</v>
      </c>
      <c r="AA8" s="6">
        <f t="shared" si="6"/>
        <v>430</v>
      </c>
      <c r="AB8" s="6">
        <f t="shared" si="6"/>
        <v>1120</v>
      </c>
      <c r="AC8" s="6">
        <f t="shared" si="6"/>
        <v>2200</v>
      </c>
      <c r="AD8" s="6">
        <f t="shared" si="6"/>
        <v>4200</v>
      </c>
      <c r="AE8" s="6">
        <f t="shared" si="6"/>
        <v>1730</v>
      </c>
      <c r="AF8" s="7">
        <f t="shared" si="1"/>
        <v>15750</v>
      </c>
      <c r="AG8" s="3">
        <f>DATE(2023,11,6)</f>
        <v>45236</v>
      </c>
    </row>
    <row r="9" spans="1:33" ht="15.75" customHeight="1" x14ac:dyDescent="0.2">
      <c r="A9" s="68">
        <f>DATE(2023,11,7)</f>
        <v>45237</v>
      </c>
      <c r="B9" s="4">
        <v>40</v>
      </c>
      <c r="C9" s="4">
        <v>20</v>
      </c>
      <c r="D9" s="4">
        <v>8</v>
      </c>
      <c r="E9" s="4">
        <v>8</v>
      </c>
      <c r="F9" s="4">
        <v>8</v>
      </c>
      <c r="G9" s="4">
        <v>8</v>
      </c>
      <c r="H9" s="4">
        <v>6</v>
      </c>
      <c r="I9" s="4">
        <v>2</v>
      </c>
      <c r="J9" s="22">
        <v>60</v>
      </c>
      <c r="K9" s="4">
        <v>2</v>
      </c>
      <c r="L9" s="70">
        <v>50</v>
      </c>
      <c r="M9" s="70">
        <v>35</v>
      </c>
      <c r="N9" s="70">
        <v>200</v>
      </c>
      <c r="O9" s="70">
        <v>140</v>
      </c>
      <c r="P9" s="70">
        <v>120</v>
      </c>
      <c r="Q9" s="70">
        <v>43</v>
      </c>
      <c r="R9" s="70">
        <v>140</v>
      </c>
      <c r="S9" s="70">
        <v>550</v>
      </c>
      <c r="T9" s="70">
        <v>60</v>
      </c>
      <c r="U9" s="70">
        <v>865</v>
      </c>
      <c r="V9" s="6">
        <f t="shared" ref="V9:AE9" si="7">B9*L9</f>
        <v>2000</v>
      </c>
      <c r="W9" s="6">
        <f t="shared" si="7"/>
        <v>700</v>
      </c>
      <c r="X9" s="6">
        <f t="shared" si="7"/>
        <v>1600</v>
      </c>
      <c r="Y9" s="6">
        <f t="shared" si="7"/>
        <v>1120</v>
      </c>
      <c r="Z9" s="6">
        <f t="shared" si="7"/>
        <v>960</v>
      </c>
      <c r="AA9" s="6">
        <f t="shared" si="7"/>
        <v>344</v>
      </c>
      <c r="AB9" s="6">
        <f t="shared" si="7"/>
        <v>840</v>
      </c>
      <c r="AC9" s="6">
        <f t="shared" si="7"/>
        <v>1100</v>
      </c>
      <c r="AD9" s="6">
        <f t="shared" si="7"/>
        <v>3600</v>
      </c>
      <c r="AE9" s="6">
        <f t="shared" si="7"/>
        <v>1730</v>
      </c>
      <c r="AF9" s="7">
        <f t="shared" si="1"/>
        <v>13994</v>
      </c>
      <c r="AG9" s="3">
        <f>DATE(2023,11,7)</f>
        <v>45237</v>
      </c>
    </row>
    <row r="10" spans="1:33" ht="15.75" customHeight="1" x14ac:dyDescent="0.2">
      <c r="A10" s="68">
        <f>DATE(2023,11,8)</f>
        <v>45238</v>
      </c>
      <c r="B10" s="4">
        <v>40</v>
      </c>
      <c r="C10" s="4">
        <v>24</v>
      </c>
      <c r="D10" s="4">
        <v>8</v>
      </c>
      <c r="E10" s="4">
        <v>6</v>
      </c>
      <c r="F10" s="4">
        <v>6</v>
      </c>
      <c r="G10" s="4">
        <v>10</v>
      </c>
      <c r="H10" s="4">
        <v>8</v>
      </c>
      <c r="I10" s="4">
        <v>4</v>
      </c>
      <c r="J10" s="22">
        <v>60</v>
      </c>
      <c r="K10" s="4">
        <v>3</v>
      </c>
      <c r="L10" s="70">
        <v>50</v>
      </c>
      <c r="M10" s="70">
        <v>35</v>
      </c>
      <c r="N10" s="70">
        <v>200</v>
      </c>
      <c r="O10" s="70">
        <v>140</v>
      </c>
      <c r="P10" s="70">
        <v>120</v>
      </c>
      <c r="Q10" s="70">
        <v>43</v>
      </c>
      <c r="R10" s="70">
        <v>140</v>
      </c>
      <c r="S10" s="70">
        <v>550</v>
      </c>
      <c r="T10" s="70">
        <v>60</v>
      </c>
      <c r="U10" s="70">
        <v>865</v>
      </c>
      <c r="V10" s="6">
        <f t="shared" ref="V10:AE10" si="8">B10*L10</f>
        <v>2000</v>
      </c>
      <c r="W10" s="6">
        <f t="shared" si="8"/>
        <v>840</v>
      </c>
      <c r="X10" s="6">
        <f t="shared" si="8"/>
        <v>1600</v>
      </c>
      <c r="Y10" s="6">
        <f t="shared" si="8"/>
        <v>840</v>
      </c>
      <c r="Z10" s="6">
        <f t="shared" si="8"/>
        <v>720</v>
      </c>
      <c r="AA10" s="6">
        <f t="shared" si="8"/>
        <v>430</v>
      </c>
      <c r="AB10" s="6">
        <f t="shared" si="8"/>
        <v>1120</v>
      </c>
      <c r="AC10" s="6">
        <f t="shared" si="8"/>
        <v>2200</v>
      </c>
      <c r="AD10" s="6">
        <f t="shared" si="8"/>
        <v>3600</v>
      </c>
      <c r="AE10" s="6">
        <f t="shared" si="8"/>
        <v>2595</v>
      </c>
      <c r="AF10" s="7">
        <f t="shared" si="1"/>
        <v>15945</v>
      </c>
      <c r="AG10" s="3">
        <f>DATE(2023,11,8)</f>
        <v>45238</v>
      </c>
    </row>
    <row r="11" spans="1:33" ht="15.75" customHeight="1" x14ac:dyDescent="0.2">
      <c r="A11" s="68">
        <f>DATE(2023,11,9)</f>
        <v>45239</v>
      </c>
      <c r="B11" s="4">
        <v>60</v>
      </c>
      <c r="C11" s="4">
        <v>30</v>
      </c>
      <c r="D11" s="4">
        <v>6</v>
      </c>
      <c r="E11" s="4">
        <v>4</v>
      </c>
      <c r="F11" s="4">
        <v>4</v>
      </c>
      <c r="G11" s="4">
        <v>6</v>
      </c>
      <c r="H11" s="4">
        <v>6</v>
      </c>
      <c r="I11" s="4">
        <v>4</v>
      </c>
      <c r="J11" s="22">
        <v>80</v>
      </c>
      <c r="K11" s="4">
        <v>4</v>
      </c>
      <c r="L11" s="70">
        <v>50</v>
      </c>
      <c r="M11" s="70">
        <v>35</v>
      </c>
      <c r="N11" s="70">
        <v>200</v>
      </c>
      <c r="O11" s="70">
        <v>140</v>
      </c>
      <c r="P11" s="70">
        <v>120</v>
      </c>
      <c r="Q11" s="70">
        <v>43</v>
      </c>
      <c r="R11" s="70">
        <v>140</v>
      </c>
      <c r="S11" s="70">
        <v>550</v>
      </c>
      <c r="T11" s="70">
        <v>60</v>
      </c>
      <c r="U11" s="70">
        <v>865</v>
      </c>
      <c r="V11" s="6">
        <f t="shared" ref="V11:AE11" si="9">B11*L11</f>
        <v>3000</v>
      </c>
      <c r="W11" s="6">
        <f t="shared" si="9"/>
        <v>1050</v>
      </c>
      <c r="X11" s="6">
        <f t="shared" si="9"/>
        <v>1200</v>
      </c>
      <c r="Y11" s="6">
        <f t="shared" si="9"/>
        <v>560</v>
      </c>
      <c r="Z11" s="6">
        <f t="shared" si="9"/>
        <v>480</v>
      </c>
      <c r="AA11" s="6">
        <f t="shared" si="9"/>
        <v>258</v>
      </c>
      <c r="AB11" s="6">
        <f t="shared" si="9"/>
        <v>840</v>
      </c>
      <c r="AC11" s="6">
        <f t="shared" si="9"/>
        <v>2200</v>
      </c>
      <c r="AD11" s="6">
        <f t="shared" si="9"/>
        <v>4800</v>
      </c>
      <c r="AE11" s="6">
        <f t="shared" si="9"/>
        <v>3460</v>
      </c>
      <c r="AF11" s="7">
        <f t="shared" si="1"/>
        <v>17848</v>
      </c>
      <c r="AG11" s="3">
        <f>DATE(2023,11,9)</f>
        <v>45239</v>
      </c>
    </row>
    <row r="12" spans="1:33" ht="15.75" customHeight="1" x14ac:dyDescent="0.2">
      <c r="A12" s="68">
        <f>DATE(2023,11,10)</f>
        <v>45240</v>
      </c>
      <c r="B12" s="4">
        <v>65</v>
      </c>
      <c r="C12" s="4">
        <v>32</v>
      </c>
      <c r="D12" s="4">
        <v>8</v>
      </c>
      <c r="E12" s="4">
        <v>6</v>
      </c>
      <c r="F12" s="4">
        <v>4</v>
      </c>
      <c r="G12" s="4">
        <v>8</v>
      </c>
      <c r="H12" s="4">
        <v>8</v>
      </c>
      <c r="I12" s="4">
        <v>0</v>
      </c>
      <c r="J12" s="22">
        <v>60</v>
      </c>
      <c r="K12" s="4">
        <v>1</v>
      </c>
      <c r="L12" s="70">
        <v>50</v>
      </c>
      <c r="M12" s="70">
        <v>35</v>
      </c>
      <c r="N12" s="70">
        <v>200</v>
      </c>
      <c r="O12" s="70">
        <v>140</v>
      </c>
      <c r="P12" s="70">
        <v>120</v>
      </c>
      <c r="Q12" s="70">
        <v>43</v>
      </c>
      <c r="R12" s="70">
        <v>140</v>
      </c>
      <c r="S12" s="70">
        <v>550</v>
      </c>
      <c r="T12" s="70">
        <v>60</v>
      </c>
      <c r="U12" s="70">
        <v>865</v>
      </c>
      <c r="V12" s="6">
        <f t="shared" ref="V12:AE12" si="10">B12*L12</f>
        <v>3250</v>
      </c>
      <c r="W12" s="6">
        <f t="shared" si="10"/>
        <v>1120</v>
      </c>
      <c r="X12" s="6">
        <f t="shared" si="10"/>
        <v>1600</v>
      </c>
      <c r="Y12" s="6">
        <f t="shared" si="10"/>
        <v>840</v>
      </c>
      <c r="Z12" s="6">
        <f t="shared" si="10"/>
        <v>480</v>
      </c>
      <c r="AA12" s="6">
        <f t="shared" si="10"/>
        <v>344</v>
      </c>
      <c r="AB12" s="6">
        <f t="shared" si="10"/>
        <v>1120</v>
      </c>
      <c r="AC12" s="6">
        <f t="shared" si="10"/>
        <v>0</v>
      </c>
      <c r="AD12" s="6">
        <f t="shared" si="10"/>
        <v>3600</v>
      </c>
      <c r="AE12" s="6">
        <f t="shared" si="10"/>
        <v>865</v>
      </c>
      <c r="AF12" s="7">
        <f t="shared" si="1"/>
        <v>13219</v>
      </c>
      <c r="AG12" s="3">
        <f>DATE(2023,11,10)</f>
        <v>45240</v>
      </c>
    </row>
    <row r="13" spans="1:33" ht="15.75" customHeight="1" x14ac:dyDescent="0.2">
      <c r="A13" s="68">
        <f>DATE(2023,11,11)</f>
        <v>45241</v>
      </c>
      <c r="B13" s="4">
        <v>84</v>
      </c>
      <c r="C13" s="4">
        <v>24</v>
      </c>
      <c r="D13" s="4">
        <v>6</v>
      </c>
      <c r="E13" s="4">
        <v>8</v>
      </c>
      <c r="F13" s="4">
        <v>6</v>
      </c>
      <c r="G13" s="4">
        <v>8</v>
      </c>
      <c r="H13" s="4">
        <v>6</v>
      </c>
      <c r="I13" s="4">
        <v>2</v>
      </c>
      <c r="J13" s="22">
        <v>60</v>
      </c>
      <c r="K13" s="4">
        <v>0</v>
      </c>
      <c r="L13" s="70">
        <v>50</v>
      </c>
      <c r="M13" s="70">
        <v>35</v>
      </c>
      <c r="N13" s="70">
        <v>200</v>
      </c>
      <c r="O13" s="70">
        <v>140</v>
      </c>
      <c r="P13" s="70">
        <v>120</v>
      </c>
      <c r="Q13" s="70">
        <v>43</v>
      </c>
      <c r="R13" s="70">
        <v>140</v>
      </c>
      <c r="S13" s="70">
        <v>550</v>
      </c>
      <c r="T13" s="70">
        <v>60</v>
      </c>
      <c r="U13" s="70">
        <v>865</v>
      </c>
      <c r="V13" s="6">
        <f t="shared" ref="V13:AE13" si="11">B13*L13</f>
        <v>4200</v>
      </c>
      <c r="W13" s="6">
        <f t="shared" si="11"/>
        <v>840</v>
      </c>
      <c r="X13" s="6">
        <f t="shared" si="11"/>
        <v>1200</v>
      </c>
      <c r="Y13" s="6">
        <f t="shared" si="11"/>
        <v>1120</v>
      </c>
      <c r="Z13" s="6">
        <f t="shared" si="11"/>
        <v>720</v>
      </c>
      <c r="AA13" s="6">
        <f t="shared" si="11"/>
        <v>344</v>
      </c>
      <c r="AB13" s="6">
        <f t="shared" si="11"/>
        <v>840</v>
      </c>
      <c r="AC13" s="6">
        <f t="shared" si="11"/>
        <v>1100</v>
      </c>
      <c r="AD13" s="6">
        <f t="shared" si="11"/>
        <v>3600</v>
      </c>
      <c r="AE13" s="6">
        <f t="shared" si="11"/>
        <v>0</v>
      </c>
      <c r="AF13" s="7">
        <f t="shared" si="1"/>
        <v>13964</v>
      </c>
      <c r="AG13" s="3">
        <f>DATE(2023,11,11)</f>
        <v>45241</v>
      </c>
    </row>
    <row r="14" spans="1:33" ht="15.75" customHeight="1" x14ac:dyDescent="0.2">
      <c r="A14" s="68">
        <f>DATE(2023,11,12)</f>
        <v>45242</v>
      </c>
      <c r="B14" s="4">
        <v>48</v>
      </c>
      <c r="C14" s="4">
        <v>28</v>
      </c>
      <c r="D14" s="4">
        <v>8</v>
      </c>
      <c r="E14" s="4">
        <v>8</v>
      </c>
      <c r="F14" s="4">
        <v>8</v>
      </c>
      <c r="G14" s="4">
        <v>6</v>
      </c>
      <c r="H14" s="4">
        <v>6</v>
      </c>
      <c r="I14" s="4">
        <v>2</v>
      </c>
      <c r="J14" s="22">
        <v>60</v>
      </c>
      <c r="K14" s="4">
        <v>0</v>
      </c>
      <c r="L14" s="70">
        <v>50</v>
      </c>
      <c r="M14" s="70">
        <v>35</v>
      </c>
      <c r="N14" s="70">
        <v>200</v>
      </c>
      <c r="O14" s="70">
        <v>140</v>
      </c>
      <c r="P14" s="70">
        <v>120</v>
      </c>
      <c r="Q14" s="70">
        <v>43</v>
      </c>
      <c r="R14" s="70">
        <v>135</v>
      </c>
      <c r="S14" s="70">
        <v>550</v>
      </c>
      <c r="T14" s="70">
        <v>60</v>
      </c>
      <c r="U14" s="70">
        <v>865</v>
      </c>
      <c r="V14" s="6">
        <f t="shared" ref="V14:AE14" si="12">B14*L14</f>
        <v>2400</v>
      </c>
      <c r="W14" s="6">
        <f t="shared" si="12"/>
        <v>980</v>
      </c>
      <c r="X14" s="6">
        <f t="shared" si="12"/>
        <v>1600</v>
      </c>
      <c r="Y14" s="6">
        <f t="shared" si="12"/>
        <v>1120</v>
      </c>
      <c r="Z14" s="6">
        <f t="shared" si="12"/>
        <v>960</v>
      </c>
      <c r="AA14" s="6">
        <f t="shared" si="12"/>
        <v>258</v>
      </c>
      <c r="AB14" s="6">
        <f t="shared" si="12"/>
        <v>810</v>
      </c>
      <c r="AC14" s="6">
        <f t="shared" si="12"/>
        <v>1100</v>
      </c>
      <c r="AD14" s="6">
        <f t="shared" si="12"/>
        <v>3600</v>
      </c>
      <c r="AE14" s="6">
        <f t="shared" si="12"/>
        <v>0</v>
      </c>
      <c r="AF14" s="7">
        <f t="shared" si="1"/>
        <v>12828</v>
      </c>
      <c r="AG14" s="3">
        <f>DATE(2023,11,12)</f>
        <v>45242</v>
      </c>
    </row>
    <row r="15" spans="1:33" ht="15.75" customHeight="1" x14ac:dyDescent="0.2">
      <c r="A15" s="68">
        <f>DATE(2023,11,13)</f>
        <v>45243</v>
      </c>
      <c r="B15" s="4">
        <v>50</v>
      </c>
      <c r="C15" s="4">
        <v>28</v>
      </c>
      <c r="D15" s="4">
        <v>6</v>
      </c>
      <c r="E15" s="4">
        <v>8</v>
      </c>
      <c r="F15" s="4">
        <v>6</v>
      </c>
      <c r="G15" s="4">
        <v>10</v>
      </c>
      <c r="H15" s="4">
        <v>4</v>
      </c>
      <c r="I15" s="4">
        <v>0</v>
      </c>
      <c r="J15" s="22">
        <v>60</v>
      </c>
      <c r="K15" s="4">
        <v>1</v>
      </c>
      <c r="L15" s="70">
        <v>50</v>
      </c>
      <c r="M15" s="70">
        <v>35</v>
      </c>
      <c r="N15" s="70">
        <v>200</v>
      </c>
      <c r="O15" s="70">
        <v>140</v>
      </c>
      <c r="P15" s="70">
        <v>120</v>
      </c>
      <c r="Q15" s="70">
        <v>43</v>
      </c>
      <c r="R15" s="70">
        <v>135</v>
      </c>
      <c r="S15" s="70">
        <v>550</v>
      </c>
      <c r="T15" s="70">
        <v>60</v>
      </c>
      <c r="U15" s="70">
        <v>865</v>
      </c>
      <c r="V15" s="6">
        <f t="shared" ref="V15:AE15" si="13">B15*L15</f>
        <v>2500</v>
      </c>
      <c r="W15" s="6">
        <f t="shared" si="13"/>
        <v>980</v>
      </c>
      <c r="X15" s="6">
        <f t="shared" si="13"/>
        <v>1200</v>
      </c>
      <c r="Y15" s="6">
        <f t="shared" si="13"/>
        <v>1120</v>
      </c>
      <c r="Z15" s="6">
        <f t="shared" si="13"/>
        <v>720</v>
      </c>
      <c r="AA15" s="6">
        <f t="shared" si="13"/>
        <v>430</v>
      </c>
      <c r="AB15" s="6">
        <f t="shared" si="13"/>
        <v>540</v>
      </c>
      <c r="AC15" s="6">
        <f t="shared" si="13"/>
        <v>0</v>
      </c>
      <c r="AD15" s="6">
        <f t="shared" si="13"/>
        <v>3600</v>
      </c>
      <c r="AE15" s="6">
        <f t="shared" si="13"/>
        <v>865</v>
      </c>
      <c r="AF15" s="7">
        <f t="shared" si="1"/>
        <v>11955</v>
      </c>
      <c r="AG15" s="3">
        <f>DATE(2023,11,13)</f>
        <v>45243</v>
      </c>
    </row>
    <row r="16" spans="1:33" ht="15.75" customHeight="1" x14ac:dyDescent="0.2">
      <c r="A16" s="68">
        <f>DATE(2023,11,14)</f>
        <v>45244</v>
      </c>
      <c r="B16" s="4">
        <v>105</v>
      </c>
      <c r="C16" s="4">
        <v>34</v>
      </c>
      <c r="D16" s="4">
        <v>12</v>
      </c>
      <c r="E16" s="4">
        <v>8</v>
      </c>
      <c r="F16" s="4">
        <v>10</v>
      </c>
      <c r="G16" s="4">
        <v>12</v>
      </c>
      <c r="H16" s="4">
        <v>8</v>
      </c>
      <c r="I16" s="4">
        <v>2</v>
      </c>
      <c r="J16" s="22">
        <v>65</v>
      </c>
      <c r="K16" s="4">
        <v>1</v>
      </c>
      <c r="L16" s="70">
        <v>50</v>
      </c>
      <c r="M16" s="70">
        <v>35</v>
      </c>
      <c r="N16" s="70">
        <v>200</v>
      </c>
      <c r="O16" s="70">
        <v>140</v>
      </c>
      <c r="P16" s="70">
        <v>120</v>
      </c>
      <c r="Q16" s="70">
        <v>43</v>
      </c>
      <c r="R16" s="70">
        <v>135</v>
      </c>
      <c r="S16" s="70">
        <v>550</v>
      </c>
      <c r="T16" s="70">
        <v>60</v>
      </c>
      <c r="U16" s="70">
        <v>865</v>
      </c>
      <c r="V16" s="6">
        <f t="shared" ref="V16:AE16" si="14">B16*L16</f>
        <v>5250</v>
      </c>
      <c r="W16" s="6">
        <f t="shared" si="14"/>
        <v>1190</v>
      </c>
      <c r="X16" s="6">
        <f t="shared" si="14"/>
        <v>2400</v>
      </c>
      <c r="Y16" s="6">
        <f t="shared" si="14"/>
        <v>1120</v>
      </c>
      <c r="Z16" s="6">
        <f t="shared" si="14"/>
        <v>1200</v>
      </c>
      <c r="AA16" s="6">
        <f t="shared" si="14"/>
        <v>516</v>
      </c>
      <c r="AB16" s="6">
        <f t="shared" si="14"/>
        <v>1080</v>
      </c>
      <c r="AC16" s="6">
        <f t="shared" si="14"/>
        <v>1100</v>
      </c>
      <c r="AD16" s="6">
        <f t="shared" si="14"/>
        <v>3900</v>
      </c>
      <c r="AE16" s="6">
        <f t="shared" si="14"/>
        <v>865</v>
      </c>
      <c r="AF16" s="7">
        <f t="shared" si="1"/>
        <v>18621</v>
      </c>
      <c r="AG16" s="3">
        <f>DATE(2023,11,14)</f>
        <v>45244</v>
      </c>
    </row>
    <row r="17" spans="1:33" ht="15.75" customHeight="1" x14ac:dyDescent="0.2">
      <c r="A17" s="68">
        <f>DATE(2023,11,15)</f>
        <v>45245</v>
      </c>
      <c r="B17" s="4">
        <v>62</v>
      </c>
      <c r="C17" s="4">
        <v>24</v>
      </c>
      <c r="D17" s="4">
        <v>6</v>
      </c>
      <c r="E17" s="4">
        <v>10</v>
      </c>
      <c r="F17" s="4">
        <v>8</v>
      </c>
      <c r="G17" s="4">
        <v>4</v>
      </c>
      <c r="H17" s="4">
        <v>4</v>
      </c>
      <c r="I17" s="4">
        <v>0</v>
      </c>
      <c r="J17" s="22">
        <v>60</v>
      </c>
      <c r="K17" s="4">
        <v>1</v>
      </c>
      <c r="L17" s="70">
        <v>50</v>
      </c>
      <c r="M17" s="70">
        <v>35</v>
      </c>
      <c r="N17" s="70">
        <v>200</v>
      </c>
      <c r="O17" s="70">
        <v>140</v>
      </c>
      <c r="P17" s="70">
        <v>120</v>
      </c>
      <c r="Q17" s="70">
        <v>43</v>
      </c>
      <c r="R17" s="70">
        <v>135</v>
      </c>
      <c r="S17" s="70">
        <v>550</v>
      </c>
      <c r="T17" s="70">
        <v>60</v>
      </c>
      <c r="U17" s="70">
        <v>865</v>
      </c>
      <c r="V17" s="6">
        <f t="shared" ref="V17:AE17" si="15">B17*L17</f>
        <v>3100</v>
      </c>
      <c r="W17" s="6">
        <f t="shared" si="15"/>
        <v>840</v>
      </c>
      <c r="X17" s="6">
        <f t="shared" si="15"/>
        <v>1200</v>
      </c>
      <c r="Y17" s="6">
        <f t="shared" si="15"/>
        <v>1400</v>
      </c>
      <c r="Z17" s="6">
        <f t="shared" si="15"/>
        <v>960</v>
      </c>
      <c r="AA17" s="6">
        <f t="shared" si="15"/>
        <v>172</v>
      </c>
      <c r="AB17" s="6">
        <f t="shared" si="15"/>
        <v>540</v>
      </c>
      <c r="AC17" s="6">
        <f t="shared" si="15"/>
        <v>0</v>
      </c>
      <c r="AD17" s="6">
        <f t="shared" si="15"/>
        <v>3600</v>
      </c>
      <c r="AE17" s="6">
        <f t="shared" si="15"/>
        <v>865</v>
      </c>
      <c r="AF17" s="7">
        <f t="shared" si="1"/>
        <v>12677</v>
      </c>
      <c r="AG17" s="3">
        <f>DATE(2023,11,15)</f>
        <v>45245</v>
      </c>
    </row>
    <row r="18" spans="1:33" ht="15.75" customHeight="1" x14ac:dyDescent="0.2">
      <c r="A18" s="68">
        <f>DATE(2023,11,16)</f>
        <v>45246</v>
      </c>
      <c r="B18" s="4">
        <v>40</v>
      </c>
      <c r="C18" s="4">
        <v>26</v>
      </c>
      <c r="D18" s="4">
        <v>10</v>
      </c>
      <c r="E18" s="4">
        <v>10</v>
      </c>
      <c r="F18" s="4">
        <v>10</v>
      </c>
      <c r="G18" s="4">
        <v>4</v>
      </c>
      <c r="H18" s="4">
        <v>6</v>
      </c>
      <c r="I18" s="4">
        <v>1</v>
      </c>
      <c r="J18" s="22">
        <v>55</v>
      </c>
      <c r="K18" s="4">
        <v>1</v>
      </c>
      <c r="L18" s="70">
        <v>50</v>
      </c>
      <c r="M18" s="70">
        <v>35</v>
      </c>
      <c r="N18" s="70">
        <v>200</v>
      </c>
      <c r="O18" s="70">
        <v>140</v>
      </c>
      <c r="P18" s="70">
        <v>120</v>
      </c>
      <c r="Q18" s="70">
        <v>43</v>
      </c>
      <c r="R18" s="70">
        <v>135</v>
      </c>
      <c r="S18" s="70">
        <v>550</v>
      </c>
      <c r="T18" s="70">
        <v>60</v>
      </c>
      <c r="U18" s="70">
        <v>865</v>
      </c>
      <c r="V18" s="6">
        <f t="shared" ref="V18:AE18" si="16">B18*L18</f>
        <v>2000</v>
      </c>
      <c r="W18" s="6">
        <f t="shared" si="16"/>
        <v>910</v>
      </c>
      <c r="X18" s="6">
        <f t="shared" si="16"/>
        <v>2000</v>
      </c>
      <c r="Y18" s="6">
        <f t="shared" si="16"/>
        <v>1400</v>
      </c>
      <c r="Z18" s="6">
        <f t="shared" si="16"/>
        <v>1200</v>
      </c>
      <c r="AA18" s="6">
        <f t="shared" si="16"/>
        <v>172</v>
      </c>
      <c r="AB18" s="6">
        <f t="shared" si="16"/>
        <v>810</v>
      </c>
      <c r="AC18" s="6">
        <f t="shared" si="16"/>
        <v>550</v>
      </c>
      <c r="AD18" s="6">
        <f t="shared" si="16"/>
        <v>3300</v>
      </c>
      <c r="AE18" s="6">
        <f t="shared" si="16"/>
        <v>865</v>
      </c>
      <c r="AF18" s="7">
        <f t="shared" si="1"/>
        <v>13207</v>
      </c>
      <c r="AG18" s="3">
        <f>DATE(2023,11,16)</f>
        <v>45246</v>
      </c>
    </row>
    <row r="19" spans="1:33" ht="15.75" customHeight="1" x14ac:dyDescent="0.2">
      <c r="A19" s="68">
        <f>DATE(2023,11,17)</f>
        <v>45247</v>
      </c>
      <c r="B19" s="4">
        <v>38</v>
      </c>
      <c r="C19" s="4">
        <v>20</v>
      </c>
      <c r="D19" s="4">
        <v>4</v>
      </c>
      <c r="E19" s="4">
        <v>3</v>
      </c>
      <c r="F19" s="4">
        <v>6</v>
      </c>
      <c r="G19" s="4">
        <v>4</v>
      </c>
      <c r="H19" s="4">
        <v>2</v>
      </c>
      <c r="I19" s="4">
        <v>0</v>
      </c>
      <c r="J19" s="22">
        <v>55</v>
      </c>
      <c r="K19" s="4">
        <v>0</v>
      </c>
      <c r="L19" s="70">
        <v>50</v>
      </c>
      <c r="M19" s="70">
        <v>35</v>
      </c>
      <c r="N19" s="70">
        <v>200</v>
      </c>
      <c r="O19" s="70">
        <v>140</v>
      </c>
      <c r="P19" s="70">
        <v>120</v>
      </c>
      <c r="Q19" s="70">
        <v>43</v>
      </c>
      <c r="R19" s="70">
        <v>135</v>
      </c>
      <c r="S19" s="70">
        <v>550</v>
      </c>
      <c r="T19" s="70">
        <v>59</v>
      </c>
      <c r="U19" s="70">
        <v>865</v>
      </c>
      <c r="V19" s="6">
        <f t="shared" ref="V19:AE19" si="17">B19*L19</f>
        <v>1900</v>
      </c>
      <c r="W19" s="6">
        <f t="shared" si="17"/>
        <v>700</v>
      </c>
      <c r="X19" s="6">
        <f t="shared" si="17"/>
        <v>800</v>
      </c>
      <c r="Y19" s="6">
        <f t="shared" si="17"/>
        <v>420</v>
      </c>
      <c r="Z19" s="6">
        <f t="shared" si="17"/>
        <v>720</v>
      </c>
      <c r="AA19" s="6">
        <f t="shared" si="17"/>
        <v>172</v>
      </c>
      <c r="AB19" s="6">
        <f t="shared" si="17"/>
        <v>270</v>
      </c>
      <c r="AC19" s="6">
        <f t="shared" si="17"/>
        <v>0</v>
      </c>
      <c r="AD19" s="6">
        <f t="shared" si="17"/>
        <v>3245</v>
      </c>
      <c r="AE19" s="6">
        <f t="shared" si="17"/>
        <v>0</v>
      </c>
      <c r="AF19" s="7">
        <f t="shared" si="1"/>
        <v>8227</v>
      </c>
      <c r="AG19" s="3">
        <f>DATE(2023,11,17)</f>
        <v>45247</v>
      </c>
    </row>
    <row r="20" spans="1:33" ht="15.75" customHeight="1" x14ac:dyDescent="0.2">
      <c r="A20" s="68">
        <f>DATE(2023,11,18)</f>
        <v>45248</v>
      </c>
      <c r="B20" s="4">
        <v>40</v>
      </c>
      <c r="C20" s="4">
        <v>30</v>
      </c>
      <c r="D20" s="4">
        <v>4</v>
      </c>
      <c r="E20" s="4">
        <v>3</v>
      </c>
      <c r="F20" s="4">
        <v>2</v>
      </c>
      <c r="G20" s="4">
        <v>2</v>
      </c>
      <c r="H20" s="4">
        <v>0</v>
      </c>
      <c r="I20" s="4">
        <v>2</v>
      </c>
      <c r="J20" s="22">
        <v>55</v>
      </c>
      <c r="K20" s="4">
        <v>1</v>
      </c>
      <c r="L20" s="70">
        <v>50</v>
      </c>
      <c r="M20" s="70">
        <v>35</v>
      </c>
      <c r="N20" s="70">
        <v>200</v>
      </c>
      <c r="O20" s="70">
        <v>140</v>
      </c>
      <c r="P20" s="70">
        <v>120</v>
      </c>
      <c r="Q20" s="70">
        <v>44</v>
      </c>
      <c r="R20" s="70">
        <v>135</v>
      </c>
      <c r="S20" s="70">
        <v>550</v>
      </c>
      <c r="T20" s="70">
        <v>59</v>
      </c>
      <c r="U20" s="70">
        <v>865</v>
      </c>
      <c r="V20" s="6">
        <f t="shared" ref="V20:AE20" si="18">B20*L20</f>
        <v>2000</v>
      </c>
      <c r="W20" s="6">
        <f t="shared" si="18"/>
        <v>1050</v>
      </c>
      <c r="X20" s="6">
        <f t="shared" si="18"/>
        <v>800</v>
      </c>
      <c r="Y20" s="6">
        <f t="shared" si="18"/>
        <v>420</v>
      </c>
      <c r="Z20" s="6">
        <f t="shared" si="18"/>
        <v>240</v>
      </c>
      <c r="AA20" s="6">
        <f t="shared" si="18"/>
        <v>88</v>
      </c>
      <c r="AB20" s="6">
        <f t="shared" si="18"/>
        <v>0</v>
      </c>
      <c r="AC20" s="6">
        <f t="shared" si="18"/>
        <v>1100</v>
      </c>
      <c r="AD20" s="6">
        <f t="shared" si="18"/>
        <v>3245</v>
      </c>
      <c r="AE20" s="6">
        <f t="shared" si="18"/>
        <v>865</v>
      </c>
      <c r="AF20" s="7">
        <f t="shared" si="1"/>
        <v>9808</v>
      </c>
      <c r="AG20" s="3">
        <f>DATE(2023,11,18)</f>
        <v>45248</v>
      </c>
    </row>
    <row r="21" spans="1:33" ht="15.75" customHeight="1" x14ac:dyDescent="0.2">
      <c r="A21" s="68">
        <f>DATE(2023,11,19)</f>
        <v>45249</v>
      </c>
      <c r="B21" s="4">
        <v>69</v>
      </c>
      <c r="C21" s="4">
        <v>20</v>
      </c>
      <c r="D21" s="4">
        <v>6</v>
      </c>
      <c r="E21" s="4">
        <v>3</v>
      </c>
      <c r="F21" s="4">
        <v>6</v>
      </c>
      <c r="G21" s="4">
        <v>4</v>
      </c>
      <c r="H21" s="4">
        <v>4</v>
      </c>
      <c r="I21" s="4">
        <v>3</v>
      </c>
      <c r="J21" s="22">
        <v>55</v>
      </c>
      <c r="K21" s="4">
        <v>0</v>
      </c>
      <c r="L21" s="70">
        <v>50</v>
      </c>
      <c r="M21" s="70">
        <v>35</v>
      </c>
      <c r="N21" s="70">
        <v>200</v>
      </c>
      <c r="O21" s="70">
        <v>140</v>
      </c>
      <c r="P21" s="70">
        <v>120</v>
      </c>
      <c r="Q21" s="70">
        <v>47</v>
      </c>
      <c r="R21" s="70">
        <v>135</v>
      </c>
      <c r="S21" s="70">
        <v>550</v>
      </c>
      <c r="T21" s="70">
        <v>59</v>
      </c>
      <c r="U21" s="70">
        <v>890</v>
      </c>
      <c r="V21" s="6">
        <f t="shared" ref="V21:AE21" si="19">B21*L21</f>
        <v>3450</v>
      </c>
      <c r="W21" s="6">
        <f t="shared" si="19"/>
        <v>700</v>
      </c>
      <c r="X21" s="6">
        <f t="shared" si="19"/>
        <v>1200</v>
      </c>
      <c r="Y21" s="6">
        <f t="shared" si="19"/>
        <v>420</v>
      </c>
      <c r="Z21" s="6">
        <f t="shared" si="19"/>
        <v>720</v>
      </c>
      <c r="AA21" s="6">
        <f t="shared" si="19"/>
        <v>188</v>
      </c>
      <c r="AB21" s="6">
        <f t="shared" si="19"/>
        <v>540</v>
      </c>
      <c r="AC21" s="6">
        <f t="shared" si="19"/>
        <v>1650</v>
      </c>
      <c r="AD21" s="6">
        <f t="shared" si="19"/>
        <v>3245</v>
      </c>
      <c r="AE21" s="6">
        <f t="shared" si="19"/>
        <v>0</v>
      </c>
      <c r="AF21" s="7">
        <f t="shared" si="1"/>
        <v>12113</v>
      </c>
      <c r="AG21" s="3">
        <f>DATE(2023,11,19)</f>
        <v>45249</v>
      </c>
    </row>
    <row r="22" spans="1:33" ht="15.75" customHeight="1" x14ac:dyDescent="0.2">
      <c r="A22" s="68">
        <f>DATE(2023,11,20)</f>
        <v>45250</v>
      </c>
      <c r="B22" s="4">
        <v>65</v>
      </c>
      <c r="C22" s="4">
        <v>18</v>
      </c>
      <c r="D22" s="4">
        <v>4</v>
      </c>
      <c r="E22" s="4">
        <v>6</v>
      </c>
      <c r="F22" s="4">
        <v>8</v>
      </c>
      <c r="G22" s="4">
        <v>6</v>
      </c>
      <c r="H22" s="4">
        <v>4</v>
      </c>
      <c r="I22" s="4">
        <v>5</v>
      </c>
      <c r="J22" s="22">
        <v>55</v>
      </c>
      <c r="K22" s="4">
        <v>3</v>
      </c>
      <c r="L22" s="70">
        <v>50</v>
      </c>
      <c r="M22" s="70">
        <v>35</v>
      </c>
      <c r="N22" s="70">
        <v>200</v>
      </c>
      <c r="O22" s="70">
        <v>140</v>
      </c>
      <c r="P22" s="70">
        <v>120</v>
      </c>
      <c r="Q22" s="70">
        <v>45</v>
      </c>
      <c r="R22" s="70">
        <v>135</v>
      </c>
      <c r="S22" s="70">
        <v>550</v>
      </c>
      <c r="T22" s="70">
        <v>59</v>
      </c>
      <c r="U22" s="70">
        <v>890</v>
      </c>
      <c r="V22" s="6">
        <f t="shared" ref="V22:AE22" si="20">B22*L22</f>
        <v>3250</v>
      </c>
      <c r="W22" s="6">
        <f t="shared" si="20"/>
        <v>630</v>
      </c>
      <c r="X22" s="6">
        <f t="shared" si="20"/>
        <v>800</v>
      </c>
      <c r="Y22" s="6">
        <f t="shared" si="20"/>
        <v>840</v>
      </c>
      <c r="Z22" s="6">
        <f t="shared" si="20"/>
        <v>960</v>
      </c>
      <c r="AA22" s="6">
        <f t="shared" si="20"/>
        <v>270</v>
      </c>
      <c r="AB22" s="6">
        <f t="shared" si="20"/>
        <v>540</v>
      </c>
      <c r="AC22" s="6">
        <f t="shared" si="20"/>
        <v>2750</v>
      </c>
      <c r="AD22" s="6">
        <f t="shared" si="20"/>
        <v>3245</v>
      </c>
      <c r="AE22" s="6">
        <f t="shared" si="20"/>
        <v>2670</v>
      </c>
      <c r="AF22" s="7">
        <f t="shared" si="1"/>
        <v>15955</v>
      </c>
      <c r="AG22" s="3">
        <f>DATE(2023,11,20)</f>
        <v>45250</v>
      </c>
    </row>
    <row r="23" spans="1:33" ht="15.75" customHeight="1" x14ac:dyDescent="0.2">
      <c r="A23" s="68">
        <f>DATE(2023,11,21)</f>
        <v>45251</v>
      </c>
      <c r="B23" s="4">
        <v>68</v>
      </c>
      <c r="C23" s="4">
        <v>30</v>
      </c>
      <c r="D23" s="4">
        <v>8</v>
      </c>
      <c r="E23" s="4">
        <v>2</v>
      </c>
      <c r="F23" s="4">
        <v>2</v>
      </c>
      <c r="G23" s="4">
        <v>8</v>
      </c>
      <c r="H23" s="4">
        <v>6</v>
      </c>
      <c r="I23" s="4">
        <v>7</v>
      </c>
      <c r="J23" s="22">
        <v>50</v>
      </c>
      <c r="K23" s="4">
        <v>1</v>
      </c>
      <c r="L23" s="70">
        <v>50</v>
      </c>
      <c r="M23" s="70">
        <v>35</v>
      </c>
      <c r="N23" s="70">
        <v>200</v>
      </c>
      <c r="O23" s="70">
        <v>140</v>
      </c>
      <c r="P23" s="70">
        <v>120</v>
      </c>
      <c r="Q23" s="70">
        <v>45</v>
      </c>
      <c r="R23" s="70">
        <v>135</v>
      </c>
      <c r="S23" s="70">
        <v>580</v>
      </c>
      <c r="T23" s="70">
        <v>60</v>
      </c>
      <c r="U23" s="70">
        <v>895</v>
      </c>
      <c r="V23" s="6">
        <f t="shared" ref="V23:AE23" si="21">B23*L23</f>
        <v>3400</v>
      </c>
      <c r="W23" s="6">
        <f t="shared" si="21"/>
        <v>1050</v>
      </c>
      <c r="X23" s="6">
        <f t="shared" si="21"/>
        <v>1600</v>
      </c>
      <c r="Y23" s="6">
        <f t="shared" si="21"/>
        <v>280</v>
      </c>
      <c r="Z23" s="6">
        <f t="shared" si="21"/>
        <v>240</v>
      </c>
      <c r="AA23" s="6">
        <f t="shared" si="21"/>
        <v>360</v>
      </c>
      <c r="AB23" s="6">
        <f t="shared" si="21"/>
        <v>810</v>
      </c>
      <c r="AC23" s="6">
        <f t="shared" si="21"/>
        <v>4060</v>
      </c>
      <c r="AD23" s="6">
        <f t="shared" si="21"/>
        <v>3000</v>
      </c>
      <c r="AE23" s="6">
        <f t="shared" si="21"/>
        <v>895</v>
      </c>
      <c r="AF23" s="7">
        <f t="shared" si="1"/>
        <v>15695</v>
      </c>
      <c r="AG23" s="3">
        <f>DATE(2023,11,21)</f>
        <v>45251</v>
      </c>
    </row>
    <row r="24" spans="1:33" ht="15.75" customHeight="1" x14ac:dyDescent="0.2">
      <c r="A24" s="68">
        <f>DATE(2023,11,22)</f>
        <v>45252</v>
      </c>
      <c r="B24" s="4">
        <v>265</v>
      </c>
      <c r="C24" s="4">
        <v>90</v>
      </c>
      <c r="D24" s="4">
        <v>36</v>
      </c>
      <c r="E24" s="4">
        <v>26</v>
      </c>
      <c r="F24" s="4">
        <v>28</v>
      </c>
      <c r="G24" s="4">
        <v>94</v>
      </c>
      <c r="H24" s="4">
        <v>68</v>
      </c>
      <c r="I24" s="4">
        <v>18</v>
      </c>
      <c r="J24" s="22">
        <v>90</v>
      </c>
      <c r="K24" s="4">
        <v>3</v>
      </c>
      <c r="L24" s="70">
        <v>50</v>
      </c>
      <c r="M24" s="70">
        <v>35</v>
      </c>
      <c r="N24" s="70">
        <v>200</v>
      </c>
      <c r="O24" s="70">
        <v>140</v>
      </c>
      <c r="P24" s="70">
        <v>120</v>
      </c>
      <c r="Q24" s="70">
        <v>45</v>
      </c>
      <c r="R24" s="70">
        <v>135</v>
      </c>
      <c r="S24" s="70">
        <v>580</v>
      </c>
      <c r="T24" s="70">
        <v>60</v>
      </c>
      <c r="U24" s="70">
        <v>895</v>
      </c>
      <c r="V24" s="6">
        <f t="shared" ref="V24:AE24" si="22">B24*L24</f>
        <v>13250</v>
      </c>
      <c r="W24" s="6">
        <f t="shared" si="22"/>
        <v>3150</v>
      </c>
      <c r="X24" s="6">
        <f t="shared" si="22"/>
        <v>7200</v>
      </c>
      <c r="Y24" s="6">
        <f t="shared" si="22"/>
        <v>3640</v>
      </c>
      <c r="Z24" s="6">
        <f t="shared" si="22"/>
        <v>3360</v>
      </c>
      <c r="AA24" s="6">
        <f t="shared" si="22"/>
        <v>4230</v>
      </c>
      <c r="AB24" s="6">
        <f t="shared" si="22"/>
        <v>9180</v>
      </c>
      <c r="AC24" s="6">
        <f t="shared" si="22"/>
        <v>10440</v>
      </c>
      <c r="AD24" s="6">
        <f t="shared" si="22"/>
        <v>5400</v>
      </c>
      <c r="AE24" s="6">
        <f t="shared" si="22"/>
        <v>2685</v>
      </c>
      <c r="AF24" s="7">
        <f t="shared" si="1"/>
        <v>62535</v>
      </c>
      <c r="AG24" s="3">
        <f>DATE(2023,11,22)</f>
        <v>45252</v>
      </c>
    </row>
    <row r="25" spans="1:33" ht="15.75" customHeight="1" x14ac:dyDescent="0.2">
      <c r="A25" s="68">
        <f>DATE(2023,11,23)</f>
        <v>45253</v>
      </c>
      <c r="B25" s="4">
        <v>290</v>
      </c>
      <c r="C25" s="4">
        <v>116</v>
      </c>
      <c r="D25" s="4">
        <v>30</v>
      </c>
      <c r="E25" s="4">
        <v>15</v>
      </c>
      <c r="F25" s="4">
        <v>36</v>
      </c>
      <c r="G25" s="4">
        <v>100</v>
      </c>
      <c r="H25" s="4">
        <v>60</v>
      </c>
      <c r="I25" s="4">
        <v>20</v>
      </c>
      <c r="J25" s="22">
        <v>90</v>
      </c>
      <c r="K25" s="4">
        <v>9</v>
      </c>
      <c r="L25" s="70">
        <v>50</v>
      </c>
      <c r="M25" s="70">
        <v>35</v>
      </c>
      <c r="N25" s="70">
        <v>200</v>
      </c>
      <c r="O25" s="70">
        <v>140</v>
      </c>
      <c r="P25" s="70">
        <v>118</v>
      </c>
      <c r="Q25" s="70">
        <v>45</v>
      </c>
      <c r="R25" s="70">
        <v>138</v>
      </c>
      <c r="S25" s="70">
        <v>580</v>
      </c>
      <c r="T25" s="70">
        <v>60</v>
      </c>
      <c r="U25" s="70">
        <v>895</v>
      </c>
      <c r="V25" s="6">
        <f t="shared" ref="V25:AE25" si="23">B25*L25</f>
        <v>14500</v>
      </c>
      <c r="W25" s="6">
        <f t="shared" si="23"/>
        <v>4060</v>
      </c>
      <c r="X25" s="6">
        <f t="shared" si="23"/>
        <v>6000</v>
      </c>
      <c r="Y25" s="6">
        <f t="shared" si="23"/>
        <v>2100</v>
      </c>
      <c r="Z25" s="6">
        <f t="shared" si="23"/>
        <v>4248</v>
      </c>
      <c r="AA25" s="6">
        <f t="shared" si="23"/>
        <v>4500</v>
      </c>
      <c r="AB25" s="6">
        <f t="shared" si="23"/>
        <v>8280</v>
      </c>
      <c r="AC25" s="6">
        <f t="shared" si="23"/>
        <v>11600</v>
      </c>
      <c r="AD25" s="6">
        <f t="shared" si="23"/>
        <v>5400</v>
      </c>
      <c r="AE25" s="6">
        <f t="shared" si="23"/>
        <v>8055</v>
      </c>
      <c r="AF25" s="7">
        <f t="shared" si="1"/>
        <v>68743</v>
      </c>
      <c r="AG25" s="3">
        <f>DATE(2023,11,23)</f>
        <v>45253</v>
      </c>
    </row>
    <row r="26" spans="1:33" ht="15.75" customHeight="1" x14ac:dyDescent="0.2">
      <c r="A26" s="68">
        <f>DATE(2023,11,24)</f>
        <v>45254</v>
      </c>
      <c r="B26" s="4">
        <v>230</v>
      </c>
      <c r="C26" s="4">
        <v>96</v>
      </c>
      <c r="D26" s="4">
        <v>30</v>
      </c>
      <c r="E26" s="4">
        <v>18</v>
      </c>
      <c r="F26" s="4">
        <v>24</v>
      </c>
      <c r="G26" s="4">
        <v>54</v>
      </c>
      <c r="H26" s="4">
        <v>36</v>
      </c>
      <c r="I26" s="4">
        <v>21</v>
      </c>
      <c r="J26" s="22">
        <v>100</v>
      </c>
      <c r="K26" s="4">
        <v>8</v>
      </c>
      <c r="L26" s="70">
        <v>50</v>
      </c>
      <c r="M26" s="70">
        <v>35</v>
      </c>
      <c r="N26" s="70">
        <v>200</v>
      </c>
      <c r="O26" s="70">
        <v>140</v>
      </c>
      <c r="P26" s="70">
        <v>118</v>
      </c>
      <c r="Q26" s="70">
        <v>45</v>
      </c>
      <c r="R26" s="70">
        <v>138</v>
      </c>
      <c r="S26" s="70">
        <v>580</v>
      </c>
      <c r="T26" s="70">
        <v>60</v>
      </c>
      <c r="U26" s="70">
        <v>895</v>
      </c>
      <c r="V26" s="6">
        <f t="shared" ref="V26:AE26" si="24">B26*L26</f>
        <v>11500</v>
      </c>
      <c r="W26" s="6">
        <f t="shared" si="24"/>
        <v>3360</v>
      </c>
      <c r="X26" s="6">
        <f t="shared" si="24"/>
        <v>6000</v>
      </c>
      <c r="Y26" s="6">
        <f t="shared" si="24"/>
        <v>2520</v>
      </c>
      <c r="Z26" s="6">
        <f t="shared" si="24"/>
        <v>2832</v>
      </c>
      <c r="AA26" s="6">
        <f t="shared" si="24"/>
        <v>2430</v>
      </c>
      <c r="AB26" s="6">
        <f t="shared" si="24"/>
        <v>4968</v>
      </c>
      <c r="AC26" s="6">
        <f t="shared" si="24"/>
        <v>12180</v>
      </c>
      <c r="AD26" s="6">
        <f t="shared" si="24"/>
        <v>6000</v>
      </c>
      <c r="AE26" s="6">
        <f t="shared" si="24"/>
        <v>7160</v>
      </c>
      <c r="AF26" s="7">
        <f t="shared" si="1"/>
        <v>58950</v>
      </c>
      <c r="AG26" s="3">
        <f>DATE(2023,11,24)</f>
        <v>45254</v>
      </c>
    </row>
    <row r="27" spans="1:33" ht="15.75" customHeight="1" x14ac:dyDescent="0.2">
      <c r="A27" s="68">
        <f>DATE(2023,11,25)</f>
        <v>45255</v>
      </c>
      <c r="B27" s="4">
        <v>160</v>
      </c>
      <c r="C27" s="4">
        <v>60</v>
      </c>
      <c r="D27" s="4">
        <v>22</v>
      </c>
      <c r="E27" s="4">
        <v>10</v>
      </c>
      <c r="F27" s="4">
        <v>16</v>
      </c>
      <c r="G27" s="4">
        <v>40</v>
      </c>
      <c r="H27" s="4">
        <v>22</v>
      </c>
      <c r="I27" s="4">
        <v>20</v>
      </c>
      <c r="J27" s="22">
        <v>100</v>
      </c>
      <c r="K27" s="4">
        <v>11</v>
      </c>
      <c r="L27" s="70">
        <v>50</v>
      </c>
      <c r="M27" s="70">
        <v>35</v>
      </c>
      <c r="N27" s="70">
        <v>200</v>
      </c>
      <c r="O27" s="70">
        <v>140</v>
      </c>
      <c r="P27" s="70">
        <v>118</v>
      </c>
      <c r="Q27" s="70">
        <v>45</v>
      </c>
      <c r="R27" s="70">
        <v>138</v>
      </c>
      <c r="S27" s="70">
        <v>580</v>
      </c>
      <c r="T27" s="70">
        <v>60</v>
      </c>
      <c r="U27" s="70">
        <v>895</v>
      </c>
      <c r="V27" s="6">
        <f t="shared" ref="V27:AE27" si="25">B27*L27</f>
        <v>8000</v>
      </c>
      <c r="W27" s="6">
        <f t="shared" si="25"/>
        <v>2100</v>
      </c>
      <c r="X27" s="6">
        <f t="shared" si="25"/>
        <v>4400</v>
      </c>
      <c r="Y27" s="6">
        <f t="shared" si="25"/>
        <v>1400</v>
      </c>
      <c r="Z27" s="6">
        <f t="shared" si="25"/>
        <v>1888</v>
      </c>
      <c r="AA27" s="6">
        <f t="shared" si="25"/>
        <v>1800</v>
      </c>
      <c r="AB27" s="6">
        <f t="shared" si="25"/>
        <v>3036</v>
      </c>
      <c r="AC27" s="6">
        <f t="shared" si="25"/>
        <v>11600</v>
      </c>
      <c r="AD27" s="6">
        <f t="shared" si="25"/>
        <v>6000</v>
      </c>
      <c r="AE27" s="6">
        <f t="shared" si="25"/>
        <v>9845</v>
      </c>
      <c r="AF27" s="7">
        <f t="shared" si="1"/>
        <v>50069</v>
      </c>
      <c r="AG27" s="3">
        <f>DATE(2023,11,25)</f>
        <v>45255</v>
      </c>
    </row>
    <row r="28" spans="1:33" ht="15.75" customHeight="1" x14ac:dyDescent="0.2">
      <c r="A28" s="68">
        <f>DATE(2023,11,26)</f>
        <v>45256</v>
      </c>
      <c r="B28" s="4">
        <v>150</v>
      </c>
      <c r="C28" s="4">
        <v>16</v>
      </c>
      <c r="D28" s="4">
        <v>12</v>
      </c>
      <c r="E28" s="4">
        <v>8</v>
      </c>
      <c r="F28" s="4">
        <v>8</v>
      </c>
      <c r="G28" s="4">
        <v>12</v>
      </c>
      <c r="H28" s="4">
        <v>6</v>
      </c>
      <c r="I28" s="4">
        <v>2</v>
      </c>
      <c r="J28" s="22">
        <v>60</v>
      </c>
      <c r="K28" s="4">
        <v>2</v>
      </c>
      <c r="L28" s="70">
        <v>50</v>
      </c>
      <c r="M28" s="70">
        <v>35</v>
      </c>
      <c r="N28" s="70">
        <v>200</v>
      </c>
      <c r="O28" s="70">
        <v>141</v>
      </c>
      <c r="P28" s="70">
        <v>118</v>
      </c>
      <c r="Q28" s="70">
        <v>45</v>
      </c>
      <c r="R28" s="70">
        <v>138</v>
      </c>
      <c r="S28" s="70">
        <v>580</v>
      </c>
      <c r="T28" s="70">
        <v>60</v>
      </c>
      <c r="U28" s="70">
        <v>895</v>
      </c>
      <c r="V28" s="6">
        <f t="shared" ref="V28:AE28" si="26">B28*L28</f>
        <v>7500</v>
      </c>
      <c r="W28" s="6">
        <f t="shared" si="26"/>
        <v>560</v>
      </c>
      <c r="X28" s="6">
        <f t="shared" si="26"/>
        <v>2400</v>
      </c>
      <c r="Y28" s="6">
        <f t="shared" si="26"/>
        <v>1128</v>
      </c>
      <c r="Z28" s="6">
        <f t="shared" si="26"/>
        <v>944</v>
      </c>
      <c r="AA28" s="6">
        <f t="shared" si="26"/>
        <v>540</v>
      </c>
      <c r="AB28" s="6">
        <f t="shared" si="26"/>
        <v>828</v>
      </c>
      <c r="AC28" s="6">
        <f t="shared" si="26"/>
        <v>1160</v>
      </c>
      <c r="AD28" s="6">
        <f t="shared" si="26"/>
        <v>3600</v>
      </c>
      <c r="AE28" s="6">
        <f t="shared" si="26"/>
        <v>1790</v>
      </c>
      <c r="AF28" s="7">
        <f t="shared" si="1"/>
        <v>20450</v>
      </c>
      <c r="AG28" s="3">
        <f>DATE(2023,11,26)</f>
        <v>45256</v>
      </c>
    </row>
    <row r="29" spans="1:33" ht="15.75" customHeight="1" x14ac:dyDescent="0.2">
      <c r="A29" s="68">
        <f>DATE(2023,11,27)</f>
        <v>45257</v>
      </c>
      <c r="B29" s="4">
        <v>210</v>
      </c>
      <c r="C29" s="4">
        <v>40</v>
      </c>
      <c r="D29" s="4">
        <v>18</v>
      </c>
      <c r="E29" s="4">
        <v>10</v>
      </c>
      <c r="F29" s="4">
        <v>16</v>
      </c>
      <c r="G29" s="4">
        <v>12</v>
      </c>
      <c r="H29" s="4">
        <v>20</v>
      </c>
      <c r="I29" s="4">
        <v>4</v>
      </c>
      <c r="J29" s="22">
        <v>55</v>
      </c>
      <c r="K29" s="4">
        <v>1</v>
      </c>
      <c r="L29" s="70">
        <v>50</v>
      </c>
      <c r="M29" s="70">
        <v>35</v>
      </c>
      <c r="N29" s="70">
        <v>200</v>
      </c>
      <c r="O29" s="70">
        <v>141</v>
      </c>
      <c r="P29" s="70">
        <v>118</v>
      </c>
      <c r="Q29" s="70">
        <v>45</v>
      </c>
      <c r="R29" s="70">
        <v>138</v>
      </c>
      <c r="S29" s="70">
        <v>580</v>
      </c>
      <c r="T29" s="70">
        <v>60</v>
      </c>
      <c r="U29" s="70">
        <v>895</v>
      </c>
      <c r="V29" s="6">
        <f t="shared" ref="V29:AE29" si="27">B29*L29</f>
        <v>10500</v>
      </c>
      <c r="W29" s="6">
        <f t="shared" si="27"/>
        <v>1400</v>
      </c>
      <c r="X29" s="6">
        <f t="shared" si="27"/>
        <v>3600</v>
      </c>
      <c r="Y29" s="6">
        <f t="shared" si="27"/>
        <v>1410</v>
      </c>
      <c r="Z29" s="6">
        <f t="shared" si="27"/>
        <v>1888</v>
      </c>
      <c r="AA29" s="6">
        <f t="shared" si="27"/>
        <v>540</v>
      </c>
      <c r="AB29" s="6">
        <f t="shared" si="27"/>
        <v>2760</v>
      </c>
      <c r="AC29" s="6">
        <f t="shared" si="27"/>
        <v>2320</v>
      </c>
      <c r="AD29" s="6">
        <f t="shared" si="27"/>
        <v>3300</v>
      </c>
      <c r="AE29" s="6">
        <f t="shared" si="27"/>
        <v>895</v>
      </c>
      <c r="AF29" s="7">
        <f t="shared" si="1"/>
        <v>28613</v>
      </c>
      <c r="AG29" s="3">
        <f>DATE(2023,11,27)</f>
        <v>45257</v>
      </c>
    </row>
    <row r="30" spans="1:33" ht="15.75" customHeight="1" x14ac:dyDescent="0.2">
      <c r="A30" s="68">
        <f>DATE(2023,11,28)</f>
        <v>45258</v>
      </c>
      <c r="B30" s="4">
        <v>260</v>
      </c>
      <c r="C30" s="4">
        <v>60</v>
      </c>
      <c r="D30" s="4">
        <v>30</v>
      </c>
      <c r="E30" s="4">
        <v>18</v>
      </c>
      <c r="F30" s="4">
        <v>24</v>
      </c>
      <c r="G30" s="4">
        <v>18</v>
      </c>
      <c r="H30" s="4">
        <v>28</v>
      </c>
      <c r="I30" s="4">
        <v>8</v>
      </c>
      <c r="J30" s="22">
        <v>65</v>
      </c>
      <c r="K30" s="4">
        <v>3</v>
      </c>
      <c r="L30" s="70">
        <v>50</v>
      </c>
      <c r="M30" s="70">
        <v>35</v>
      </c>
      <c r="N30" s="70">
        <v>200</v>
      </c>
      <c r="O30" s="70">
        <v>142</v>
      </c>
      <c r="P30" s="70">
        <v>118</v>
      </c>
      <c r="Q30" s="70">
        <v>45</v>
      </c>
      <c r="R30" s="70">
        <v>138</v>
      </c>
      <c r="S30" s="70">
        <v>580</v>
      </c>
      <c r="T30" s="70">
        <v>60</v>
      </c>
      <c r="U30" s="70">
        <v>880</v>
      </c>
      <c r="V30" s="6">
        <f t="shared" ref="V30:AE30" si="28">B30*L30</f>
        <v>13000</v>
      </c>
      <c r="W30" s="6">
        <f t="shared" si="28"/>
        <v>2100</v>
      </c>
      <c r="X30" s="6">
        <f t="shared" si="28"/>
        <v>6000</v>
      </c>
      <c r="Y30" s="6">
        <f t="shared" si="28"/>
        <v>2556</v>
      </c>
      <c r="Z30" s="6">
        <f t="shared" si="28"/>
        <v>2832</v>
      </c>
      <c r="AA30" s="6">
        <f t="shared" si="28"/>
        <v>810</v>
      </c>
      <c r="AB30" s="6">
        <f t="shared" si="28"/>
        <v>3864</v>
      </c>
      <c r="AC30" s="6">
        <f t="shared" si="28"/>
        <v>4640</v>
      </c>
      <c r="AD30" s="6">
        <f t="shared" si="28"/>
        <v>3900</v>
      </c>
      <c r="AE30" s="6">
        <f t="shared" si="28"/>
        <v>2640</v>
      </c>
      <c r="AF30" s="7">
        <f t="shared" si="1"/>
        <v>42342</v>
      </c>
      <c r="AG30" s="3">
        <f>DATE(2023,11,28)</f>
        <v>45258</v>
      </c>
    </row>
    <row r="31" spans="1:33" ht="15.75" customHeight="1" x14ac:dyDescent="0.2">
      <c r="A31" s="68">
        <f>DATE(2023,11,29)</f>
        <v>45259</v>
      </c>
      <c r="B31" s="4">
        <v>160</v>
      </c>
      <c r="C31" s="4">
        <v>24</v>
      </c>
      <c r="D31" s="4">
        <v>14</v>
      </c>
      <c r="E31" s="4">
        <v>16</v>
      </c>
      <c r="F31" s="4">
        <v>18</v>
      </c>
      <c r="G31" s="4">
        <v>10</v>
      </c>
      <c r="H31" s="4">
        <v>20</v>
      </c>
      <c r="I31" s="4">
        <v>4</v>
      </c>
      <c r="J31" s="22">
        <v>55</v>
      </c>
      <c r="K31" s="4">
        <v>2</v>
      </c>
      <c r="L31" s="70">
        <v>50</v>
      </c>
      <c r="M31" s="70">
        <v>35</v>
      </c>
      <c r="N31" s="70">
        <v>200</v>
      </c>
      <c r="O31" s="70">
        <v>142</v>
      </c>
      <c r="P31" s="70">
        <v>118</v>
      </c>
      <c r="Q31" s="70">
        <v>45</v>
      </c>
      <c r="R31" s="70">
        <v>138</v>
      </c>
      <c r="S31" s="70">
        <v>580</v>
      </c>
      <c r="T31" s="70">
        <v>60</v>
      </c>
      <c r="U31" s="70">
        <v>880</v>
      </c>
      <c r="V31" s="6">
        <f t="shared" ref="V31:AE31" si="29">B31*L31</f>
        <v>8000</v>
      </c>
      <c r="W31" s="6">
        <f t="shared" si="29"/>
        <v>840</v>
      </c>
      <c r="X31" s="6">
        <f t="shared" si="29"/>
        <v>2800</v>
      </c>
      <c r="Y31" s="6">
        <f t="shared" si="29"/>
        <v>2272</v>
      </c>
      <c r="Z31" s="6">
        <f t="shared" si="29"/>
        <v>2124</v>
      </c>
      <c r="AA31" s="6">
        <f t="shared" si="29"/>
        <v>450</v>
      </c>
      <c r="AB31" s="6">
        <f t="shared" si="29"/>
        <v>2760</v>
      </c>
      <c r="AC31" s="6">
        <f t="shared" si="29"/>
        <v>2320</v>
      </c>
      <c r="AD31" s="6">
        <f t="shared" si="29"/>
        <v>3300</v>
      </c>
      <c r="AE31" s="6">
        <f t="shared" si="29"/>
        <v>1760</v>
      </c>
      <c r="AF31" s="7">
        <f t="shared" si="1"/>
        <v>26626</v>
      </c>
      <c r="AG31" s="3">
        <f>DATE(2023,11,29)</f>
        <v>45259</v>
      </c>
    </row>
    <row r="32" spans="1:33" ht="15.75" customHeight="1" x14ac:dyDescent="0.2">
      <c r="A32" s="68">
        <f>DATE(2023,11,30)</f>
        <v>45260</v>
      </c>
      <c r="B32" s="4">
        <v>156</v>
      </c>
      <c r="C32" s="4">
        <v>26</v>
      </c>
      <c r="D32" s="4">
        <v>16</v>
      </c>
      <c r="E32" s="4">
        <v>10</v>
      </c>
      <c r="F32" s="4">
        <v>12</v>
      </c>
      <c r="G32" s="4">
        <v>14</v>
      </c>
      <c r="H32" s="4">
        <v>22</v>
      </c>
      <c r="I32" s="4">
        <v>2</v>
      </c>
      <c r="J32" s="22">
        <v>55</v>
      </c>
      <c r="K32" s="4">
        <v>10</v>
      </c>
      <c r="L32" s="70">
        <v>50</v>
      </c>
      <c r="M32" s="70">
        <v>35</v>
      </c>
      <c r="N32" s="70">
        <v>200</v>
      </c>
      <c r="O32" s="70">
        <v>145</v>
      </c>
      <c r="P32" s="70">
        <v>118</v>
      </c>
      <c r="Q32" s="70">
        <v>45</v>
      </c>
      <c r="R32" s="70">
        <v>138</v>
      </c>
      <c r="S32" s="70">
        <v>580</v>
      </c>
      <c r="T32" s="70">
        <v>60</v>
      </c>
      <c r="U32" s="70">
        <v>880</v>
      </c>
      <c r="V32" s="6">
        <f t="shared" ref="V32:AE32" si="30">B32*L32</f>
        <v>7800</v>
      </c>
      <c r="W32" s="6">
        <f t="shared" si="30"/>
        <v>910</v>
      </c>
      <c r="X32" s="6">
        <f t="shared" si="30"/>
        <v>3200</v>
      </c>
      <c r="Y32" s="6">
        <f t="shared" si="30"/>
        <v>1450</v>
      </c>
      <c r="Z32" s="6">
        <f t="shared" si="30"/>
        <v>1416</v>
      </c>
      <c r="AA32" s="6">
        <f t="shared" si="30"/>
        <v>630</v>
      </c>
      <c r="AB32" s="6">
        <f t="shared" si="30"/>
        <v>3036</v>
      </c>
      <c r="AC32" s="6">
        <f t="shared" si="30"/>
        <v>1160</v>
      </c>
      <c r="AD32" s="6">
        <f t="shared" si="30"/>
        <v>3300</v>
      </c>
      <c r="AE32" s="6">
        <f t="shared" si="30"/>
        <v>8800</v>
      </c>
      <c r="AF32" s="7">
        <f t="shared" si="1"/>
        <v>31702</v>
      </c>
      <c r="AG32" s="3">
        <f>DATE(2023,11,30)</f>
        <v>45260</v>
      </c>
    </row>
    <row r="33" spans="1:33" ht="15.75" customHeight="1" x14ac:dyDescent="0.2">
      <c r="A33" s="68">
        <f>DATE(2023,12,1)</f>
        <v>45261</v>
      </c>
      <c r="B33" s="4">
        <v>130</v>
      </c>
      <c r="C33" s="4">
        <v>20</v>
      </c>
      <c r="D33" s="4">
        <v>12</v>
      </c>
      <c r="E33" s="4">
        <v>12</v>
      </c>
      <c r="F33" s="4">
        <v>14</v>
      </c>
      <c r="G33" s="4">
        <v>8</v>
      </c>
      <c r="H33" s="4">
        <v>16</v>
      </c>
      <c r="I33" s="4">
        <v>2</v>
      </c>
      <c r="J33" s="22">
        <v>55</v>
      </c>
      <c r="K33" s="4">
        <v>11</v>
      </c>
      <c r="L33" s="70">
        <v>50</v>
      </c>
      <c r="M33" s="70">
        <v>35</v>
      </c>
      <c r="N33" s="70">
        <v>200</v>
      </c>
      <c r="O33" s="70">
        <v>145</v>
      </c>
      <c r="P33" s="70">
        <v>118</v>
      </c>
      <c r="Q33" s="70">
        <v>45</v>
      </c>
      <c r="R33" s="70">
        <v>138</v>
      </c>
      <c r="S33" s="70">
        <v>580</v>
      </c>
      <c r="T33" s="70">
        <v>60</v>
      </c>
      <c r="U33" s="70">
        <v>880</v>
      </c>
      <c r="V33" s="6">
        <f t="shared" ref="V33:AE33" si="31">B33*L33</f>
        <v>6500</v>
      </c>
      <c r="W33" s="6">
        <f t="shared" si="31"/>
        <v>700</v>
      </c>
      <c r="X33" s="6">
        <f t="shared" si="31"/>
        <v>2400</v>
      </c>
      <c r="Y33" s="6">
        <f t="shared" si="31"/>
        <v>1740</v>
      </c>
      <c r="Z33" s="6">
        <f t="shared" si="31"/>
        <v>1652</v>
      </c>
      <c r="AA33" s="6">
        <f t="shared" si="31"/>
        <v>360</v>
      </c>
      <c r="AB33" s="6">
        <f t="shared" si="31"/>
        <v>2208</v>
      </c>
      <c r="AC33" s="6">
        <f t="shared" si="31"/>
        <v>1160</v>
      </c>
      <c r="AD33" s="6">
        <f t="shared" si="31"/>
        <v>3300</v>
      </c>
      <c r="AE33" s="6">
        <f t="shared" si="31"/>
        <v>9680</v>
      </c>
      <c r="AF33" s="7">
        <f t="shared" si="1"/>
        <v>29700</v>
      </c>
      <c r="AG33" s="3">
        <f>DATE(2023,12,1)</f>
        <v>45261</v>
      </c>
    </row>
    <row r="34" spans="1:33" ht="15.75" customHeight="1" x14ac:dyDescent="0.2">
      <c r="A34" s="71" t="s">
        <v>95</v>
      </c>
      <c r="B34" s="8">
        <f t="shared" ref="B34:U34" si="32">AVERAGE(B3:B33)</f>
        <v>107.29032258064517</v>
      </c>
      <c r="C34" s="8">
        <f t="shared" si="32"/>
        <v>41.161290322580648</v>
      </c>
      <c r="D34" s="8">
        <f t="shared" si="32"/>
        <v>14.32258064516129</v>
      </c>
      <c r="E34" s="8">
        <f t="shared" si="32"/>
        <v>10.612903225806452</v>
      </c>
      <c r="F34" s="8">
        <f t="shared" si="32"/>
        <v>16.516129032258064</v>
      </c>
      <c r="G34" s="8">
        <f t="shared" si="32"/>
        <v>23.225806451612904</v>
      </c>
      <c r="H34" s="8">
        <f t="shared" si="32"/>
        <v>18.64516129032258</v>
      </c>
      <c r="I34" s="8">
        <f t="shared" si="32"/>
        <v>6.290322580645161</v>
      </c>
      <c r="J34" s="8">
        <f t="shared" si="32"/>
        <v>64.677419354838705</v>
      </c>
      <c r="K34" s="8">
        <f t="shared" si="32"/>
        <v>3.5806451612903225</v>
      </c>
      <c r="L34" s="9">
        <f t="shared" si="32"/>
        <v>50</v>
      </c>
      <c r="M34" s="9">
        <f t="shared" si="32"/>
        <v>35</v>
      </c>
      <c r="N34" s="9">
        <f t="shared" si="32"/>
        <v>200</v>
      </c>
      <c r="O34" s="9">
        <f t="shared" si="32"/>
        <v>140.51612903225808</v>
      </c>
      <c r="P34" s="9">
        <f t="shared" si="32"/>
        <v>119.41935483870968</v>
      </c>
      <c r="Q34" s="9">
        <f t="shared" si="32"/>
        <v>44.12903225806452</v>
      </c>
      <c r="R34" s="9">
        <f t="shared" si="32"/>
        <v>137.64516129032259</v>
      </c>
      <c r="S34" s="9">
        <f t="shared" si="32"/>
        <v>560.64516129032256</v>
      </c>
      <c r="T34" s="9">
        <f t="shared" si="32"/>
        <v>59.87096774193548</v>
      </c>
      <c r="U34" s="9">
        <f t="shared" si="32"/>
        <v>874.35483870967744</v>
      </c>
      <c r="V34" s="10">
        <f t="shared" ref="V34:AF34" si="33">SUM(V3:V33)</f>
        <v>166300</v>
      </c>
      <c r="W34" s="10">
        <f t="shared" si="33"/>
        <v>44660</v>
      </c>
      <c r="X34" s="10">
        <f t="shared" si="33"/>
        <v>88800</v>
      </c>
      <c r="Y34" s="10">
        <f t="shared" si="33"/>
        <v>46256</v>
      </c>
      <c r="Z34" s="10">
        <f t="shared" si="33"/>
        <v>61104</v>
      </c>
      <c r="AA34" s="10">
        <f t="shared" si="33"/>
        <v>32046</v>
      </c>
      <c r="AB34" s="10">
        <f t="shared" si="33"/>
        <v>79900</v>
      </c>
      <c r="AC34" s="10">
        <f t="shared" si="33"/>
        <v>110490</v>
      </c>
      <c r="AD34" s="10">
        <f t="shared" si="33"/>
        <v>120080</v>
      </c>
      <c r="AE34" s="10">
        <f t="shared" si="33"/>
        <v>97380</v>
      </c>
      <c r="AF34" s="11">
        <f t="shared" si="33"/>
        <v>847016</v>
      </c>
      <c r="AG34" s="12"/>
    </row>
    <row r="35" spans="1:33" ht="15.75" customHeight="1" x14ac:dyDescent="0.2">
      <c r="A35" s="4"/>
      <c r="B35" s="2" t="s">
        <v>3</v>
      </c>
      <c r="C35" s="2" t="s">
        <v>4</v>
      </c>
      <c r="D35" s="2" t="s">
        <v>5</v>
      </c>
      <c r="E35" s="2" t="s">
        <v>6</v>
      </c>
      <c r="F35" s="2" t="s">
        <v>7</v>
      </c>
      <c r="G35" s="2" t="s">
        <v>8</v>
      </c>
      <c r="H35" s="2" t="s">
        <v>9</v>
      </c>
      <c r="I35" s="2" t="s">
        <v>10</v>
      </c>
      <c r="J35" s="2" t="s">
        <v>11</v>
      </c>
      <c r="K35" s="2" t="s">
        <v>12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2" t="s">
        <v>3</v>
      </c>
      <c r="W35" s="2" t="s">
        <v>4</v>
      </c>
      <c r="X35" s="2" t="s">
        <v>5</v>
      </c>
      <c r="Y35" s="2" t="s">
        <v>6</v>
      </c>
      <c r="Z35" s="2" t="s">
        <v>7</v>
      </c>
      <c r="AA35" s="2" t="s">
        <v>8</v>
      </c>
      <c r="AB35" s="2" t="s">
        <v>9</v>
      </c>
      <c r="AC35" s="2" t="s">
        <v>10</v>
      </c>
      <c r="AD35" s="2" t="s">
        <v>11</v>
      </c>
      <c r="AE35" s="2" t="s">
        <v>12</v>
      </c>
      <c r="AF35" s="13" t="s">
        <v>14</v>
      </c>
      <c r="AG35" s="14">
        <f>SUM(AF3:AF33)/31</f>
        <v>27323.096774193549</v>
      </c>
    </row>
    <row r="36" spans="1:33" ht="15.75" customHeight="1" x14ac:dyDescent="0.2">
      <c r="A36" s="15" t="s">
        <v>93</v>
      </c>
      <c r="B36" s="4">
        <f t="shared" ref="B36:K36" si="34">SUM(B3:B33)</f>
        <v>3326</v>
      </c>
      <c r="C36" s="4">
        <f t="shared" si="34"/>
        <v>1276</v>
      </c>
      <c r="D36" s="4">
        <f t="shared" si="34"/>
        <v>444</v>
      </c>
      <c r="E36" s="4">
        <f t="shared" si="34"/>
        <v>329</v>
      </c>
      <c r="F36" s="4">
        <f t="shared" si="34"/>
        <v>512</v>
      </c>
      <c r="G36" s="4">
        <f t="shared" si="34"/>
        <v>720</v>
      </c>
      <c r="H36" s="4">
        <f t="shared" si="34"/>
        <v>578</v>
      </c>
      <c r="I36" s="4">
        <f t="shared" si="34"/>
        <v>195</v>
      </c>
      <c r="J36" s="4">
        <f t="shared" si="34"/>
        <v>2005</v>
      </c>
      <c r="K36" s="4">
        <f t="shared" si="34"/>
        <v>111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3" t="s">
        <v>15</v>
      </c>
      <c r="AG36" s="16">
        <f>STDEV(AF3:AF33)</f>
        <v>17118.801870759609</v>
      </c>
    </row>
    <row r="37" spans="1:33" ht="15.75" customHeight="1" x14ac:dyDescent="0.35">
      <c r="A37" s="15"/>
      <c r="B37" s="15"/>
      <c r="C37" s="17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3" t="s">
        <v>16</v>
      </c>
      <c r="AG37" s="14">
        <f>MIN(AF3:AF33)</f>
        <v>8227</v>
      </c>
    </row>
    <row r="38" spans="1:3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3" t="s">
        <v>17</v>
      </c>
      <c r="AG38" s="14">
        <f>MAX(AF3:AF33)</f>
        <v>68743</v>
      </c>
    </row>
    <row r="39" spans="1:3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4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6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6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6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6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6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6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6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6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6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6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6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6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6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6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6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6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6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2">
      <c r="H60" s="1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6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">
      <c r="H61" s="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6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">
      <c r="H62" s="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6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">
      <c r="H63" s="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6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">
      <c r="H64" s="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6"/>
      <c r="Y64" s="15"/>
      <c r="Z64" s="15"/>
      <c r="AA64" s="15"/>
      <c r="AB64" s="15"/>
      <c r="AC64" s="15"/>
      <c r="AD64" s="15"/>
      <c r="AE64" s="15"/>
      <c r="AF64" s="15"/>
      <c r="AG64" s="15"/>
    </row>
    <row r="65" spans="8:33" ht="15.75" customHeight="1" x14ac:dyDescent="0.2">
      <c r="H65" s="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6"/>
      <c r="Y65" s="15"/>
      <c r="Z65" s="15"/>
      <c r="AA65" s="15"/>
      <c r="AB65" s="15"/>
      <c r="AC65" s="15"/>
      <c r="AD65" s="15"/>
      <c r="AE65" s="15"/>
      <c r="AF65" s="15"/>
      <c r="AG65" s="15"/>
    </row>
    <row r="66" spans="8:33" ht="15.75" customHeight="1" x14ac:dyDescent="0.2">
      <c r="H66" s="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6"/>
      <c r="Y66" s="15"/>
      <c r="Z66" s="15"/>
      <c r="AA66" s="15"/>
      <c r="AB66" s="15"/>
      <c r="AC66" s="15"/>
      <c r="AD66" s="15"/>
      <c r="AE66" s="15"/>
      <c r="AF66" s="15"/>
      <c r="AG66" s="15"/>
    </row>
    <row r="67" spans="8:33" ht="15.75" customHeight="1" x14ac:dyDescent="0.2">
      <c r="H67" s="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6"/>
      <c r="Y67" s="15"/>
      <c r="Z67" s="15"/>
      <c r="AA67" s="15"/>
      <c r="AB67" s="15"/>
      <c r="AC67" s="15"/>
      <c r="AD67" s="15"/>
      <c r="AE67" s="15"/>
      <c r="AF67" s="15"/>
      <c r="AG67" s="15"/>
    </row>
    <row r="68" spans="8:33" ht="15.75" customHeight="1" x14ac:dyDescent="0.2">
      <c r="H68" s="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6"/>
      <c r="Y68" s="15"/>
      <c r="Z68" s="15"/>
      <c r="AA68" s="15"/>
      <c r="AB68" s="15"/>
      <c r="AC68" s="15"/>
      <c r="AD68" s="15"/>
      <c r="AE68" s="15"/>
      <c r="AF68" s="15"/>
      <c r="AG68" s="15"/>
    </row>
    <row r="69" spans="8:33" ht="15.75" customHeight="1" x14ac:dyDescent="0.2">
      <c r="H69" s="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6"/>
      <c r="Y69" s="15"/>
      <c r="Z69" s="15"/>
      <c r="AA69" s="15"/>
      <c r="AB69" s="15"/>
      <c r="AC69" s="15"/>
      <c r="AD69" s="15"/>
      <c r="AE69" s="15"/>
      <c r="AF69" s="15"/>
      <c r="AG69" s="15"/>
    </row>
    <row r="70" spans="8:33" ht="15.75" customHeight="1" x14ac:dyDescent="0.2">
      <c r="H70" s="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6"/>
      <c r="Y70" s="15"/>
      <c r="Z70" s="15"/>
      <c r="AA70" s="15"/>
      <c r="AB70" s="15"/>
      <c r="AC70" s="15"/>
      <c r="AD70" s="15"/>
      <c r="AE70" s="15"/>
      <c r="AF70" s="15"/>
      <c r="AG70" s="15"/>
    </row>
    <row r="71" spans="8:33" ht="15.75" customHeight="1" x14ac:dyDescent="0.2">
      <c r="H71" s="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6"/>
      <c r="Y71" s="15"/>
      <c r="Z71" s="15"/>
      <c r="AA71" s="15"/>
      <c r="AB71" s="15"/>
      <c r="AC71" s="15"/>
      <c r="AD71" s="15"/>
      <c r="AE71" s="15"/>
      <c r="AF71" s="15"/>
      <c r="AG71" s="15"/>
    </row>
    <row r="72" spans="8:33" ht="15.75" customHeight="1" x14ac:dyDescent="0.2">
      <c r="H72" s="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6"/>
      <c r="Y72" s="15"/>
      <c r="Z72" s="15"/>
      <c r="AA72" s="15"/>
      <c r="AB72" s="15"/>
      <c r="AC72" s="15"/>
      <c r="AD72" s="15"/>
      <c r="AE72" s="15"/>
      <c r="AF72" s="15"/>
      <c r="AG72" s="15"/>
    </row>
    <row r="73" spans="8:33" ht="15.75" customHeight="1" x14ac:dyDescent="0.2">
      <c r="H73" s="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6"/>
      <c r="Y73" s="15"/>
      <c r="Z73" s="15"/>
      <c r="AA73" s="15"/>
      <c r="AB73" s="15"/>
      <c r="AC73" s="15"/>
      <c r="AD73" s="15"/>
      <c r="AE73" s="15"/>
      <c r="AF73" s="15"/>
      <c r="AG73" s="15"/>
    </row>
    <row r="74" spans="8:33" ht="15.75" customHeight="1" x14ac:dyDescent="0.2">
      <c r="H74" s="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6"/>
      <c r="Y74" s="15"/>
      <c r="Z74" s="15"/>
      <c r="AA74" s="15"/>
      <c r="AB74" s="15"/>
      <c r="AC74" s="15"/>
      <c r="AD74" s="15"/>
      <c r="AE74" s="15"/>
      <c r="AF74" s="15"/>
      <c r="AG74" s="15"/>
    </row>
    <row r="75" spans="8:33" ht="15.75" customHeight="1" x14ac:dyDescent="0.2">
      <c r="H75" s="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8:33" ht="15.75" customHeight="1" x14ac:dyDescent="0.2">
      <c r="H76" s="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8:33" ht="15.75" customHeight="1" x14ac:dyDescent="0.2">
      <c r="H77" s="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8:33" ht="15.75" customHeight="1" x14ac:dyDescent="0.2">
      <c r="H78" s="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8:33" ht="15.75" customHeight="1" x14ac:dyDescent="0.2">
      <c r="H79" s="4"/>
      <c r="I79" s="15"/>
      <c r="J79" s="15"/>
      <c r="K79" s="2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8:33" ht="15.75" customHeight="1" x14ac:dyDescent="0.2">
      <c r="H80" s="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">
      <c r="H81" s="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">
      <c r="H82" s="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">
      <c r="H83" s="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">
      <c r="H84" s="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">
      <c r="H85" s="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">
      <c r="H86" s="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">
      <c r="H87" s="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">
      <c r="H88" s="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">
      <c r="H89" s="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">
      <c r="H90" s="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">
      <c r="H91" s="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5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5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5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5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5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5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5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5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5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5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5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5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5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5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5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5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5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5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5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5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5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5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opLeftCell="A31" workbookViewId="0">
      <pane xSplit="1" topLeftCell="B1" activePane="topRight" state="frozen"/>
      <selection pane="topRight" activeCell="X70" sqref="X70"/>
    </sheetView>
  </sheetViews>
  <sheetFormatPr defaultColWidth="12.5703125" defaultRowHeight="15" customHeight="1" x14ac:dyDescent="0.2"/>
  <cols>
    <col min="1" max="31" width="14.42578125" customWidth="1"/>
    <col min="32" max="32" width="20.85546875" customWidth="1"/>
  </cols>
  <sheetData>
    <row r="1" spans="1:32" ht="15.75" customHeight="1" x14ac:dyDescent="0.2">
      <c r="A1" s="69"/>
      <c r="B1" s="69"/>
      <c r="C1" s="69"/>
      <c r="D1" s="69"/>
      <c r="E1" s="69"/>
      <c r="F1" s="85" t="s">
        <v>96</v>
      </c>
      <c r="G1" s="69"/>
      <c r="H1" s="69"/>
      <c r="I1" s="69"/>
      <c r="J1" s="69"/>
      <c r="K1" s="69"/>
      <c r="L1" s="69"/>
      <c r="M1" s="69"/>
      <c r="N1" s="69"/>
      <c r="O1" s="69"/>
      <c r="P1" s="69" t="s">
        <v>18</v>
      </c>
      <c r="Q1" s="69"/>
      <c r="R1" s="69"/>
      <c r="S1" s="69"/>
      <c r="T1" s="69"/>
      <c r="U1" s="69"/>
      <c r="V1" s="69"/>
      <c r="W1" s="69"/>
      <c r="X1" s="69"/>
      <c r="Y1" s="69"/>
      <c r="Z1" s="69" t="s">
        <v>19</v>
      </c>
      <c r="AA1" s="69"/>
      <c r="AB1" s="69"/>
      <c r="AC1" s="69"/>
      <c r="AD1" s="69"/>
      <c r="AE1" s="69"/>
      <c r="AF1" s="86"/>
    </row>
    <row r="2" spans="1:32" ht="15.75" customHeight="1" x14ac:dyDescent="0.2">
      <c r="A2" s="6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1" t="s">
        <v>98</v>
      </c>
    </row>
    <row r="3" spans="1:32" ht="15.75" customHeight="1" x14ac:dyDescent="0.2">
      <c r="A3" s="68">
        <f>DATE(2023,11,1)</f>
        <v>45231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60</v>
      </c>
      <c r="K3" s="22">
        <v>44</v>
      </c>
      <c r="L3" s="6">
        <f>0.9*SALES!L3</f>
        <v>45</v>
      </c>
      <c r="M3" s="6">
        <f>0.92*SALES!M3</f>
        <v>32.200000000000003</v>
      </c>
      <c r="N3" s="6">
        <f>0.92*SALES!N3</f>
        <v>184</v>
      </c>
      <c r="O3" s="6">
        <f>0.9*SALES!O3</f>
        <v>126</v>
      </c>
      <c r="P3" s="6">
        <f>0.92*SALES!P3</f>
        <v>110.4</v>
      </c>
      <c r="Q3" s="6">
        <f>0.94*SALES!Q3</f>
        <v>42.3</v>
      </c>
      <c r="R3" s="6">
        <f>0.94*SALES!R3</f>
        <v>131.6</v>
      </c>
      <c r="S3" s="6">
        <f>0.9*SALES!S3</f>
        <v>495</v>
      </c>
      <c r="T3" s="6">
        <f>0.95*SALES!T3</f>
        <v>57</v>
      </c>
      <c r="U3" s="6">
        <f>0.82*SALES!U3</f>
        <v>701.09999999999991</v>
      </c>
      <c r="V3" s="23">
        <f t="shared" ref="V3:AE3" si="0">B3*L3</f>
        <v>0</v>
      </c>
      <c r="W3" s="23">
        <f t="shared" si="0"/>
        <v>0</v>
      </c>
      <c r="X3" s="23">
        <f t="shared" si="0"/>
        <v>0</v>
      </c>
      <c r="Y3" s="23">
        <f t="shared" si="0"/>
        <v>0</v>
      </c>
      <c r="Z3" s="23">
        <f t="shared" si="0"/>
        <v>0</v>
      </c>
      <c r="AA3" s="23">
        <f t="shared" si="0"/>
        <v>0</v>
      </c>
      <c r="AB3" s="23">
        <f t="shared" si="0"/>
        <v>0</v>
      </c>
      <c r="AC3" s="23">
        <f t="shared" si="0"/>
        <v>0</v>
      </c>
      <c r="AD3" s="23">
        <f t="shared" si="0"/>
        <v>3420</v>
      </c>
      <c r="AE3" s="23">
        <f t="shared" si="0"/>
        <v>30848.399999999994</v>
      </c>
      <c r="AF3" s="24">
        <f>SUM(V3:AE3)</f>
        <v>34268.399999999994</v>
      </c>
    </row>
    <row r="4" spans="1:32" ht="15.75" customHeight="1" x14ac:dyDescent="0.2">
      <c r="A4" s="68">
        <f>DATE(2023,11,2)</f>
        <v>45232</v>
      </c>
      <c r="B4" s="22">
        <v>0</v>
      </c>
      <c r="C4" s="22">
        <v>200</v>
      </c>
      <c r="D4" s="22">
        <v>0</v>
      </c>
      <c r="E4" s="22">
        <v>50</v>
      </c>
      <c r="F4" s="22">
        <v>0</v>
      </c>
      <c r="G4" s="22">
        <v>0</v>
      </c>
      <c r="H4" s="22">
        <v>0</v>
      </c>
      <c r="I4" s="22">
        <v>0</v>
      </c>
      <c r="J4" s="22">
        <v>56</v>
      </c>
      <c r="K4" s="22">
        <v>0</v>
      </c>
      <c r="L4" s="6">
        <f>0.9*SALES!L4</f>
        <v>45</v>
      </c>
      <c r="M4" s="6">
        <f>0.92*SALES!M4</f>
        <v>32.200000000000003</v>
      </c>
      <c r="N4" s="6">
        <f>0.92*SALES!N4</f>
        <v>184</v>
      </c>
      <c r="O4" s="6">
        <f>0.9*SALES!O4</f>
        <v>126</v>
      </c>
      <c r="P4" s="6">
        <f>0.92*SALES!P4</f>
        <v>110.4</v>
      </c>
      <c r="Q4" s="6">
        <f>0.94*SALES!Q4</f>
        <v>42.3</v>
      </c>
      <c r="R4" s="6">
        <f>0.94*SALES!R4</f>
        <v>131.6</v>
      </c>
      <c r="S4" s="6">
        <f>0.9*SALES!S4</f>
        <v>495</v>
      </c>
      <c r="T4" s="6">
        <f>0.95*SALES!T4</f>
        <v>57</v>
      </c>
      <c r="U4" s="6">
        <f>0.82*SALES!U4</f>
        <v>701.09999999999991</v>
      </c>
      <c r="V4" s="23">
        <f t="shared" ref="V4:AE4" si="1">B4*L4</f>
        <v>0</v>
      </c>
      <c r="W4" s="23">
        <f t="shared" si="1"/>
        <v>6440.0000000000009</v>
      </c>
      <c r="X4" s="23">
        <f t="shared" si="1"/>
        <v>0</v>
      </c>
      <c r="Y4" s="23">
        <f t="shared" si="1"/>
        <v>6300</v>
      </c>
      <c r="Z4" s="23">
        <f t="shared" si="1"/>
        <v>0</v>
      </c>
      <c r="AA4" s="23">
        <f t="shared" si="1"/>
        <v>0</v>
      </c>
      <c r="AB4" s="23">
        <f t="shared" si="1"/>
        <v>0</v>
      </c>
      <c r="AC4" s="23">
        <f t="shared" si="1"/>
        <v>0</v>
      </c>
      <c r="AD4" s="23">
        <f t="shared" si="1"/>
        <v>3192</v>
      </c>
      <c r="AE4" s="23">
        <f t="shared" si="1"/>
        <v>0</v>
      </c>
      <c r="AF4" s="24">
        <f t="shared" ref="AF3:AF33" si="2">SUM(V4:AE4)</f>
        <v>15932</v>
      </c>
    </row>
    <row r="5" spans="1:32" ht="15.75" customHeight="1" x14ac:dyDescent="0.2">
      <c r="A5" s="68">
        <f>DATE(2023,11,3)</f>
        <v>45233</v>
      </c>
      <c r="B5" s="22">
        <v>0</v>
      </c>
      <c r="C5" s="22">
        <v>0</v>
      </c>
      <c r="D5" s="22">
        <v>50</v>
      </c>
      <c r="E5" s="22">
        <v>0</v>
      </c>
      <c r="F5" s="22">
        <v>50</v>
      </c>
      <c r="G5" s="22">
        <v>0</v>
      </c>
      <c r="H5" s="22">
        <v>60</v>
      </c>
      <c r="I5" s="22">
        <v>20</v>
      </c>
      <c r="J5" s="22">
        <v>60</v>
      </c>
      <c r="K5" s="22">
        <v>0</v>
      </c>
      <c r="L5" s="6">
        <f>0.9*SALES!L5</f>
        <v>45</v>
      </c>
      <c r="M5" s="6">
        <f>0.92*SALES!M5</f>
        <v>32.200000000000003</v>
      </c>
      <c r="N5" s="6">
        <f>0.92*SALES!N5</f>
        <v>184</v>
      </c>
      <c r="O5" s="6">
        <f>0.9*SALES!O5</f>
        <v>126</v>
      </c>
      <c r="P5" s="6">
        <f>0.92*SALES!P5</f>
        <v>110.4</v>
      </c>
      <c r="Q5" s="6">
        <f>0.94*SALES!Q5</f>
        <v>42.3</v>
      </c>
      <c r="R5" s="6">
        <f>0.94*SALES!R5</f>
        <v>131.6</v>
      </c>
      <c r="S5" s="6">
        <f>0.9*SALES!S5</f>
        <v>495</v>
      </c>
      <c r="T5" s="6">
        <f>0.95*SALES!T5</f>
        <v>57</v>
      </c>
      <c r="U5" s="6">
        <f>0.82*SALES!U5</f>
        <v>701.09999999999991</v>
      </c>
      <c r="V5" s="23">
        <f t="shared" ref="V5:AE5" si="3">B5*L5</f>
        <v>0</v>
      </c>
      <c r="W5" s="23">
        <f t="shared" si="3"/>
        <v>0</v>
      </c>
      <c r="X5" s="23">
        <f t="shared" si="3"/>
        <v>9200</v>
      </c>
      <c r="Y5" s="23">
        <f t="shared" si="3"/>
        <v>0</v>
      </c>
      <c r="Z5" s="23">
        <f t="shared" si="3"/>
        <v>5520</v>
      </c>
      <c r="AA5" s="23">
        <f t="shared" si="3"/>
        <v>0</v>
      </c>
      <c r="AB5" s="23">
        <f t="shared" si="3"/>
        <v>7896</v>
      </c>
      <c r="AC5" s="23">
        <f t="shared" si="3"/>
        <v>9900</v>
      </c>
      <c r="AD5" s="23">
        <f t="shared" si="3"/>
        <v>3420</v>
      </c>
      <c r="AE5" s="23">
        <f t="shared" si="3"/>
        <v>0</v>
      </c>
      <c r="AF5" s="24">
        <f t="shared" si="2"/>
        <v>35936</v>
      </c>
    </row>
    <row r="6" spans="1:32" ht="15.75" customHeight="1" x14ac:dyDescent="0.2">
      <c r="A6" s="68">
        <f>DATE(2023,11,4)</f>
        <v>45234</v>
      </c>
      <c r="B6" s="22">
        <v>0</v>
      </c>
      <c r="C6" s="22">
        <v>0</v>
      </c>
      <c r="D6" s="22">
        <v>0</v>
      </c>
      <c r="E6" s="22">
        <v>0</v>
      </c>
      <c r="F6" s="22">
        <v>50</v>
      </c>
      <c r="G6" s="22">
        <v>0</v>
      </c>
      <c r="H6" s="22">
        <v>60</v>
      </c>
      <c r="I6" s="22">
        <v>0</v>
      </c>
      <c r="J6" s="22">
        <v>64</v>
      </c>
      <c r="K6" s="22">
        <v>0</v>
      </c>
      <c r="L6" s="6">
        <f>0.9*SALES!L6</f>
        <v>45</v>
      </c>
      <c r="M6" s="6">
        <f>0.92*SALES!M6</f>
        <v>32.200000000000003</v>
      </c>
      <c r="N6" s="6">
        <f>0.92*SALES!N6</f>
        <v>184</v>
      </c>
      <c r="O6" s="6">
        <f>0.9*SALES!O6</f>
        <v>126</v>
      </c>
      <c r="P6" s="6">
        <f>0.92*SALES!P6</f>
        <v>110.4</v>
      </c>
      <c r="Q6" s="6">
        <f>0.94*SALES!Q6</f>
        <v>40.419999999999995</v>
      </c>
      <c r="R6" s="6">
        <f>0.94*SALES!R6</f>
        <v>131.6</v>
      </c>
      <c r="S6" s="6">
        <f>0.9*SALES!S6</f>
        <v>495</v>
      </c>
      <c r="T6" s="6">
        <f>0.95*SALES!T6</f>
        <v>57</v>
      </c>
      <c r="U6" s="6">
        <f>0.82*SALES!U6</f>
        <v>709.3</v>
      </c>
      <c r="V6" s="23">
        <f t="shared" ref="V6:AE6" si="4">B6*L6</f>
        <v>0</v>
      </c>
      <c r="W6" s="23">
        <f t="shared" si="4"/>
        <v>0</v>
      </c>
      <c r="X6" s="23">
        <f t="shared" si="4"/>
        <v>0</v>
      </c>
      <c r="Y6" s="23">
        <f t="shared" si="4"/>
        <v>0</v>
      </c>
      <c r="Z6" s="23">
        <f t="shared" si="4"/>
        <v>5520</v>
      </c>
      <c r="AA6" s="23">
        <f t="shared" si="4"/>
        <v>0</v>
      </c>
      <c r="AB6" s="23">
        <f t="shared" si="4"/>
        <v>7896</v>
      </c>
      <c r="AC6" s="23">
        <f t="shared" si="4"/>
        <v>0</v>
      </c>
      <c r="AD6" s="23">
        <f t="shared" si="4"/>
        <v>3648</v>
      </c>
      <c r="AE6" s="23">
        <f t="shared" si="4"/>
        <v>0</v>
      </c>
      <c r="AF6" s="24">
        <f t="shared" si="2"/>
        <v>17064</v>
      </c>
    </row>
    <row r="7" spans="1:32" ht="15.75" customHeight="1" x14ac:dyDescent="0.2">
      <c r="A7" s="68">
        <f>DATE(2023,11,5)</f>
        <v>45235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80</v>
      </c>
      <c r="K7" s="22">
        <v>0</v>
      </c>
      <c r="L7" s="6">
        <f>0.9*SALES!L7</f>
        <v>45</v>
      </c>
      <c r="M7" s="6">
        <f>0.92*SALES!M7</f>
        <v>32.200000000000003</v>
      </c>
      <c r="N7" s="6">
        <f>0.92*SALES!N7</f>
        <v>184</v>
      </c>
      <c r="O7" s="6">
        <f>0.9*SALES!O7</f>
        <v>126</v>
      </c>
      <c r="P7" s="6">
        <f>0.92*SALES!P7</f>
        <v>110.4</v>
      </c>
      <c r="Q7" s="6">
        <f>0.94*SALES!Q7</f>
        <v>40.419999999999995</v>
      </c>
      <c r="R7" s="6">
        <f>0.94*SALES!R7</f>
        <v>131.6</v>
      </c>
      <c r="S7" s="6">
        <f>0.9*SALES!S7</f>
        <v>495</v>
      </c>
      <c r="T7" s="6">
        <f>0.95*SALES!T7</f>
        <v>57</v>
      </c>
      <c r="U7" s="6">
        <f>0.82*SALES!U7</f>
        <v>709.3</v>
      </c>
      <c r="V7" s="23">
        <f t="shared" ref="V7:AE7" si="5">B7*L7</f>
        <v>0</v>
      </c>
      <c r="W7" s="23">
        <f t="shared" si="5"/>
        <v>0</v>
      </c>
      <c r="X7" s="23">
        <f t="shared" si="5"/>
        <v>0</v>
      </c>
      <c r="Y7" s="23">
        <f t="shared" si="5"/>
        <v>0</v>
      </c>
      <c r="Z7" s="23">
        <f t="shared" si="5"/>
        <v>0</v>
      </c>
      <c r="AA7" s="23">
        <f t="shared" si="5"/>
        <v>0</v>
      </c>
      <c r="AB7" s="23">
        <f t="shared" si="5"/>
        <v>0</v>
      </c>
      <c r="AC7" s="23">
        <f t="shared" si="5"/>
        <v>0</v>
      </c>
      <c r="AD7" s="23">
        <f t="shared" si="5"/>
        <v>4560</v>
      </c>
      <c r="AE7" s="23">
        <f t="shared" si="5"/>
        <v>0</v>
      </c>
      <c r="AF7" s="24">
        <f t="shared" si="2"/>
        <v>4560</v>
      </c>
    </row>
    <row r="8" spans="1:32" ht="15.75" customHeight="1" x14ac:dyDescent="0.2">
      <c r="A8" s="68">
        <f>DATE(2023,11,6)</f>
        <v>45236</v>
      </c>
      <c r="B8" s="22">
        <v>0</v>
      </c>
      <c r="C8" s="22">
        <v>200</v>
      </c>
      <c r="D8" s="22">
        <v>50</v>
      </c>
      <c r="E8" s="22">
        <v>0</v>
      </c>
      <c r="F8" s="22">
        <v>50</v>
      </c>
      <c r="G8" s="22">
        <v>50</v>
      </c>
      <c r="H8" s="22">
        <v>0</v>
      </c>
      <c r="I8" s="22">
        <v>0</v>
      </c>
      <c r="J8" s="22">
        <v>70</v>
      </c>
      <c r="K8" s="22">
        <v>0</v>
      </c>
      <c r="L8" s="6">
        <f>0.9*SALES!L8</f>
        <v>45</v>
      </c>
      <c r="M8" s="6">
        <f>0.92*SALES!M8</f>
        <v>32.200000000000003</v>
      </c>
      <c r="N8" s="6">
        <f>0.92*SALES!N8</f>
        <v>184</v>
      </c>
      <c r="O8" s="6">
        <f>0.9*SALES!O8</f>
        <v>126</v>
      </c>
      <c r="P8" s="6">
        <f>0.92*SALES!P8</f>
        <v>110.4</v>
      </c>
      <c r="Q8" s="6">
        <f>0.94*SALES!Q8</f>
        <v>40.419999999999995</v>
      </c>
      <c r="R8" s="6">
        <f>0.94*SALES!R8</f>
        <v>131.6</v>
      </c>
      <c r="S8" s="6">
        <f>0.9*SALES!S8</f>
        <v>495</v>
      </c>
      <c r="T8" s="6">
        <f>0.95*SALES!T8</f>
        <v>57</v>
      </c>
      <c r="U8" s="6">
        <f>0.82*SALES!U8</f>
        <v>709.3</v>
      </c>
      <c r="V8" s="23">
        <f t="shared" ref="V8:AE8" si="6">B8*L8</f>
        <v>0</v>
      </c>
      <c r="W8" s="23">
        <f t="shared" si="6"/>
        <v>6440.0000000000009</v>
      </c>
      <c r="X8" s="23">
        <f t="shared" si="6"/>
        <v>9200</v>
      </c>
      <c r="Y8" s="23">
        <f t="shared" si="6"/>
        <v>0</v>
      </c>
      <c r="Z8" s="23">
        <f t="shared" si="6"/>
        <v>5520</v>
      </c>
      <c r="AA8" s="23">
        <f t="shared" si="6"/>
        <v>2020.9999999999998</v>
      </c>
      <c r="AB8" s="23">
        <f t="shared" si="6"/>
        <v>0</v>
      </c>
      <c r="AC8" s="23">
        <f t="shared" si="6"/>
        <v>0</v>
      </c>
      <c r="AD8" s="23">
        <f t="shared" si="6"/>
        <v>3990</v>
      </c>
      <c r="AE8" s="23">
        <f t="shared" si="6"/>
        <v>0</v>
      </c>
      <c r="AF8" s="24">
        <f t="shared" si="2"/>
        <v>27171</v>
      </c>
    </row>
    <row r="9" spans="1:32" ht="15.75" customHeight="1" x14ac:dyDescent="0.2">
      <c r="A9" s="68">
        <f>DATE(2023,11,7)</f>
        <v>45237</v>
      </c>
      <c r="B9" s="22">
        <v>0</v>
      </c>
      <c r="C9" s="22">
        <v>0</v>
      </c>
      <c r="D9" s="22">
        <v>0</v>
      </c>
      <c r="E9" s="22">
        <v>50</v>
      </c>
      <c r="F9" s="22">
        <v>0</v>
      </c>
      <c r="G9" s="22">
        <v>0</v>
      </c>
      <c r="H9" s="22">
        <v>0</v>
      </c>
      <c r="I9" s="22">
        <v>15</v>
      </c>
      <c r="J9" s="22">
        <v>60</v>
      </c>
      <c r="K9" s="22">
        <v>0</v>
      </c>
      <c r="L9" s="6">
        <f>0.9*SALES!L9</f>
        <v>45</v>
      </c>
      <c r="M9" s="6">
        <f>0.92*SALES!M9</f>
        <v>32.200000000000003</v>
      </c>
      <c r="N9" s="6">
        <f>0.92*SALES!N9</f>
        <v>184</v>
      </c>
      <c r="O9" s="6">
        <f>0.9*SALES!O9</f>
        <v>126</v>
      </c>
      <c r="P9" s="6">
        <f>0.92*SALES!P9</f>
        <v>110.4</v>
      </c>
      <c r="Q9" s="6">
        <f>0.94*SALES!Q9</f>
        <v>40.419999999999995</v>
      </c>
      <c r="R9" s="6">
        <f>0.94*SALES!R9</f>
        <v>131.6</v>
      </c>
      <c r="S9" s="6">
        <f>0.9*SALES!S9</f>
        <v>495</v>
      </c>
      <c r="T9" s="6">
        <f>0.95*SALES!T9</f>
        <v>57</v>
      </c>
      <c r="U9" s="6">
        <f>0.82*SALES!U9</f>
        <v>709.3</v>
      </c>
      <c r="V9" s="23">
        <f t="shared" ref="V9:AE9" si="7">B9*L9</f>
        <v>0</v>
      </c>
      <c r="W9" s="23">
        <f t="shared" si="7"/>
        <v>0</v>
      </c>
      <c r="X9" s="23">
        <f t="shared" si="7"/>
        <v>0</v>
      </c>
      <c r="Y9" s="23">
        <f t="shared" si="7"/>
        <v>6300</v>
      </c>
      <c r="Z9" s="23">
        <f t="shared" si="7"/>
        <v>0</v>
      </c>
      <c r="AA9" s="23">
        <f t="shared" si="7"/>
        <v>0</v>
      </c>
      <c r="AB9" s="23">
        <f t="shared" si="7"/>
        <v>0</v>
      </c>
      <c r="AC9" s="23">
        <f t="shared" si="7"/>
        <v>7425</v>
      </c>
      <c r="AD9" s="23">
        <f t="shared" si="7"/>
        <v>3420</v>
      </c>
      <c r="AE9" s="23">
        <f t="shared" si="7"/>
        <v>0</v>
      </c>
      <c r="AF9" s="24">
        <f t="shared" si="2"/>
        <v>17145</v>
      </c>
    </row>
    <row r="10" spans="1:32" ht="15.75" customHeight="1" x14ac:dyDescent="0.2">
      <c r="A10" s="68">
        <f>DATE(2023,11,8)</f>
        <v>45238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60</v>
      </c>
      <c r="K10" s="22">
        <v>0</v>
      </c>
      <c r="L10" s="6">
        <f>0.9*SALES!L10</f>
        <v>45</v>
      </c>
      <c r="M10" s="6">
        <f>0.92*SALES!M10</f>
        <v>32.200000000000003</v>
      </c>
      <c r="N10" s="6">
        <f>0.92*SALES!N10</f>
        <v>184</v>
      </c>
      <c r="O10" s="6">
        <f>0.9*SALES!O10</f>
        <v>126</v>
      </c>
      <c r="P10" s="6">
        <f>0.92*SALES!P10</f>
        <v>110.4</v>
      </c>
      <c r="Q10" s="6">
        <f>0.94*SALES!Q10</f>
        <v>40.419999999999995</v>
      </c>
      <c r="R10" s="6">
        <f>0.94*SALES!R10</f>
        <v>131.6</v>
      </c>
      <c r="S10" s="6">
        <f>0.9*SALES!S10</f>
        <v>495</v>
      </c>
      <c r="T10" s="6">
        <f>0.95*SALES!T10</f>
        <v>57</v>
      </c>
      <c r="U10" s="6">
        <f>0.82*SALES!U10</f>
        <v>709.3</v>
      </c>
      <c r="V10" s="23">
        <f t="shared" ref="V10:AE10" si="8">B10*L10</f>
        <v>0</v>
      </c>
      <c r="W10" s="23">
        <f t="shared" si="8"/>
        <v>0</v>
      </c>
      <c r="X10" s="23">
        <f t="shared" si="8"/>
        <v>0</v>
      </c>
      <c r="Y10" s="23">
        <f t="shared" si="8"/>
        <v>0</v>
      </c>
      <c r="Z10" s="23">
        <f t="shared" si="8"/>
        <v>0</v>
      </c>
      <c r="AA10" s="23">
        <f t="shared" si="8"/>
        <v>0</v>
      </c>
      <c r="AB10" s="23">
        <f t="shared" si="8"/>
        <v>0</v>
      </c>
      <c r="AC10" s="23">
        <f t="shared" si="8"/>
        <v>0</v>
      </c>
      <c r="AD10" s="23">
        <f t="shared" si="8"/>
        <v>3420</v>
      </c>
      <c r="AE10" s="23">
        <f t="shared" si="8"/>
        <v>0</v>
      </c>
      <c r="AF10" s="24">
        <f t="shared" si="2"/>
        <v>3420</v>
      </c>
    </row>
    <row r="11" spans="1:32" ht="15.75" customHeight="1" x14ac:dyDescent="0.2">
      <c r="A11" s="68">
        <f>DATE(2023,11,9)</f>
        <v>45239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20</v>
      </c>
      <c r="I11" s="22">
        <v>0</v>
      </c>
      <c r="J11" s="22">
        <v>80</v>
      </c>
      <c r="K11" s="22">
        <v>0</v>
      </c>
      <c r="L11" s="6">
        <f>0.9*SALES!L11</f>
        <v>45</v>
      </c>
      <c r="M11" s="6">
        <f>0.92*SALES!M11</f>
        <v>32.200000000000003</v>
      </c>
      <c r="N11" s="6">
        <f>0.92*SALES!N11</f>
        <v>184</v>
      </c>
      <c r="O11" s="6">
        <f>0.9*SALES!O11</f>
        <v>126</v>
      </c>
      <c r="P11" s="6">
        <f>0.92*SALES!P11</f>
        <v>110.4</v>
      </c>
      <c r="Q11" s="6">
        <f>0.94*SALES!Q11</f>
        <v>40.419999999999995</v>
      </c>
      <c r="R11" s="6">
        <f>0.94*SALES!R11</f>
        <v>131.6</v>
      </c>
      <c r="S11" s="6">
        <f>0.9*SALES!S11</f>
        <v>495</v>
      </c>
      <c r="T11" s="6">
        <f>0.95*SALES!T11</f>
        <v>57</v>
      </c>
      <c r="U11" s="6">
        <f>0.82*SALES!U11</f>
        <v>709.3</v>
      </c>
      <c r="V11" s="23">
        <f t="shared" ref="V11:AE11" si="9">B11*L11</f>
        <v>0</v>
      </c>
      <c r="W11" s="23">
        <f t="shared" si="9"/>
        <v>0</v>
      </c>
      <c r="X11" s="23">
        <f t="shared" si="9"/>
        <v>0</v>
      </c>
      <c r="Y11" s="23">
        <f t="shared" si="9"/>
        <v>0</v>
      </c>
      <c r="Z11" s="23">
        <f t="shared" si="9"/>
        <v>0</v>
      </c>
      <c r="AA11" s="23">
        <f t="shared" si="9"/>
        <v>0</v>
      </c>
      <c r="AB11" s="23">
        <f t="shared" si="9"/>
        <v>2632</v>
      </c>
      <c r="AC11" s="23">
        <f t="shared" si="9"/>
        <v>0</v>
      </c>
      <c r="AD11" s="23">
        <f t="shared" si="9"/>
        <v>4560</v>
      </c>
      <c r="AE11" s="23">
        <f t="shared" si="9"/>
        <v>0</v>
      </c>
      <c r="AF11" s="24">
        <f t="shared" si="2"/>
        <v>7192</v>
      </c>
    </row>
    <row r="12" spans="1:32" ht="15.75" customHeight="1" x14ac:dyDescent="0.2">
      <c r="A12" s="68">
        <f>DATE(2023,11,10)</f>
        <v>45240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60</v>
      </c>
      <c r="K12" s="22">
        <v>0</v>
      </c>
      <c r="L12" s="6">
        <f>0.9*SALES!L12</f>
        <v>45</v>
      </c>
      <c r="M12" s="6">
        <f>0.92*SALES!M12</f>
        <v>32.200000000000003</v>
      </c>
      <c r="N12" s="6">
        <f>0.92*SALES!N12</f>
        <v>184</v>
      </c>
      <c r="O12" s="6">
        <f>0.9*SALES!O12</f>
        <v>126</v>
      </c>
      <c r="P12" s="6">
        <f>0.92*SALES!P12</f>
        <v>110.4</v>
      </c>
      <c r="Q12" s="6">
        <f>0.94*SALES!Q12</f>
        <v>40.419999999999995</v>
      </c>
      <c r="R12" s="6">
        <f>0.94*SALES!R12</f>
        <v>131.6</v>
      </c>
      <c r="S12" s="6">
        <f>0.9*SALES!S12</f>
        <v>495</v>
      </c>
      <c r="T12" s="6">
        <f>0.95*SALES!T12</f>
        <v>57</v>
      </c>
      <c r="U12" s="6">
        <f>0.82*SALES!U12</f>
        <v>709.3</v>
      </c>
      <c r="V12" s="23">
        <f t="shared" ref="V12:AE12" si="10">B12*L12</f>
        <v>0</v>
      </c>
      <c r="W12" s="23">
        <f t="shared" si="10"/>
        <v>0</v>
      </c>
      <c r="X12" s="23">
        <f t="shared" si="10"/>
        <v>0</v>
      </c>
      <c r="Y12" s="23">
        <f t="shared" si="10"/>
        <v>0</v>
      </c>
      <c r="Z12" s="23">
        <f t="shared" si="10"/>
        <v>0</v>
      </c>
      <c r="AA12" s="23">
        <f t="shared" si="10"/>
        <v>0</v>
      </c>
      <c r="AB12" s="23">
        <f t="shared" si="10"/>
        <v>0</v>
      </c>
      <c r="AC12" s="23">
        <f t="shared" si="10"/>
        <v>0</v>
      </c>
      <c r="AD12" s="23">
        <f t="shared" si="10"/>
        <v>3420</v>
      </c>
      <c r="AE12" s="23">
        <f t="shared" si="10"/>
        <v>0</v>
      </c>
      <c r="AF12" s="24">
        <f t="shared" si="2"/>
        <v>3420</v>
      </c>
    </row>
    <row r="13" spans="1:32" ht="15.75" customHeight="1" x14ac:dyDescent="0.2">
      <c r="A13" s="68">
        <f>DATE(2023,11,11)</f>
        <v>45241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60</v>
      </c>
      <c r="K13" s="22">
        <v>0</v>
      </c>
      <c r="L13" s="6">
        <f>0.9*SALES!L13</f>
        <v>45</v>
      </c>
      <c r="M13" s="6">
        <f>0.92*SALES!M13</f>
        <v>32.200000000000003</v>
      </c>
      <c r="N13" s="6">
        <f>0.92*SALES!N13</f>
        <v>184</v>
      </c>
      <c r="O13" s="6">
        <f>0.9*SALES!O13</f>
        <v>126</v>
      </c>
      <c r="P13" s="6">
        <f>0.92*SALES!P13</f>
        <v>110.4</v>
      </c>
      <c r="Q13" s="6">
        <f>0.94*SALES!Q13</f>
        <v>40.419999999999995</v>
      </c>
      <c r="R13" s="6">
        <f>0.94*SALES!R13</f>
        <v>131.6</v>
      </c>
      <c r="S13" s="6">
        <f>0.9*SALES!S13</f>
        <v>495</v>
      </c>
      <c r="T13" s="6">
        <f>0.95*SALES!T13</f>
        <v>57</v>
      </c>
      <c r="U13" s="6">
        <f>0.82*SALES!U13</f>
        <v>709.3</v>
      </c>
      <c r="V13" s="23">
        <f t="shared" ref="V13:AE13" si="11">B13*L13</f>
        <v>0</v>
      </c>
      <c r="W13" s="23">
        <f t="shared" si="11"/>
        <v>0</v>
      </c>
      <c r="X13" s="23">
        <f t="shared" si="11"/>
        <v>0</v>
      </c>
      <c r="Y13" s="23">
        <f t="shared" si="11"/>
        <v>0</v>
      </c>
      <c r="Z13" s="23">
        <f t="shared" si="11"/>
        <v>0</v>
      </c>
      <c r="AA13" s="23">
        <f t="shared" si="11"/>
        <v>0</v>
      </c>
      <c r="AB13" s="23">
        <f t="shared" si="11"/>
        <v>0</v>
      </c>
      <c r="AC13" s="23">
        <f t="shared" si="11"/>
        <v>0</v>
      </c>
      <c r="AD13" s="23">
        <f t="shared" si="11"/>
        <v>3420</v>
      </c>
      <c r="AE13" s="23">
        <f t="shared" si="11"/>
        <v>0</v>
      </c>
      <c r="AF13" s="24">
        <f t="shared" si="2"/>
        <v>3420</v>
      </c>
    </row>
    <row r="14" spans="1:32" ht="15.75" customHeight="1" x14ac:dyDescent="0.2">
      <c r="A14" s="68">
        <f>DATE(2023,11,12)</f>
        <v>45242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60</v>
      </c>
      <c r="K14" s="22">
        <v>0</v>
      </c>
      <c r="L14" s="6">
        <f>0.9*SALES!L14</f>
        <v>45</v>
      </c>
      <c r="M14" s="6">
        <f>0.92*SALES!M14</f>
        <v>32.200000000000003</v>
      </c>
      <c r="N14" s="6">
        <f>0.92*SALES!N14</f>
        <v>184</v>
      </c>
      <c r="O14" s="6">
        <f>0.9*SALES!O14</f>
        <v>126</v>
      </c>
      <c r="P14" s="6">
        <f>0.92*SALES!P14</f>
        <v>110.4</v>
      </c>
      <c r="Q14" s="6">
        <f>0.94*SALES!Q14</f>
        <v>40.419999999999995</v>
      </c>
      <c r="R14" s="6">
        <f>0.94*SALES!R14</f>
        <v>126.89999999999999</v>
      </c>
      <c r="S14" s="6">
        <f>0.9*SALES!S14</f>
        <v>495</v>
      </c>
      <c r="T14" s="6">
        <f>0.95*SALES!T14</f>
        <v>57</v>
      </c>
      <c r="U14" s="6">
        <f>0.82*SALES!U14</f>
        <v>709.3</v>
      </c>
      <c r="V14" s="23">
        <f t="shared" ref="V14:AE14" si="12">B14*L14</f>
        <v>0</v>
      </c>
      <c r="W14" s="23">
        <f t="shared" si="12"/>
        <v>0</v>
      </c>
      <c r="X14" s="23">
        <f t="shared" si="12"/>
        <v>0</v>
      </c>
      <c r="Y14" s="23">
        <f t="shared" si="12"/>
        <v>0</v>
      </c>
      <c r="Z14" s="23">
        <f t="shared" si="12"/>
        <v>0</v>
      </c>
      <c r="AA14" s="23">
        <f t="shared" si="12"/>
        <v>0</v>
      </c>
      <c r="AB14" s="23">
        <f t="shared" si="12"/>
        <v>0</v>
      </c>
      <c r="AC14" s="23">
        <f t="shared" si="12"/>
        <v>0</v>
      </c>
      <c r="AD14" s="23">
        <f t="shared" si="12"/>
        <v>3420</v>
      </c>
      <c r="AE14" s="23">
        <f t="shared" si="12"/>
        <v>0</v>
      </c>
      <c r="AF14" s="24">
        <f t="shared" si="2"/>
        <v>3420</v>
      </c>
    </row>
    <row r="15" spans="1:32" ht="15.75" customHeight="1" x14ac:dyDescent="0.2">
      <c r="A15" s="68">
        <f>DATE(2023,11,13)</f>
        <v>45243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60</v>
      </c>
      <c r="K15" s="22">
        <v>0</v>
      </c>
      <c r="L15" s="6">
        <f>0.9*SALES!L15</f>
        <v>45</v>
      </c>
      <c r="M15" s="6">
        <f>0.92*SALES!M15</f>
        <v>32.200000000000003</v>
      </c>
      <c r="N15" s="6">
        <f>0.92*SALES!N15</f>
        <v>184</v>
      </c>
      <c r="O15" s="6">
        <f>0.9*SALES!O15</f>
        <v>126</v>
      </c>
      <c r="P15" s="6">
        <f>0.92*SALES!P15</f>
        <v>110.4</v>
      </c>
      <c r="Q15" s="6">
        <f>0.94*SALES!Q15</f>
        <v>40.419999999999995</v>
      </c>
      <c r="R15" s="6">
        <f>0.94*SALES!R15</f>
        <v>126.89999999999999</v>
      </c>
      <c r="S15" s="6">
        <f>0.9*SALES!S15</f>
        <v>495</v>
      </c>
      <c r="T15" s="6">
        <f>0.95*SALES!T15</f>
        <v>57</v>
      </c>
      <c r="U15" s="6">
        <f>0.82*SALES!U15</f>
        <v>709.3</v>
      </c>
      <c r="V15" s="23">
        <f t="shared" ref="V15:AE15" si="13">B15*L15</f>
        <v>0</v>
      </c>
      <c r="W15" s="23">
        <f t="shared" si="13"/>
        <v>0</v>
      </c>
      <c r="X15" s="23">
        <f t="shared" si="13"/>
        <v>0</v>
      </c>
      <c r="Y15" s="23">
        <f t="shared" si="13"/>
        <v>0</v>
      </c>
      <c r="Z15" s="23">
        <f t="shared" si="13"/>
        <v>0</v>
      </c>
      <c r="AA15" s="23">
        <f t="shared" si="13"/>
        <v>0</v>
      </c>
      <c r="AB15" s="23">
        <f t="shared" si="13"/>
        <v>0</v>
      </c>
      <c r="AC15" s="23">
        <f t="shared" si="13"/>
        <v>0</v>
      </c>
      <c r="AD15" s="23">
        <f t="shared" si="13"/>
        <v>3420</v>
      </c>
      <c r="AE15" s="23">
        <f t="shared" si="13"/>
        <v>0</v>
      </c>
      <c r="AF15" s="24">
        <f t="shared" si="2"/>
        <v>3420</v>
      </c>
    </row>
    <row r="16" spans="1:32" ht="15.75" customHeight="1" x14ac:dyDescent="0.2">
      <c r="A16" s="68">
        <f>DATE(2023,11,14)</f>
        <v>45244</v>
      </c>
      <c r="B16" s="22">
        <v>400</v>
      </c>
      <c r="C16" s="22">
        <v>100</v>
      </c>
      <c r="D16" s="22">
        <v>50</v>
      </c>
      <c r="E16" s="22">
        <v>50</v>
      </c>
      <c r="F16" s="22">
        <v>50</v>
      </c>
      <c r="G16" s="22">
        <v>50</v>
      </c>
      <c r="H16" s="22">
        <v>40</v>
      </c>
      <c r="I16" s="22">
        <v>20</v>
      </c>
      <c r="J16" s="22">
        <v>65</v>
      </c>
      <c r="K16" s="22">
        <v>0</v>
      </c>
      <c r="L16" s="6">
        <f>0.9*SALES!L16</f>
        <v>45</v>
      </c>
      <c r="M16" s="6">
        <f>0.92*SALES!M16</f>
        <v>32.200000000000003</v>
      </c>
      <c r="N16" s="6">
        <f>0.92*SALES!N16</f>
        <v>184</v>
      </c>
      <c r="O16" s="6">
        <f>0.9*SALES!O16</f>
        <v>126</v>
      </c>
      <c r="P16" s="6">
        <f>0.92*SALES!P16</f>
        <v>110.4</v>
      </c>
      <c r="Q16" s="6">
        <f>0.94*SALES!Q16</f>
        <v>40.419999999999995</v>
      </c>
      <c r="R16" s="6">
        <f>0.94*SALES!R16</f>
        <v>126.89999999999999</v>
      </c>
      <c r="S16" s="6">
        <f>0.9*SALES!S16</f>
        <v>495</v>
      </c>
      <c r="T16" s="6">
        <f>0.95*SALES!T16</f>
        <v>57</v>
      </c>
      <c r="U16" s="6">
        <f>0.82*SALES!U16</f>
        <v>709.3</v>
      </c>
      <c r="V16" s="23">
        <f t="shared" ref="V16:AE16" si="14">B16*L16</f>
        <v>18000</v>
      </c>
      <c r="W16" s="23">
        <f t="shared" si="14"/>
        <v>3220.0000000000005</v>
      </c>
      <c r="X16" s="23">
        <f t="shared" si="14"/>
        <v>9200</v>
      </c>
      <c r="Y16" s="23">
        <f t="shared" si="14"/>
        <v>6300</v>
      </c>
      <c r="Z16" s="23">
        <f t="shared" si="14"/>
        <v>5520</v>
      </c>
      <c r="AA16" s="23">
        <f t="shared" si="14"/>
        <v>2020.9999999999998</v>
      </c>
      <c r="AB16" s="23">
        <f t="shared" si="14"/>
        <v>5076</v>
      </c>
      <c r="AC16" s="23">
        <f t="shared" si="14"/>
        <v>9900</v>
      </c>
      <c r="AD16" s="23">
        <f t="shared" si="14"/>
        <v>3705</v>
      </c>
      <c r="AE16" s="23">
        <f t="shared" si="14"/>
        <v>0</v>
      </c>
      <c r="AF16" s="24">
        <f t="shared" si="2"/>
        <v>62942</v>
      </c>
    </row>
    <row r="17" spans="1:32" ht="15.75" customHeight="1" x14ac:dyDescent="0.2">
      <c r="A17" s="68">
        <f>DATE(2023,11,15)</f>
        <v>45245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60</v>
      </c>
      <c r="K17" s="22">
        <v>0</v>
      </c>
      <c r="L17" s="6">
        <f>0.9*SALES!L17</f>
        <v>45</v>
      </c>
      <c r="M17" s="6">
        <f>0.92*SALES!M17</f>
        <v>32.200000000000003</v>
      </c>
      <c r="N17" s="6">
        <f>0.92*SALES!N17</f>
        <v>184</v>
      </c>
      <c r="O17" s="6">
        <f>0.9*SALES!O17</f>
        <v>126</v>
      </c>
      <c r="P17" s="6">
        <f>0.92*SALES!P17</f>
        <v>110.4</v>
      </c>
      <c r="Q17" s="6">
        <f>0.94*SALES!Q17</f>
        <v>40.419999999999995</v>
      </c>
      <c r="R17" s="6">
        <f>0.94*SALES!R17</f>
        <v>126.89999999999999</v>
      </c>
      <c r="S17" s="6">
        <f>0.9*SALES!S17</f>
        <v>495</v>
      </c>
      <c r="T17" s="6">
        <f>0.95*SALES!T17</f>
        <v>57</v>
      </c>
      <c r="U17" s="6">
        <f>0.82*SALES!U17</f>
        <v>709.3</v>
      </c>
      <c r="V17" s="23">
        <f t="shared" ref="V17:AE17" si="15">B17*L17</f>
        <v>0</v>
      </c>
      <c r="W17" s="23">
        <f t="shared" si="15"/>
        <v>0</v>
      </c>
      <c r="X17" s="23">
        <f t="shared" si="15"/>
        <v>0</v>
      </c>
      <c r="Y17" s="23">
        <f t="shared" si="15"/>
        <v>0</v>
      </c>
      <c r="Z17" s="23">
        <f t="shared" si="15"/>
        <v>0</v>
      </c>
      <c r="AA17" s="23">
        <f t="shared" si="15"/>
        <v>0</v>
      </c>
      <c r="AB17" s="23">
        <f t="shared" si="15"/>
        <v>0</v>
      </c>
      <c r="AC17" s="23">
        <f t="shared" si="15"/>
        <v>0</v>
      </c>
      <c r="AD17" s="23">
        <f t="shared" si="15"/>
        <v>3420</v>
      </c>
      <c r="AE17" s="23">
        <f t="shared" si="15"/>
        <v>0</v>
      </c>
      <c r="AF17" s="24">
        <f t="shared" si="2"/>
        <v>3420</v>
      </c>
    </row>
    <row r="18" spans="1:32" ht="15.75" customHeight="1" x14ac:dyDescent="0.2">
      <c r="A18" s="68">
        <f>DATE(2023,11,16)</f>
        <v>45246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55</v>
      </c>
      <c r="K18" s="22">
        <v>0</v>
      </c>
      <c r="L18" s="6">
        <f>0.9*SALES!L18</f>
        <v>45</v>
      </c>
      <c r="M18" s="6">
        <f>0.92*SALES!M18</f>
        <v>32.200000000000003</v>
      </c>
      <c r="N18" s="6">
        <f>0.92*SALES!N18</f>
        <v>184</v>
      </c>
      <c r="O18" s="6">
        <f>0.9*SALES!O18</f>
        <v>126</v>
      </c>
      <c r="P18" s="6">
        <f>0.92*SALES!P18</f>
        <v>110.4</v>
      </c>
      <c r="Q18" s="6">
        <f>0.94*SALES!Q18</f>
        <v>40.419999999999995</v>
      </c>
      <c r="R18" s="6">
        <f>0.94*SALES!R18</f>
        <v>126.89999999999999</v>
      </c>
      <c r="S18" s="6">
        <f>0.9*SALES!S18</f>
        <v>495</v>
      </c>
      <c r="T18" s="6">
        <f>0.95*SALES!T18</f>
        <v>57</v>
      </c>
      <c r="U18" s="6">
        <f>0.82*SALES!U18</f>
        <v>709.3</v>
      </c>
      <c r="V18" s="23">
        <f t="shared" ref="V18:AE18" si="16">B18*L18</f>
        <v>0</v>
      </c>
      <c r="W18" s="23">
        <f t="shared" si="16"/>
        <v>0</v>
      </c>
      <c r="X18" s="23">
        <f t="shared" si="16"/>
        <v>0</v>
      </c>
      <c r="Y18" s="23">
        <f t="shared" si="16"/>
        <v>0</v>
      </c>
      <c r="Z18" s="23">
        <f t="shared" si="16"/>
        <v>0</v>
      </c>
      <c r="AA18" s="23">
        <f t="shared" si="16"/>
        <v>0</v>
      </c>
      <c r="AB18" s="23">
        <f t="shared" si="16"/>
        <v>0</v>
      </c>
      <c r="AC18" s="23">
        <f t="shared" si="16"/>
        <v>0</v>
      </c>
      <c r="AD18" s="23">
        <f t="shared" si="16"/>
        <v>3135</v>
      </c>
      <c r="AE18" s="23">
        <f t="shared" si="16"/>
        <v>0</v>
      </c>
      <c r="AF18" s="24">
        <f t="shared" si="2"/>
        <v>3135</v>
      </c>
    </row>
    <row r="19" spans="1:32" ht="15.75" customHeight="1" x14ac:dyDescent="0.2">
      <c r="A19" s="68">
        <f>DATE(2023,11,17)</f>
        <v>45247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55</v>
      </c>
      <c r="K19" s="22">
        <v>0</v>
      </c>
      <c r="L19" s="6">
        <f>0.9*SALES!L19</f>
        <v>45</v>
      </c>
      <c r="M19" s="6">
        <f>0.92*SALES!M19</f>
        <v>32.200000000000003</v>
      </c>
      <c r="N19" s="6">
        <f>0.92*SALES!N19</f>
        <v>184</v>
      </c>
      <c r="O19" s="6">
        <f>0.9*SALES!O19</f>
        <v>126</v>
      </c>
      <c r="P19" s="6">
        <f>0.92*SALES!P19</f>
        <v>110.4</v>
      </c>
      <c r="Q19" s="6">
        <f>0.94*SALES!Q19</f>
        <v>40.419999999999995</v>
      </c>
      <c r="R19" s="6">
        <f>0.94*SALES!R19</f>
        <v>126.89999999999999</v>
      </c>
      <c r="S19" s="6">
        <f>0.9*SALES!S19</f>
        <v>495</v>
      </c>
      <c r="T19" s="6">
        <f>0.95*SALES!T19</f>
        <v>56.05</v>
      </c>
      <c r="U19" s="6">
        <f>0.82*SALES!U19</f>
        <v>709.3</v>
      </c>
      <c r="V19" s="23">
        <f t="shared" ref="V19:AE19" si="17">B19*L19</f>
        <v>0</v>
      </c>
      <c r="W19" s="23">
        <f t="shared" si="17"/>
        <v>0</v>
      </c>
      <c r="X19" s="23">
        <f t="shared" si="17"/>
        <v>0</v>
      </c>
      <c r="Y19" s="23">
        <f t="shared" si="17"/>
        <v>0</v>
      </c>
      <c r="Z19" s="23">
        <f t="shared" si="17"/>
        <v>0</v>
      </c>
      <c r="AA19" s="23">
        <f t="shared" si="17"/>
        <v>0</v>
      </c>
      <c r="AB19" s="23">
        <f t="shared" si="17"/>
        <v>0</v>
      </c>
      <c r="AC19" s="23">
        <f t="shared" si="17"/>
        <v>0</v>
      </c>
      <c r="AD19" s="23">
        <f t="shared" si="17"/>
        <v>3082.75</v>
      </c>
      <c r="AE19" s="23">
        <f t="shared" si="17"/>
        <v>0</v>
      </c>
      <c r="AF19" s="24">
        <f t="shared" si="2"/>
        <v>3082.75</v>
      </c>
    </row>
    <row r="20" spans="1:32" ht="15.75" customHeight="1" x14ac:dyDescent="0.2">
      <c r="A20" s="68">
        <f>DATE(2023,11,18)</f>
        <v>45248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55</v>
      </c>
      <c r="K20" s="22">
        <v>0</v>
      </c>
      <c r="L20" s="6">
        <f>0.9*SALES!L20</f>
        <v>45</v>
      </c>
      <c r="M20" s="6">
        <f>0.92*SALES!M20</f>
        <v>32.200000000000003</v>
      </c>
      <c r="N20" s="6">
        <f>0.92*SALES!N20</f>
        <v>184</v>
      </c>
      <c r="O20" s="6">
        <f>0.9*SALES!O20</f>
        <v>126</v>
      </c>
      <c r="P20" s="6">
        <f>0.92*SALES!P20</f>
        <v>110.4</v>
      </c>
      <c r="Q20" s="6">
        <f>0.94*SALES!Q20</f>
        <v>41.36</v>
      </c>
      <c r="R20" s="6">
        <f>0.94*SALES!R20</f>
        <v>126.89999999999999</v>
      </c>
      <c r="S20" s="6">
        <f>0.9*SALES!S20</f>
        <v>495</v>
      </c>
      <c r="T20" s="6">
        <f>0.95*SALES!T20</f>
        <v>56.05</v>
      </c>
      <c r="U20" s="6">
        <f>0.82*SALES!U20</f>
        <v>709.3</v>
      </c>
      <c r="V20" s="23">
        <f t="shared" ref="V20:AE20" si="18">B20*L20</f>
        <v>0</v>
      </c>
      <c r="W20" s="23">
        <f t="shared" si="18"/>
        <v>0</v>
      </c>
      <c r="X20" s="23">
        <f t="shared" si="18"/>
        <v>0</v>
      </c>
      <c r="Y20" s="23">
        <f t="shared" si="18"/>
        <v>0</v>
      </c>
      <c r="Z20" s="23">
        <f t="shared" si="18"/>
        <v>0</v>
      </c>
      <c r="AA20" s="23">
        <f t="shared" si="18"/>
        <v>0</v>
      </c>
      <c r="AB20" s="23">
        <f t="shared" si="18"/>
        <v>0</v>
      </c>
      <c r="AC20" s="23">
        <f t="shared" si="18"/>
        <v>0</v>
      </c>
      <c r="AD20" s="23">
        <f t="shared" si="18"/>
        <v>3082.75</v>
      </c>
      <c r="AE20" s="23">
        <f t="shared" si="18"/>
        <v>0</v>
      </c>
      <c r="AF20" s="24">
        <f t="shared" si="2"/>
        <v>3082.75</v>
      </c>
    </row>
    <row r="21" spans="1:32" ht="15.75" customHeight="1" x14ac:dyDescent="0.2">
      <c r="A21" s="68">
        <f>DATE(2023,11,19)</f>
        <v>45249</v>
      </c>
      <c r="B21" s="22">
        <v>0</v>
      </c>
      <c r="C21" s="22">
        <v>500</v>
      </c>
      <c r="D21" s="22">
        <v>0</v>
      </c>
      <c r="E21" s="22">
        <v>0</v>
      </c>
      <c r="F21" s="22">
        <v>0</v>
      </c>
      <c r="G21" s="22">
        <v>120</v>
      </c>
      <c r="H21" s="22">
        <v>0</v>
      </c>
      <c r="I21" s="22">
        <v>0</v>
      </c>
      <c r="J21" s="22">
        <v>55</v>
      </c>
      <c r="K21" s="22">
        <v>16</v>
      </c>
      <c r="L21" s="6">
        <f>0.9*SALES!L21</f>
        <v>45</v>
      </c>
      <c r="M21" s="6">
        <f>0.92*SALES!M21</f>
        <v>32.200000000000003</v>
      </c>
      <c r="N21" s="6">
        <f>0.92*SALES!N21</f>
        <v>184</v>
      </c>
      <c r="O21" s="6">
        <f>0.9*SALES!O21</f>
        <v>126</v>
      </c>
      <c r="P21" s="6">
        <f>0.92*SALES!P21</f>
        <v>110.4</v>
      </c>
      <c r="Q21" s="6">
        <f>0.94*SALES!Q21</f>
        <v>44.18</v>
      </c>
      <c r="R21" s="6">
        <f>0.94*SALES!R21</f>
        <v>126.89999999999999</v>
      </c>
      <c r="S21" s="6">
        <f>0.9*SALES!S21</f>
        <v>495</v>
      </c>
      <c r="T21" s="6">
        <f>0.95*SALES!T21</f>
        <v>56.05</v>
      </c>
      <c r="U21" s="6">
        <f>0.82*SALES!U21</f>
        <v>729.8</v>
      </c>
      <c r="V21" s="23">
        <f t="shared" ref="V21:AE21" si="19">B21*L21</f>
        <v>0</v>
      </c>
      <c r="W21" s="23">
        <f t="shared" si="19"/>
        <v>16100.000000000002</v>
      </c>
      <c r="X21" s="23">
        <f t="shared" si="19"/>
        <v>0</v>
      </c>
      <c r="Y21" s="23">
        <f t="shared" si="19"/>
        <v>0</v>
      </c>
      <c r="Z21" s="23">
        <f t="shared" si="19"/>
        <v>0</v>
      </c>
      <c r="AA21" s="23">
        <f t="shared" si="19"/>
        <v>5301.6</v>
      </c>
      <c r="AB21" s="23">
        <f t="shared" si="19"/>
        <v>0</v>
      </c>
      <c r="AC21" s="23">
        <f t="shared" si="19"/>
        <v>0</v>
      </c>
      <c r="AD21" s="23">
        <f t="shared" si="19"/>
        <v>3082.75</v>
      </c>
      <c r="AE21" s="23">
        <f t="shared" si="19"/>
        <v>11676.8</v>
      </c>
      <c r="AF21" s="24">
        <f t="shared" si="2"/>
        <v>36161.15</v>
      </c>
    </row>
    <row r="22" spans="1:32" ht="15.75" customHeight="1" x14ac:dyDescent="0.2">
      <c r="A22" s="68">
        <f>DATE(2023,11,20)</f>
        <v>45250</v>
      </c>
      <c r="B22" s="22">
        <v>900</v>
      </c>
      <c r="C22" s="22">
        <v>0</v>
      </c>
      <c r="D22" s="22">
        <v>140</v>
      </c>
      <c r="E22" s="22">
        <v>60</v>
      </c>
      <c r="F22" s="22">
        <v>100</v>
      </c>
      <c r="G22" s="22">
        <v>160</v>
      </c>
      <c r="H22" s="22">
        <v>0</v>
      </c>
      <c r="I22" s="22">
        <v>0</v>
      </c>
      <c r="J22" s="22">
        <v>55</v>
      </c>
      <c r="K22" s="22">
        <v>0</v>
      </c>
      <c r="L22" s="6">
        <f>0.9*SALES!L22</f>
        <v>45</v>
      </c>
      <c r="M22" s="6">
        <f>0.92*SALES!M22</f>
        <v>32.200000000000003</v>
      </c>
      <c r="N22" s="6">
        <f>0.92*SALES!N22</f>
        <v>184</v>
      </c>
      <c r="O22" s="6">
        <f>0.9*SALES!O22</f>
        <v>126</v>
      </c>
      <c r="P22" s="6">
        <f>0.92*SALES!P22</f>
        <v>110.4</v>
      </c>
      <c r="Q22" s="6">
        <f>0.94*SALES!Q22</f>
        <v>42.3</v>
      </c>
      <c r="R22" s="6">
        <f>0.94*SALES!R22</f>
        <v>126.89999999999999</v>
      </c>
      <c r="S22" s="6">
        <f>0.9*SALES!S22</f>
        <v>495</v>
      </c>
      <c r="T22" s="6">
        <f>0.95*SALES!T22</f>
        <v>56.05</v>
      </c>
      <c r="U22" s="6">
        <f>0.82*SALES!U22</f>
        <v>729.8</v>
      </c>
      <c r="V22" s="23">
        <f t="shared" ref="V22:AE22" si="20">B22*L22</f>
        <v>40500</v>
      </c>
      <c r="W22" s="23">
        <f t="shared" si="20"/>
        <v>0</v>
      </c>
      <c r="X22" s="23">
        <f t="shared" si="20"/>
        <v>25760</v>
      </c>
      <c r="Y22" s="23">
        <f t="shared" si="20"/>
        <v>7560</v>
      </c>
      <c r="Z22" s="23">
        <f t="shared" si="20"/>
        <v>11040</v>
      </c>
      <c r="AA22" s="23">
        <f t="shared" si="20"/>
        <v>6768</v>
      </c>
      <c r="AB22" s="23">
        <f t="shared" si="20"/>
        <v>0</v>
      </c>
      <c r="AC22" s="23">
        <f t="shared" si="20"/>
        <v>0</v>
      </c>
      <c r="AD22" s="23">
        <f t="shared" si="20"/>
        <v>3082.75</v>
      </c>
      <c r="AE22" s="23">
        <f t="shared" si="20"/>
        <v>0</v>
      </c>
      <c r="AF22" s="24">
        <f t="shared" si="2"/>
        <v>94710.75</v>
      </c>
    </row>
    <row r="23" spans="1:32" ht="15.75" customHeight="1" x14ac:dyDescent="0.2">
      <c r="A23" s="68">
        <f>DATE(2023,11,21)</f>
        <v>45251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180</v>
      </c>
      <c r="I23" s="22">
        <v>100</v>
      </c>
      <c r="J23" s="22">
        <v>50</v>
      </c>
      <c r="K23" s="22">
        <v>10</v>
      </c>
      <c r="L23" s="6">
        <f>0.9*SALES!L23</f>
        <v>45</v>
      </c>
      <c r="M23" s="6">
        <f>0.92*SALES!M23</f>
        <v>32.200000000000003</v>
      </c>
      <c r="N23" s="6">
        <f>0.92*SALES!N23</f>
        <v>184</v>
      </c>
      <c r="O23" s="6">
        <f>0.9*SALES!O23</f>
        <v>126</v>
      </c>
      <c r="P23" s="6">
        <f>0.92*SALES!P23</f>
        <v>110.4</v>
      </c>
      <c r="Q23" s="6">
        <f>0.94*SALES!Q23</f>
        <v>42.3</v>
      </c>
      <c r="R23" s="6">
        <f>0.94*SALES!R23</f>
        <v>126.89999999999999</v>
      </c>
      <c r="S23" s="6">
        <f>0.9*SALES!S23</f>
        <v>522</v>
      </c>
      <c r="T23" s="6">
        <f>0.95*SALES!T23</f>
        <v>57</v>
      </c>
      <c r="U23" s="6">
        <f>0.82*SALES!U23</f>
        <v>733.9</v>
      </c>
      <c r="V23" s="23">
        <f t="shared" ref="V23:AE23" si="21">B23*L23</f>
        <v>0</v>
      </c>
      <c r="W23" s="23">
        <f t="shared" si="21"/>
        <v>0</v>
      </c>
      <c r="X23" s="23">
        <f t="shared" si="21"/>
        <v>0</v>
      </c>
      <c r="Y23" s="23">
        <f t="shared" si="21"/>
        <v>0</v>
      </c>
      <c r="Z23" s="23">
        <f t="shared" si="21"/>
        <v>0</v>
      </c>
      <c r="AA23" s="23">
        <f t="shared" si="21"/>
        <v>0</v>
      </c>
      <c r="AB23" s="23">
        <f t="shared" si="21"/>
        <v>22842</v>
      </c>
      <c r="AC23" s="23">
        <f t="shared" si="21"/>
        <v>52200</v>
      </c>
      <c r="AD23" s="23">
        <f t="shared" si="21"/>
        <v>2850</v>
      </c>
      <c r="AE23" s="23">
        <f t="shared" si="21"/>
        <v>7339</v>
      </c>
      <c r="AF23" s="24">
        <f t="shared" si="2"/>
        <v>85231</v>
      </c>
    </row>
    <row r="24" spans="1:32" ht="15.75" customHeight="1" x14ac:dyDescent="0.2">
      <c r="A24" s="68">
        <f>DATE(2023,11,22)</f>
        <v>45252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90</v>
      </c>
      <c r="K24" s="22">
        <v>0</v>
      </c>
      <c r="L24" s="6">
        <f>0.9*SALES!L24</f>
        <v>45</v>
      </c>
      <c r="M24" s="6">
        <f>0.92*SALES!M24</f>
        <v>32.200000000000003</v>
      </c>
      <c r="N24" s="6">
        <f>0.92*SALES!N24</f>
        <v>184</v>
      </c>
      <c r="O24" s="6">
        <f>0.9*SALES!O24</f>
        <v>126</v>
      </c>
      <c r="P24" s="6">
        <f>0.92*SALES!P24</f>
        <v>110.4</v>
      </c>
      <c r="Q24" s="6">
        <f>0.94*SALES!Q24</f>
        <v>42.3</v>
      </c>
      <c r="R24" s="6">
        <f>0.94*SALES!R24</f>
        <v>126.89999999999999</v>
      </c>
      <c r="S24" s="6">
        <f>0.9*SALES!S24</f>
        <v>522</v>
      </c>
      <c r="T24" s="6">
        <f>0.95*SALES!T24</f>
        <v>57</v>
      </c>
      <c r="U24" s="6">
        <f>0.82*SALES!U24</f>
        <v>733.9</v>
      </c>
      <c r="V24" s="23">
        <f t="shared" ref="V24:AE24" si="22">B24*L24</f>
        <v>0</v>
      </c>
      <c r="W24" s="23">
        <f t="shared" si="22"/>
        <v>0</v>
      </c>
      <c r="X24" s="23">
        <f t="shared" si="22"/>
        <v>0</v>
      </c>
      <c r="Y24" s="23">
        <f t="shared" si="22"/>
        <v>0</v>
      </c>
      <c r="Z24" s="23">
        <f t="shared" si="22"/>
        <v>0</v>
      </c>
      <c r="AA24" s="23">
        <f t="shared" si="22"/>
        <v>0</v>
      </c>
      <c r="AB24" s="23">
        <f t="shared" si="22"/>
        <v>0</v>
      </c>
      <c r="AC24" s="23">
        <f t="shared" si="22"/>
        <v>0</v>
      </c>
      <c r="AD24" s="23">
        <f t="shared" si="22"/>
        <v>5130</v>
      </c>
      <c r="AE24" s="23">
        <f t="shared" si="22"/>
        <v>0</v>
      </c>
      <c r="AF24" s="24">
        <f t="shared" si="2"/>
        <v>5130</v>
      </c>
    </row>
    <row r="25" spans="1:32" ht="15.75" customHeight="1" x14ac:dyDescent="0.2">
      <c r="A25" s="68">
        <f>DATE(2023,11,23)</f>
        <v>45253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90</v>
      </c>
      <c r="K25" s="22">
        <v>0</v>
      </c>
      <c r="L25" s="6">
        <f>0.9*SALES!L25</f>
        <v>45</v>
      </c>
      <c r="M25" s="6">
        <f>0.92*SALES!M25</f>
        <v>32.200000000000003</v>
      </c>
      <c r="N25" s="6">
        <f>0.92*SALES!N25</f>
        <v>184</v>
      </c>
      <c r="O25" s="6">
        <f>0.9*SALES!O25</f>
        <v>126</v>
      </c>
      <c r="P25" s="6">
        <f>0.92*SALES!P25</f>
        <v>108.56</v>
      </c>
      <c r="Q25" s="6">
        <f>0.94*SALES!Q25</f>
        <v>42.3</v>
      </c>
      <c r="R25" s="6">
        <f>0.94*SALES!R25</f>
        <v>129.72</v>
      </c>
      <c r="S25" s="6">
        <f>0.9*SALES!S25</f>
        <v>522</v>
      </c>
      <c r="T25" s="6">
        <f>0.95*SALES!T25</f>
        <v>57</v>
      </c>
      <c r="U25" s="6">
        <f>0.82*SALES!U25</f>
        <v>733.9</v>
      </c>
      <c r="V25" s="23">
        <f t="shared" ref="V25:AE25" si="23">B25*L25</f>
        <v>0</v>
      </c>
      <c r="W25" s="23">
        <f t="shared" si="23"/>
        <v>0</v>
      </c>
      <c r="X25" s="23">
        <f t="shared" si="23"/>
        <v>0</v>
      </c>
      <c r="Y25" s="23">
        <f t="shared" si="23"/>
        <v>0</v>
      </c>
      <c r="Z25" s="23">
        <f t="shared" si="23"/>
        <v>0</v>
      </c>
      <c r="AA25" s="23">
        <f t="shared" si="23"/>
        <v>0</v>
      </c>
      <c r="AB25" s="23">
        <f t="shared" si="23"/>
        <v>0</v>
      </c>
      <c r="AC25" s="23">
        <f t="shared" si="23"/>
        <v>0</v>
      </c>
      <c r="AD25" s="23">
        <f t="shared" si="23"/>
        <v>5130</v>
      </c>
      <c r="AE25" s="23">
        <f t="shared" si="23"/>
        <v>0</v>
      </c>
      <c r="AF25" s="24">
        <f t="shared" si="2"/>
        <v>5130</v>
      </c>
    </row>
    <row r="26" spans="1:32" ht="15.75" customHeight="1" x14ac:dyDescent="0.2">
      <c r="A26" s="68">
        <f>DATE(2023,11,24)</f>
        <v>45254</v>
      </c>
      <c r="B26" s="22">
        <v>500</v>
      </c>
      <c r="C26" s="22">
        <v>0</v>
      </c>
      <c r="D26" s="22">
        <v>50</v>
      </c>
      <c r="E26" s="22">
        <v>50</v>
      </c>
      <c r="F26" s="22">
        <v>50</v>
      </c>
      <c r="G26" s="22">
        <v>100</v>
      </c>
      <c r="H26" s="22">
        <v>60</v>
      </c>
      <c r="I26" s="22">
        <v>0</v>
      </c>
      <c r="J26" s="22">
        <v>100</v>
      </c>
      <c r="K26" s="22">
        <v>20</v>
      </c>
      <c r="L26" s="6">
        <f>0.9*SALES!L26</f>
        <v>45</v>
      </c>
      <c r="M26" s="6">
        <f>0.92*SALES!M26</f>
        <v>32.200000000000003</v>
      </c>
      <c r="N26" s="6">
        <f>0.92*SALES!N26</f>
        <v>184</v>
      </c>
      <c r="O26" s="6">
        <f>0.9*SALES!O26</f>
        <v>126</v>
      </c>
      <c r="P26" s="6">
        <f>0.92*SALES!P26</f>
        <v>108.56</v>
      </c>
      <c r="Q26" s="6">
        <f>0.94*SALES!Q26</f>
        <v>42.3</v>
      </c>
      <c r="R26" s="6">
        <f>0.94*SALES!R26</f>
        <v>129.72</v>
      </c>
      <c r="S26" s="6">
        <f>0.9*SALES!S26</f>
        <v>522</v>
      </c>
      <c r="T26" s="6">
        <f>0.95*SALES!T26</f>
        <v>57</v>
      </c>
      <c r="U26" s="6">
        <f>0.82*SALES!U26</f>
        <v>733.9</v>
      </c>
      <c r="V26" s="23">
        <f t="shared" ref="V26:AE26" si="24">B26*L26</f>
        <v>22500</v>
      </c>
      <c r="W26" s="23">
        <f t="shared" si="24"/>
        <v>0</v>
      </c>
      <c r="X26" s="23">
        <f t="shared" si="24"/>
        <v>9200</v>
      </c>
      <c r="Y26" s="23">
        <f t="shared" si="24"/>
        <v>6300</v>
      </c>
      <c r="Z26" s="23">
        <f t="shared" si="24"/>
        <v>5428</v>
      </c>
      <c r="AA26" s="23">
        <f t="shared" si="24"/>
        <v>4230</v>
      </c>
      <c r="AB26" s="23">
        <f t="shared" si="24"/>
        <v>7783.2</v>
      </c>
      <c r="AC26" s="23">
        <f t="shared" si="24"/>
        <v>0</v>
      </c>
      <c r="AD26" s="23">
        <f t="shared" si="24"/>
        <v>5700</v>
      </c>
      <c r="AE26" s="23">
        <f t="shared" si="24"/>
        <v>14678</v>
      </c>
      <c r="AF26" s="24">
        <f t="shared" si="2"/>
        <v>75819.199999999997</v>
      </c>
    </row>
    <row r="27" spans="1:32" ht="15.75" customHeight="1" x14ac:dyDescent="0.2">
      <c r="A27" s="68">
        <f>DATE(2023,11,25)</f>
        <v>45255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100</v>
      </c>
      <c r="K27" s="22">
        <v>0</v>
      </c>
      <c r="L27" s="6">
        <f>0.9*SALES!L27</f>
        <v>45</v>
      </c>
      <c r="M27" s="6">
        <f>0.92*SALES!M27</f>
        <v>32.200000000000003</v>
      </c>
      <c r="N27" s="6">
        <f>0.92*SALES!N27</f>
        <v>184</v>
      </c>
      <c r="O27" s="6">
        <f>0.9*SALES!O27</f>
        <v>126</v>
      </c>
      <c r="P27" s="6">
        <f>0.92*SALES!P27</f>
        <v>108.56</v>
      </c>
      <c r="Q27" s="6">
        <f>0.94*SALES!Q27</f>
        <v>42.3</v>
      </c>
      <c r="R27" s="6">
        <f>0.94*SALES!R27</f>
        <v>129.72</v>
      </c>
      <c r="S27" s="6">
        <f>0.9*SALES!S27</f>
        <v>522</v>
      </c>
      <c r="T27" s="6">
        <f>0.95*SALES!T27</f>
        <v>57</v>
      </c>
      <c r="U27" s="6">
        <f>0.82*SALES!U27</f>
        <v>733.9</v>
      </c>
      <c r="V27" s="23">
        <f t="shared" ref="V27:AE27" si="25">B27*L27</f>
        <v>0</v>
      </c>
      <c r="W27" s="23">
        <f t="shared" si="25"/>
        <v>0</v>
      </c>
      <c r="X27" s="23">
        <f t="shared" si="25"/>
        <v>0</v>
      </c>
      <c r="Y27" s="23">
        <f t="shared" si="25"/>
        <v>0</v>
      </c>
      <c r="Z27" s="23">
        <f t="shared" si="25"/>
        <v>0</v>
      </c>
      <c r="AA27" s="23">
        <f t="shared" si="25"/>
        <v>0</v>
      </c>
      <c r="AB27" s="23">
        <f t="shared" si="25"/>
        <v>0</v>
      </c>
      <c r="AC27" s="23">
        <f t="shared" si="25"/>
        <v>0</v>
      </c>
      <c r="AD27" s="23">
        <f t="shared" si="25"/>
        <v>5700</v>
      </c>
      <c r="AE27" s="23">
        <f t="shared" si="25"/>
        <v>0</v>
      </c>
      <c r="AF27" s="24">
        <f t="shared" si="2"/>
        <v>5700</v>
      </c>
    </row>
    <row r="28" spans="1:32" ht="15.75" customHeight="1" x14ac:dyDescent="0.2">
      <c r="A28" s="68">
        <f>DATE(2023,11,26)</f>
        <v>45256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60</v>
      </c>
      <c r="K28" s="22">
        <v>0</v>
      </c>
      <c r="L28" s="6">
        <f>0.9*SALES!L28</f>
        <v>45</v>
      </c>
      <c r="M28" s="6">
        <f>0.92*SALES!M28</f>
        <v>32.200000000000003</v>
      </c>
      <c r="N28" s="6">
        <f>0.92*SALES!N28</f>
        <v>184</v>
      </c>
      <c r="O28" s="6">
        <f>0.9*SALES!O28</f>
        <v>126.9</v>
      </c>
      <c r="P28" s="6">
        <f>0.92*SALES!P28</f>
        <v>108.56</v>
      </c>
      <c r="Q28" s="6">
        <f>0.94*SALES!Q28</f>
        <v>42.3</v>
      </c>
      <c r="R28" s="6">
        <f>0.94*SALES!R28</f>
        <v>129.72</v>
      </c>
      <c r="S28" s="6">
        <f>0.9*SALES!S28</f>
        <v>522</v>
      </c>
      <c r="T28" s="6">
        <f>0.95*SALES!T28</f>
        <v>57</v>
      </c>
      <c r="U28" s="6">
        <f>0.82*SALES!U28</f>
        <v>733.9</v>
      </c>
      <c r="V28" s="23">
        <f t="shared" ref="V28:AE28" si="26">B28*L28</f>
        <v>0</v>
      </c>
      <c r="W28" s="23">
        <f t="shared" si="26"/>
        <v>0</v>
      </c>
      <c r="X28" s="23">
        <f t="shared" si="26"/>
        <v>0</v>
      </c>
      <c r="Y28" s="23">
        <f t="shared" si="26"/>
        <v>0</v>
      </c>
      <c r="Z28" s="23">
        <f t="shared" si="26"/>
        <v>0</v>
      </c>
      <c r="AA28" s="23">
        <f t="shared" si="26"/>
        <v>0</v>
      </c>
      <c r="AB28" s="23">
        <f t="shared" si="26"/>
        <v>0</v>
      </c>
      <c r="AC28" s="23">
        <f t="shared" si="26"/>
        <v>0</v>
      </c>
      <c r="AD28" s="23">
        <f t="shared" si="26"/>
        <v>3420</v>
      </c>
      <c r="AE28" s="23">
        <f t="shared" si="26"/>
        <v>0</v>
      </c>
      <c r="AF28" s="24">
        <f t="shared" si="2"/>
        <v>3420</v>
      </c>
    </row>
    <row r="29" spans="1:32" ht="15.75" customHeight="1" x14ac:dyDescent="0.2">
      <c r="A29" s="68">
        <f>DATE(2023,11,27)</f>
        <v>45257</v>
      </c>
      <c r="B29" s="22">
        <v>600</v>
      </c>
      <c r="C29" s="22">
        <v>160</v>
      </c>
      <c r="D29" s="22">
        <v>0</v>
      </c>
      <c r="E29" s="22">
        <v>0</v>
      </c>
      <c r="F29" s="22">
        <v>0</v>
      </c>
      <c r="G29" s="22">
        <v>0</v>
      </c>
      <c r="H29" s="22">
        <v>60</v>
      </c>
      <c r="I29" s="22">
        <v>0</v>
      </c>
      <c r="J29" s="22">
        <v>55</v>
      </c>
      <c r="K29" s="22">
        <v>0</v>
      </c>
      <c r="L29" s="6">
        <f>0.9*SALES!L29</f>
        <v>45</v>
      </c>
      <c r="M29" s="6">
        <f>0.92*SALES!M29</f>
        <v>32.200000000000003</v>
      </c>
      <c r="N29" s="6">
        <f>0.92*SALES!N29</f>
        <v>184</v>
      </c>
      <c r="O29" s="6">
        <f>0.9*SALES!O29</f>
        <v>126.9</v>
      </c>
      <c r="P29" s="6">
        <f>0.92*SALES!P29</f>
        <v>108.56</v>
      </c>
      <c r="Q29" s="6">
        <f>0.94*SALES!Q29</f>
        <v>42.3</v>
      </c>
      <c r="R29" s="6">
        <f>0.94*SALES!R29</f>
        <v>129.72</v>
      </c>
      <c r="S29" s="6">
        <f>0.9*SALES!S29</f>
        <v>522</v>
      </c>
      <c r="T29" s="6">
        <f>0.95*SALES!T29</f>
        <v>57</v>
      </c>
      <c r="U29" s="6">
        <f>0.82*SALES!U29</f>
        <v>733.9</v>
      </c>
      <c r="V29" s="23">
        <f t="shared" ref="V29:AE29" si="27">B29*L29</f>
        <v>27000</v>
      </c>
      <c r="W29" s="23">
        <f t="shared" si="27"/>
        <v>5152</v>
      </c>
      <c r="X29" s="23">
        <f t="shared" si="27"/>
        <v>0</v>
      </c>
      <c r="Y29" s="23">
        <f t="shared" si="27"/>
        <v>0</v>
      </c>
      <c r="Z29" s="23">
        <f t="shared" si="27"/>
        <v>0</v>
      </c>
      <c r="AA29" s="23">
        <f t="shared" si="27"/>
        <v>0</v>
      </c>
      <c r="AB29" s="23">
        <f t="shared" si="27"/>
        <v>7783.2</v>
      </c>
      <c r="AC29" s="23">
        <f t="shared" si="27"/>
        <v>0</v>
      </c>
      <c r="AD29" s="23">
        <f t="shared" si="27"/>
        <v>3135</v>
      </c>
      <c r="AE29" s="23">
        <f t="shared" si="27"/>
        <v>0</v>
      </c>
      <c r="AF29" s="24">
        <f t="shared" si="2"/>
        <v>43070.2</v>
      </c>
    </row>
    <row r="30" spans="1:32" ht="15.75" customHeight="1" x14ac:dyDescent="0.2">
      <c r="A30" s="68">
        <f>DATE(2023,11,28)</f>
        <v>45258</v>
      </c>
      <c r="B30" s="22">
        <v>0</v>
      </c>
      <c r="C30" s="22">
        <v>0</v>
      </c>
      <c r="D30" s="22">
        <v>50</v>
      </c>
      <c r="E30" s="22">
        <v>40</v>
      </c>
      <c r="F30" s="22">
        <v>60</v>
      </c>
      <c r="G30" s="22">
        <v>0</v>
      </c>
      <c r="H30" s="22">
        <v>0</v>
      </c>
      <c r="I30" s="22">
        <v>0</v>
      </c>
      <c r="J30" s="22">
        <v>65</v>
      </c>
      <c r="K30" s="22">
        <v>8</v>
      </c>
      <c r="L30" s="6">
        <f>0.9*SALES!L30</f>
        <v>45</v>
      </c>
      <c r="M30" s="6">
        <f>0.92*SALES!M30</f>
        <v>32.200000000000003</v>
      </c>
      <c r="N30" s="6">
        <f>0.92*SALES!N30</f>
        <v>184</v>
      </c>
      <c r="O30" s="6">
        <f>0.9*SALES!O30</f>
        <v>127.8</v>
      </c>
      <c r="P30" s="6">
        <f>0.92*SALES!P30</f>
        <v>108.56</v>
      </c>
      <c r="Q30" s="6">
        <f>0.94*SALES!Q30</f>
        <v>42.3</v>
      </c>
      <c r="R30" s="6">
        <f>0.94*SALES!R30</f>
        <v>129.72</v>
      </c>
      <c r="S30" s="6">
        <f>0.9*SALES!S30</f>
        <v>522</v>
      </c>
      <c r="T30" s="6">
        <f>0.95*SALES!T30</f>
        <v>57</v>
      </c>
      <c r="U30" s="6">
        <f>0.82*SALES!U30</f>
        <v>721.59999999999991</v>
      </c>
      <c r="V30" s="23">
        <f t="shared" ref="V30:AE30" si="28">B30*L30</f>
        <v>0</v>
      </c>
      <c r="W30" s="23">
        <f t="shared" si="28"/>
        <v>0</v>
      </c>
      <c r="X30" s="23">
        <f t="shared" si="28"/>
        <v>9200</v>
      </c>
      <c r="Y30" s="23">
        <f t="shared" si="28"/>
        <v>5112</v>
      </c>
      <c r="Z30" s="23">
        <f t="shared" si="28"/>
        <v>6513.6</v>
      </c>
      <c r="AA30" s="23">
        <f t="shared" si="28"/>
        <v>0</v>
      </c>
      <c r="AB30" s="23">
        <f t="shared" si="28"/>
        <v>0</v>
      </c>
      <c r="AC30" s="23">
        <f t="shared" si="28"/>
        <v>0</v>
      </c>
      <c r="AD30" s="23">
        <f t="shared" si="28"/>
        <v>3705</v>
      </c>
      <c r="AE30" s="23">
        <f t="shared" si="28"/>
        <v>5772.7999999999993</v>
      </c>
      <c r="AF30" s="24">
        <f t="shared" si="2"/>
        <v>30303.399999999998</v>
      </c>
    </row>
    <row r="31" spans="1:32" ht="15.75" customHeight="1" x14ac:dyDescent="0.2">
      <c r="A31" s="68">
        <f>DATE(2023,11,29)</f>
        <v>45259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55</v>
      </c>
      <c r="K31" s="22">
        <v>0</v>
      </c>
      <c r="L31" s="6">
        <f>0.9*SALES!L31</f>
        <v>45</v>
      </c>
      <c r="M31" s="6">
        <f>0.92*SALES!M31</f>
        <v>32.200000000000003</v>
      </c>
      <c r="N31" s="6">
        <f>0.92*SALES!N31</f>
        <v>184</v>
      </c>
      <c r="O31" s="6">
        <f>0.9*SALES!O31</f>
        <v>127.8</v>
      </c>
      <c r="P31" s="6">
        <f>0.92*SALES!P31</f>
        <v>108.56</v>
      </c>
      <c r="Q31" s="6">
        <f>0.94*SALES!Q31</f>
        <v>42.3</v>
      </c>
      <c r="R31" s="6">
        <f>0.94*SALES!R31</f>
        <v>129.72</v>
      </c>
      <c r="S31" s="6">
        <f>0.9*SALES!S31</f>
        <v>522</v>
      </c>
      <c r="T31" s="6">
        <f>0.95*SALES!T31</f>
        <v>57</v>
      </c>
      <c r="U31" s="6">
        <f>0.82*SALES!U31</f>
        <v>721.59999999999991</v>
      </c>
      <c r="V31" s="23">
        <f t="shared" ref="V31:AE31" si="29">B31*L31</f>
        <v>0</v>
      </c>
      <c r="W31" s="23">
        <f t="shared" si="29"/>
        <v>0</v>
      </c>
      <c r="X31" s="23">
        <f t="shared" si="29"/>
        <v>0</v>
      </c>
      <c r="Y31" s="23">
        <f t="shared" si="29"/>
        <v>0</v>
      </c>
      <c r="Z31" s="23">
        <f t="shared" si="29"/>
        <v>0</v>
      </c>
      <c r="AA31" s="23">
        <f t="shared" si="29"/>
        <v>0</v>
      </c>
      <c r="AB31" s="23">
        <f t="shared" si="29"/>
        <v>0</v>
      </c>
      <c r="AC31" s="23">
        <f t="shared" si="29"/>
        <v>0</v>
      </c>
      <c r="AD31" s="23">
        <f t="shared" si="29"/>
        <v>3135</v>
      </c>
      <c r="AE31" s="23">
        <f t="shared" si="29"/>
        <v>0</v>
      </c>
      <c r="AF31" s="24">
        <f t="shared" si="2"/>
        <v>3135</v>
      </c>
    </row>
    <row r="32" spans="1:32" ht="15.75" customHeight="1" x14ac:dyDescent="0.2">
      <c r="A32" s="68">
        <f>DATE(2023,11,30)</f>
        <v>45260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55</v>
      </c>
      <c r="K32" s="22">
        <v>0</v>
      </c>
      <c r="L32" s="6">
        <f>0.9*SALES!L32</f>
        <v>45</v>
      </c>
      <c r="M32" s="6">
        <f>0.92*SALES!M32</f>
        <v>32.200000000000003</v>
      </c>
      <c r="N32" s="6">
        <f>0.92*SALES!N32</f>
        <v>184</v>
      </c>
      <c r="O32" s="6">
        <f>0.9*SALES!O32</f>
        <v>130.5</v>
      </c>
      <c r="P32" s="6">
        <f>0.92*SALES!P32</f>
        <v>108.56</v>
      </c>
      <c r="Q32" s="6">
        <f>0.94*SALES!Q32</f>
        <v>42.3</v>
      </c>
      <c r="R32" s="6">
        <f>0.94*SALES!R32</f>
        <v>129.72</v>
      </c>
      <c r="S32" s="6">
        <f>0.9*SALES!S32</f>
        <v>522</v>
      </c>
      <c r="T32" s="6">
        <f>0.95*SALES!T32</f>
        <v>57</v>
      </c>
      <c r="U32" s="6">
        <f>0.82*SALES!U32</f>
        <v>721.59999999999991</v>
      </c>
      <c r="V32" s="23">
        <f t="shared" ref="V32:AE32" si="30">B32*L32</f>
        <v>0</v>
      </c>
      <c r="W32" s="23">
        <f t="shared" si="30"/>
        <v>0</v>
      </c>
      <c r="X32" s="23">
        <f t="shared" si="30"/>
        <v>0</v>
      </c>
      <c r="Y32" s="23">
        <f t="shared" si="30"/>
        <v>0</v>
      </c>
      <c r="Z32" s="23">
        <f t="shared" si="30"/>
        <v>0</v>
      </c>
      <c r="AA32" s="23">
        <f t="shared" si="30"/>
        <v>0</v>
      </c>
      <c r="AB32" s="23">
        <f t="shared" si="30"/>
        <v>0</v>
      </c>
      <c r="AC32" s="23">
        <f t="shared" si="30"/>
        <v>0</v>
      </c>
      <c r="AD32" s="23">
        <f t="shared" si="30"/>
        <v>3135</v>
      </c>
      <c r="AE32" s="23">
        <f t="shared" si="30"/>
        <v>0</v>
      </c>
      <c r="AF32" s="24">
        <f t="shared" si="2"/>
        <v>3135</v>
      </c>
    </row>
    <row r="33" spans="1:32" ht="15.75" customHeight="1" x14ac:dyDescent="0.2">
      <c r="A33" s="68">
        <f>DATE(2023,12,1)</f>
        <v>45261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55</v>
      </c>
      <c r="K33" s="22">
        <v>0</v>
      </c>
      <c r="L33" s="6">
        <f>0.9*SALES!L33</f>
        <v>45</v>
      </c>
      <c r="M33" s="6">
        <f>0.92*SALES!M33</f>
        <v>32.200000000000003</v>
      </c>
      <c r="N33" s="6">
        <f>0.92*SALES!N33</f>
        <v>184</v>
      </c>
      <c r="O33" s="6">
        <f>0.9*SALES!O33</f>
        <v>130.5</v>
      </c>
      <c r="P33" s="6">
        <f>0.92*SALES!P33</f>
        <v>108.56</v>
      </c>
      <c r="Q33" s="6">
        <f>0.94*SALES!Q33</f>
        <v>42.3</v>
      </c>
      <c r="R33" s="6">
        <f>0.94*SALES!R33</f>
        <v>129.72</v>
      </c>
      <c r="S33" s="6">
        <f>0.9*SALES!S33</f>
        <v>522</v>
      </c>
      <c r="T33" s="6">
        <f>0.95*SALES!T33</f>
        <v>57</v>
      </c>
      <c r="U33" s="6">
        <f>0.82*SALES!U33</f>
        <v>721.59999999999991</v>
      </c>
      <c r="V33" s="23">
        <f t="shared" ref="V33:AE33" si="31">B33*L33</f>
        <v>0</v>
      </c>
      <c r="W33" s="23">
        <f t="shared" si="31"/>
        <v>0</v>
      </c>
      <c r="X33" s="23">
        <f t="shared" si="31"/>
        <v>0</v>
      </c>
      <c r="Y33" s="23">
        <f t="shared" si="31"/>
        <v>0</v>
      </c>
      <c r="Z33" s="23">
        <f t="shared" si="31"/>
        <v>0</v>
      </c>
      <c r="AA33" s="23">
        <f t="shared" si="31"/>
        <v>0</v>
      </c>
      <c r="AB33" s="23">
        <f t="shared" si="31"/>
        <v>0</v>
      </c>
      <c r="AC33" s="23">
        <f t="shared" si="31"/>
        <v>0</v>
      </c>
      <c r="AD33" s="23">
        <f t="shared" si="31"/>
        <v>3135</v>
      </c>
      <c r="AE33" s="23">
        <f t="shared" si="31"/>
        <v>0</v>
      </c>
      <c r="AF33" s="24">
        <f t="shared" si="2"/>
        <v>3135</v>
      </c>
    </row>
    <row r="34" spans="1:32" ht="15.75" customHeight="1" x14ac:dyDescent="0.2">
      <c r="A34" s="4"/>
      <c r="B34" s="4">
        <f t="shared" ref="B34:J34" si="32">SUM(B3:B33)</f>
        <v>2400</v>
      </c>
      <c r="C34" s="4">
        <f t="shared" si="32"/>
        <v>1160</v>
      </c>
      <c r="D34" s="4">
        <f t="shared" si="32"/>
        <v>390</v>
      </c>
      <c r="E34" s="4">
        <f t="shared" si="32"/>
        <v>300</v>
      </c>
      <c r="F34" s="4">
        <f t="shared" si="32"/>
        <v>410</v>
      </c>
      <c r="G34" s="4">
        <f t="shared" si="32"/>
        <v>480</v>
      </c>
      <c r="H34" s="4">
        <f t="shared" si="32"/>
        <v>480</v>
      </c>
      <c r="I34" s="4">
        <f t="shared" si="32"/>
        <v>155</v>
      </c>
      <c r="J34" s="4">
        <f t="shared" si="32"/>
        <v>2005</v>
      </c>
      <c r="K34" s="25" t="s">
        <v>20</v>
      </c>
      <c r="L34" s="26">
        <f t="shared" ref="L34:U34" si="33">SUM(L3:L33)/31</f>
        <v>45</v>
      </c>
      <c r="M34" s="26">
        <f t="shared" si="33"/>
        <v>32.200000000000017</v>
      </c>
      <c r="N34" s="26">
        <f t="shared" si="33"/>
        <v>184</v>
      </c>
      <c r="O34" s="26">
        <f t="shared" si="33"/>
        <v>126.46451612903228</v>
      </c>
      <c r="P34" s="26">
        <f t="shared" si="33"/>
        <v>109.86580645161293</v>
      </c>
      <c r="Q34" s="26">
        <f t="shared" si="33"/>
        <v>41.481290322580627</v>
      </c>
      <c r="R34" s="26">
        <f t="shared" si="33"/>
        <v>129.38645161290319</v>
      </c>
      <c r="S34" s="26">
        <f t="shared" si="33"/>
        <v>504.58064516129031</v>
      </c>
      <c r="T34" s="26">
        <f t="shared" si="33"/>
        <v>56.8774193548387</v>
      </c>
      <c r="U34" s="26">
        <f t="shared" si="33"/>
        <v>716.97096774193528</v>
      </c>
      <c r="V34" s="7">
        <f t="shared" ref="V34:AE34" si="34">SUM(V3:V33)</f>
        <v>108000</v>
      </c>
      <c r="W34" s="7">
        <f t="shared" si="34"/>
        <v>37352</v>
      </c>
      <c r="X34" s="7">
        <f t="shared" si="34"/>
        <v>71760</v>
      </c>
      <c r="Y34" s="7">
        <f t="shared" si="34"/>
        <v>37872</v>
      </c>
      <c r="Z34" s="7">
        <f t="shared" si="34"/>
        <v>45061.599999999999</v>
      </c>
      <c r="AA34" s="7">
        <f t="shared" si="34"/>
        <v>20341.599999999999</v>
      </c>
      <c r="AB34" s="7">
        <f t="shared" si="34"/>
        <v>61908.399999999994</v>
      </c>
      <c r="AC34" s="7">
        <f t="shared" si="34"/>
        <v>79425</v>
      </c>
      <c r="AD34" s="7">
        <f t="shared" si="34"/>
        <v>114076</v>
      </c>
      <c r="AE34" s="7">
        <f t="shared" si="34"/>
        <v>70315</v>
      </c>
      <c r="AF34" s="27">
        <f>SUM(AF3:AF33)</f>
        <v>646111.6</v>
      </c>
    </row>
    <row r="35" spans="1:3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28" t="s">
        <v>21</v>
      </c>
      <c r="L35" s="29">
        <f>SUM(L34:U34)/10</f>
        <v>194.68270967741933</v>
      </c>
      <c r="M35" s="4"/>
      <c r="N35" s="4"/>
      <c r="O35" s="4"/>
      <c r="P35" s="4"/>
      <c r="Q35" s="4"/>
      <c r="R35" s="4"/>
      <c r="S35" s="4"/>
      <c r="T35" s="4"/>
      <c r="U35" s="13" t="s">
        <v>22</v>
      </c>
      <c r="V35" s="30">
        <f>(INVENTORY!B3*L3)</f>
        <v>40500</v>
      </c>
      <c r="W35" s="30">
        <f>(INVENTORY!C3*M3)</f>
        <v>6440.0000000000009</v>
      </c>
      <c r="X35" s="30">
        <f>(INVENTORY!D3*N3)</f>
        <v>14720</v>
      </c>
      <c r="Y35" s="30">
        <f>(INVENTORY!E3*O3)</f>
        <v>6300</v>
      </c>
      <c r="Z35" s="30">
        <f>(INVENTORY!F3*P3)</f>
        <v>15456</v>
      </c>
      <c r="AA35" s="30">
        <f>(INVENTORY!G3*Q3)</f>
        <v>11844</v>
      </c>
      <c r="AB35" s="30">
        <f>(INVENTORY!H3*R3)</f>
        <v>17108</v>
      </c>
      <c r="AC35" s="30">
        <f>(INVENTORY!I3*S3)</f>
        <v>24750</v>
      </c>
      <c r="AD35" s="30">
        <f>(INVENTORY!J3*T3)</f>
        <v>0</v>
      </c>
      <c r="AE35" s="30">
        <f>(INVENTORY!K3*U3)</f>
        <v>4206.5999999999995</v>
      </c>
      <c r="AF35" s="4"/>
    </row>
    <row r="36" spans="1:32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31" t="s">
        <v>23</v>
      </c>
      <c r="V36" s="30">
        <f>INVENTORY!B33*L33</f>
        <v>4680</v>
      </c>
      <c r="W36" s="30">
        <f>INVENTORY!C33*M33</f>
        <v>3348.8</v>
      </c>
      <c r="X36" s="30">
        <f>INVENTORY!D33*N33</f>
        <v>6992</v>
      </c>
      <c r="Y36" s="30">
        <f>INVENTORY!E33*O33</f>
        <v>4306.5</v>
      </c>
      <c r="Z36" s="30">
        <f>INVENTORY!F33*P33</f>
        <v>5645.12</v>
      </c>
      <c r="AA36" s="30">
        <f>INVENTORY!G33*Q33</f>
        <v>2030.3999999999999</v>
      </c>
      <c r="AB36" s="30">
        <f>INVENTORY!H33*R33</f>
        <v>6226.5599999999995</v>
      </c>
      <c r="AC36" s="30">
        <f>INVENTORY!I33*S33</f>
        <v>6264</v>
      </c>
      <c r="AD36" s="30">
        <f>INVENTORY!J33*T33</f>
        <v>0</v>
      </c>
      <c r="AE36" s="30">
        <f>INVENTORY!K33*U33</f>
        <v>2886.3999999999996</v>
      </c>
      <c r="AF36" s="15"/>
    </row>
    <row r="37" spans="1:32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32" t="s">
        <v>24</v>
      </c>
      <c r="V37" s="26">
        <f t="shared" ref="V37:AE37" si="35">V34+V35-V36</f>
        <v>143820</v>
      </c>
      <c r="W37" s="26">
        <f t="shared" si="35"/>
        <v>40443.199999999997</v>
      </c>
      <c r="X37" s="26">
        <f t="shared" si="35"/>
        <v>79488</v>
      </c>
      <c r="Y37" s="26">
        <f t="shared" si="35"/>
        <v>39865.5</v>
      </c>
      <c r="Z37" s="26">
        <f t="shared" si="35"/>
        <v>54872.479999999996</v>
      </c>
      <c r="AA37" s="26">
        <f t="shared" si="35"/>
        <v>30155.199999999997</v>
      </c>
      <c r="AB37" s="26">
        <f t="shared" si="35"/>
        <v>72789.84</v>
      </c>
      <c r="AC37" s="26">
        <f t="shared" si="35"/>
        <v>97911</v>
      </c>
      <c r="AD37" s="26">
        <f t="shared" si="35"/>
        <v>114076</v>
      </c>
      <c r="AE37" s="26">
        <f t="shared" si="35"/>
        <v>71635.200000000012</v>
      </c>
      <c r="AF37" s="33">
        <f>SUM(V37:AE37)</f>
        <v>745056.41999999993</v>
      </c>
    </row>
    <row r="38" spans="1:32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ht="15.75" customHeight="1" x14ac:dyDescent="0.2">
      <c r="A40" s="67" t="s">
        <v>2</v>
      </c>
      <c r="B40" s="67" t="s">
        <v>9</v>
      </c>
      <c r="C40" s="67" t="s">
        <v>25</v>
      </c>
      <c r="D40" s="15"/>
      <c r="E40" s="67" t="s">
        <v>2</v>
      </c>
      <c r="F40" s="87" t="s">
        <v>7</v>
      </c>
      <c r="G40" s="88" t="s">
        <v>25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ht="15.75" customHeight="1" x14ac:dyDescent="0.2">
      <c r="A41" s="68">
        <f>DATE(2023,11,1)</f>
        <v>45231</v>
      </c>
      <c r="B41" s="22">
        <v>0</v>
      </c>
      <c r="C41" s="4">
        <v>155.1</v>
      </c>
      <c r="D41" s="15"/>
      <c r="E41" s="68">
        <f>DATE(2023,11,1)</f>
        <v>45231</v>
      </c>
      <c r="F41" s="4">
        <v>0</v>
      </c>
      <c r="G41" s="4">
        <v>103.04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ht="15.75" customHeight="1" x14ac:dyDescent="0.2">
      <c r="A42" s="68">
        <f>DATE(2023,11,2)</f>
        <v>45232</v>
      </c>
      <c r="B42" s="22">
        <v>0</v>
      </c>
      <c r="C42" s="4">
        <v>155.1</v>
      </c>
      <c r="D42" s="15"/>
      <c r="E42" s="68">
        <f>DATE(2023,11,2)</f>
        <v>45232</v>
      </c>
      <c r="F42" s="4">
        <v>0</v>
      </c>
      <c r="G42" s="4">
        <v>103.04</v>
      </c>
      <c r="H42" s="15"/>
      <c r="I42" s="15"/>
      <c r="J42" s="15"/>
      <c r="K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ht="15.75" customHeight="1" x14ac:dyDescent="0.2">
      <c r="A43" s="68">
        <f>DATE(2023,11,3)</f>
        <v>45233</v>
      </c>
      <c r="B43" s="22">
        <v>60</v>
      </c>
      <c r="C43" s="4">
        <v>155.1</v>
      </c>
      <c r="D43" s="15"/>
      <c r="E43" s="68">
        <f>DATE(2023,11,3)</f>
        <v>45233</v>
      </c>
      <c r="F43" s="4">
        <v>50</v>
      </c>
      <c r="G43" s="4">
        <v>103.04</v>
      </c>
      <c r="H43" s="15"/>
      <c r="I43" s="15"/>
      <c r="J43" s="15"/>
      <c r="K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ht="15.75" customHeight="1" x14ac:dyDescent="0.2">
      <c r="A44" s="68">
        <f>DATE(2023,11,4)</f>
        <v>45234</v>
      </c>
      <c r="B44" s="22">
        <v>60</v>
      </c>
      <c r="C44" s="4">
        <v>155.1</v>
      </c>
      <c r="D44" s="15"/>
      <c r="E44" s="68">
        <f>DATE(2023,11,4)</f>
        <v>45234</v>
      </c>
      <c r="F44" s="4">
        <v>50</v>
      </c>
      <c r="G44" s="4">
        <v>103.04</v>
      </c>
      <c r="H44" s="15"/>
      <c r="I44" s="15"/>
      <c r="J44" s="15"/>
      <c r="K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ht="15.75" customHeight="1" x14ac:dyDescent="0.2">
      <c r="A45" s="68">
        <f>DATE(2023,11,5)</f>
        <v>45235</v>
      </c>
      <c r="B45" s="22">
        <v>0</v>
      </c>
      <c r="C45" s="4">
        <v>155.1</v>
      </c>
      <c r="D45" s="15"/>
      <c r="E45" s="68">
        <f>DATE(2023,11,5)</f>
        <v>45235</v>
      </c>
      <c r="F45" s="4">
        <v>0</v>
      </c>
      <c r="G45" s="4">
        <v>103.04</v>
      </c>
      <c r="H45" s="15"/>
      <c r="I45" s="15"/>
      <c r="J45" s="15"/>
      <c r="K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ht="15.75" customHeight="1" x14ac:dyDescent="0.2">
      <c r="A46" s="68">
        <f>DATE(2023,11,6)</f>
        <v>45236</v>
      </c>
      <c r="B46" s="22">
        <v>0</v>
      </c>
      <c r="C46" s="4">
        <v>155.1</v>
      </c>
      <c r="D46" s="15"/>
      <c r="E46" s="68">
        <f>DATE(2023,11,6)</f>
        <v>45236</v>
      </c>
      <c r="F46" s="4">
        <v>50</v>
      </c>
      <c r="G46" s="4">
        <v>103.04</v>
      </c>
      <c r="H46" s="15"/>
      <c r="I46" s="15"/>
      <c r="J46" s="15"/>
      <c r="K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ht="15.75" customHeight="1" x14ac:dyDescent="0.2">
      <c r="A47" s="68">
        <f>DATE(2023,11,7)</f>
        <v>45237</v>
      </c>
      <c r="B47" s="22">
        <v>0</v>
      </c>
      <c r="C47" s="4">
        <v>152.28</v>
      </c>
      <c r="D47" s="15"/>
      <c r="E47" s="68">
        <f>DATE(2023,11,7)</f>
        <v>45237</v>
      </c>
      <c r="F47" s="4">
        <v>0</v>
      </c>
      <c r="G47" s="4">
        <v>103.04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ht="15.75" customHeight="1" x14ac:dyDescent="0.2">
      <c r="A48" s="68">
        <f>DATE(2023,11,8)</f>
        <v>45238</v>
      </c>
      <c r="B48" s="22">
        <v>0</v>
      </c>
      <c r="C48" s="4">
        <v>152.28</v>
      </c>
      <c r="D48" s="15"/>
      <c r="E48" s="68">
        <f>DATE(2023,11,8)</f>
        <v>45238</v>
      </c>
      <c r="F48" s="4">
        <v>0</v>
      </c>
      <c r="G48" s="4">
        <v>103.04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 ht="15.75" customHeight="1" x14ac:dyDescent="0.2">
      <c r="A49" s="68">
        <f>DATE(2023,11,9)</f>
        <v>45239</v>
      </c>
      <c r="B49" s="22">
        <v>20</v>
      </c>
      <c r="C49" s="4">
        <v>152.28</v>
      </c>
      <c r="D49" s="15"/>
      <c r="E49" s="68">
        <f>DATE(2023,11,9)</f>
        <v>45239</v>
      </c>
      <c r="F49" s="4">
        <v>0</v>
      </c>
      <c r="G49" s="4">
        <v>103.04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 ht="15.75" customHeight="1" x14ac:dyDescent="0.2">
      <c r="A50" s="68">
        <f>DATE(2023,11,10)</f>
        <v>45240</v>
      </c>
      <c r="B50" s="22">
        <v>0</v>
      </c>
      <c r="C50" s="4">
        <v>152.28</v>
      </c>
      <c r="D50" s="15"/>
      <c r="E50" s="68">
        <f>DATE(2023,11,10)</f>
        <v>45240</v>
      </c>
      <c r="F50" s="4">
        <v>0</v>
      </c>
      <c r="G50" s="4">
        <v>103.04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 ht="15.75" customHeight="1" x14ac:dyDescent="0.2">
      <c r="A51" s="68">
        <f>DATE(2023,11,11)</f>
        <v>45241</v>
      </c>
      <c r="B51" s="22">
        <v>0</v>
      </c>
      <c r="C51" s="4">
        <v>148.51999999999998</v>
      </c>
      <c r="D51" s="15"/>
      <c r="E51" s="68">
        <f>DATE(2023,11,11)</f>
        <v>45241</v>
      </c>
      <c r="F51" s="4">
        <v>0</v>
      </c>
      <c r="G51" s="4">
        <v>99.36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 ht="15.75" customHeight="1" x14ac:dyDescent="0.2">
      <c r="A52" s="68">
        <f>DATE(2023,11,12)</f>
        <v>45242</v>
      </c>
      <c r="B52" s="22">
        <v>0</v>
      </c>
      <c r="C52" s="4">
        <v>148.51999999999998</v>
      </c>
      <c r="D52" s="15"/>
      <c r="E52" s="68">
        <f>DATE(2023,11,12)</f>
        <v>45242</v>
      </c>
      <c r="F52" s="4">
        <v>0</v>
      </c>
      <c r="G52" s="4">
        <v>99.36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 ht="15.75" customHeight="1" x14ac:dyDescent="0.2">
      <c r="A53" s="68">
        <f>DATE(2023,11,13)</f>
        <v>45243</v>
      </c>
      <c r="B53" s="22">
        <v>0</v>
      </c>
      <c r="C53" s="4">
        <v>148.51999999999998</v>
      </c>
      <c r="D53" s="15"/>
      <c r="E53" s="68">
        <f>DATE(2023,11,13)</f>
        <v>45243</v>
      </c>
      <c r="F53" s="4">
        <v>0</v>
      </c>
      <c r="G53" s="4">
        <v>99.36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 ht="15.75" customHeight="1" x14ac:dyDescent="0.2">
      <c r="A54" s="68">
        <f>DATE(2023,11,14)</f>
        <v>45244</v>
      </c>
      <c r="B54" s="22">
        <v>40</v>
      </c>
      <c r="C54" s="4">
        <v>148.51999999999998</v>
      </c>
      <c r="D54" s="15"/>
      <c r="E54" s="68">
        <f>DATE(2023,11,14)</f>
        <v>45244</v>
      </c>
      <c r="F54" s="4">
        <v>50</v>
      </c>
      <c r="G54" s="4">
        <v>102.12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 ht="15.75" customHeight="1" x14ac:dyDescent="0.2">
      <c r="A55" s="68">
        <f>DATE(2023,11,15)</f>
        <v>45245</v>
      </c>
      <c r="B55" s="22">
        <v>0</v>
      </c>
      <c r="C55" s="4">
        <v>148.51999999999998</v>
      </c>
      <c r="D55" s="15"/>
      <c r="E55" s="68">
        <f>DATE(2023,11,15)</f>
        <v>45245</v>
      </c>
      <c r="F55" s="4">
        <v>0</v>
      </c>
      <c r="G55" s="4">
        <v>102.12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 ht="15.75" customHeight="1" x14ac:dyDescent="0.2">
      <c r="A56" s="68">
        <f>DATE(2023,11,16)</f>
        <v>45246</v>
      </c>
      <c r="B56" s="22">
        <v>0</v>
      </c>
      <c r="C56" s="4">
        <v>148.51999999999998</v>
      </c>
      <c r="D56" s="15"/>
      <c r="E56" s="68">
        <f>DATE(2023,11,16)</f>
        <v>45246</v>
      </c>
      <c r="F56" s="4">
        <v>0</v>
      </c>
      <c r="G56" s="4">
        <v>102.12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 ht="15.75" customHeight="1" x14ac:dyDescent="0.2">
      <c r="A57" s="68">
        <f>DATE(2023,11,17)</f>
        <v>45247</v>
      </c>
      <c r="B57" s="22">
        <v>0</v>
      </c>
      <c r="C57" s="4">
        <v>148.51999999999998</v>
      </c>
      <c r="D57" s="15"/>
      <c r="E57" s="68">
        <f>DATE(2023,11,17)</f>
        <v>45247</v>
      </c>
      <c r="F57" s="4">
        <v>0</v>
      </c>
      <c r="G57" s="4">
        <v>102.12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 ht="15.75" customHeight="1" x14ac:dyDescent="0.2">
      <c r="A58" s="68">
        <f>DATE(2023,11,18)</f>
        <v>45248</v>
      </c>
      <c r="B58" s="22">
        <v>0</v>
      </c>
      <c r="C58" s="4">
        <v>148.51999999999998</v>
      </c>
      <c r="D58" s="15"/>
      <c r="E58" s="68">
        <f>DATE(2023,11,18)</f>
        <v>45248</v>
      </c>
      <c r="F58" s="4">
        <v>0</v>
      </c>
      <c r="G58" s="4">
        <v>102.12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 ht="15.75" customHeight="1" x14ac:dyDescent="0.2">
      <c r="A59" s="68">
        <f>DATE(2023,11,19)</f>
        <v>45249</v>
      </c>
      <c r="B59" s="22">
        <v>0</v>
      </c>
      <c r="C59" s="4">
        <v>148.51999999999998</v>
      </c>
      <c r="D59" s="15"/>
      <c r="E59" s="68">
        <f>DATE(2023,11,19)</f>
        <v>45249</v>
      </c>
      <c r="F59" s="4">
        <v>0</v>
      </c>
      <c r="G59" s="4">
        <v>102.12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 ht="15.75" customHeight="1" x14ac:dyDescent="0.2">
      <c r="A60" s="68">
        <f>DATE(2023,11,20)</f>
        <v>45250</v>
      </c>
      <c r="B60" s="22">
        <v>0</v>
      </c>
      <c r="C60" s="4">
        <v>148.51999999999998</v>
      </c>
      <c r="D60" s="15"/>
      <c r="E60" s="68">
        <f>DATE(2023,11,20)</f>
        <v>45250</v>
      </c>
      <c r="F60" s="4">
        <v>100</v>
      </c>
      <c r="G60" s="4">
        <v>112.24000000000001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 ht="15.75" customHeight="1" x14ac:dyDescent="0.2">
      <c r="A61" s="68">
        <f>DATE(2023,11,21)</f>
        <v>45251</v>
      </c>
      <c r="B61" s="22">
        <v>180</v>
      </c>
      <c r="C61" s="4">
        <v>133.47999999999999</v>
      </c>
      <c r="D61" s="15"/>
      <c r="E61" s="68">
        <f>DATE(2023,11,21)</f>
        <v>45251</v>
      </c>
      <c r="F61" s="4">
        <v>0</v>
      </c>
      <c r="G61" s="4">
        <v>112.24000000000001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 ht="15.75" customHeight="1" x14ac:dyDescent="0.2">
      <c r="A62" s="68">
        <f>DATE(2023,11,22)</f>
        <v>45252</v>
      </c>
      <c r="B62" s="22">
        <v>0</v>
      </c>
      <c r="C62" s="4">
        <v>133.47999999999999</v>
      </c>
      <c r="D62" s="15"/>
      <c r="E62" s="68">
        <f>DATE(2023,11,22)</f>
        <v>45252</v>
      </c>
      <c r="F62" s="4">
        <v>0</v>
      </c>
      <c r="G62" s="4">
        <v>112.24000000000001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 ht="15.75" customHeight="1" x14ac:dyDescent="0.2">
      <c r="A63" s="68">
        <f>DATE(2023,11,23)</f>
        <v>45253</v>
      </c>
      <c r="B63" s="22">
        <v>0</v>
      </c>
      <c r="C63" s="4">
        <v>122.19999999999999</v>
      </c>
      <c r="D63" s="15"/>
      <c r="E63" s="68">
        <f>DATE(2023,11,23)</f>
        <v>45253</v>
      </c>
      <c r="F63" s="4">
        <v>0</v>
      </c>
      <c r="G63" s="4">
        <v>112.24000000000001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 ht="15.75" customHeight="1" x14ac:dyDescent="0.2">
      <c r="A64" s="68">
        <f>DATE(2023,11,24)</f>
        <v>45254</v>
      </c>
      <c r="B64" s="22">
        <v>60</v>
      </c>
      <c r="C64" s="4">
        <v>122.19999999999999</v>
      </c>
      <c r="D64" s="15"/>
      <c r="E64" s="68">
        <f>DATE(2023,11,24)</f>
        <v>45254</v>
      </c>
      <c r="F64" s="4">
        <v>50</v>
      </c>
      <c r="G64" s="4">
        <v>112.24000000000001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 ht="15.75" customHeight="1" x14ac:dyDescent="0.2">
      <c r="A65" s="68">
        <f>DATE(2023,11,25)</f>
        <v>45255</v>
      </c>
      <c r="B65" s="22">
        <v>0</v>
      </c>
      <c r="C65" s="4">
        <v>122.19999999999999</v>
      </c>
      <c r="D65" s="15"/>
      <c r="E65" s="68">
        <f>DATE(2023,11,25)</f>
        <v>45255</v>
      </c>
      <c r="F65" s="4">
        <v>0</v>
      </c>
      <c r="G65" s="4">
        <v>112.24000000000001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 ht="15.75" customHeight="1" x14ac:dyDescent="0.2">
      <c r="A66" s="68">
        <f>DATE(2023,11,26)</f>
        <v>45256</v>
      </c>
      <c r="B66" s="22">
        <v>0</v>
      </c>
      <c r="C66" s="4">
        <v>122.19999999999999</v>
      </c>
      <c r="D66" s="15"/>
      <c r="E66" s="68">
        <f>DATE(2023,11,26)</f>
        <v>45256</v>
      </c>
      <c r="F66" s="4">
        <v>0</v>
      </c>
      <c r="G66" s="4">
        <v>112.24000000000001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 ht="15.75" customHeight="1" x14ac:dyDescent="0.2">
      <c r="A67" s="68">
        <f>DATE(2023,11,27)</f>
        <v>45257</v>
      </c>
      <c r="B67" s="22">
        <v>60</v>
      </c>
      <c r="C67" s="4">
        <v>122.19999999999999</v>
      </c>
      <c r="D67" s="15"/>
      <c r="E67" s="68">
        <f>DATE(2023,11,27)</f>
        <v>45257</v>
      </c>
      <c r="F67" s="4">
        <v>0</v>
      </c>
      <c r="G67" s="4">
        <v>112.24000000000001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 ht="15.75" customHeight="1" x14ac:dyDescent="0.2">
      <c r="A68" s="68">
        <f>DATE(2023,11,28)</f>
        <v>45258</v>
      </c>
      <c r="B68" s="22">
        <v>0</v>
      </c>
      <c r="C68" s="4">
        <v>122.19999999999999</v>
      </c>
      <c r="D68" s="15"/>
      <c r="E68" s="68">
        <f>DATE(2023,11,28)</f>
        <v>45258</v>
      </c>
      <c r="F68" s="4">
        <v>60</v>
      </c>
      <c r="G68" s="4">
        <v>112.24000000000001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 ht="15.75" customHeight="1" x14ac:dyDescent="0.2">
      <c r="A69" s="68">
        <f>DATE(2023,11,29)</f>
        <v>45259</v>
      </c>
      <c r="B69" s="22">
        <v>0</v>
      </c>
      <c r="C69" s="4">
        <v>122.19999999999999</v>
      </c>
      <c r="D69" s="15"/>
      <c r="E69" s="68">
        <f>DATE(2023,11,29)</f>
        <v>45259</v>
      </c>
      <c r="F69" s="4">
        <v>0</v>
      </c>
      <c r="G69" s="4">
        <v>112.24000000000001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 ht="15.75" customHeight="1" x14ac:dyDescent="0.2">
      <c r="A70" s="68">
        <f>DATE(2023,11,30)</f>
        <v>45260</v>
      </c>
      <c r="B70" s="22">
        <v>0</v>
      </c>
      <c r="C70" s="4">
        <v>132.54</v>
      </c>
      <c r="D70" s="15"/>
      <c r="E70" s="68">
        <f>DATE(2023,11,30)</f>
        <v>45260</v>
      </c>
      <c r="F70" s="4">
        <v>0</v>
      </c>
      <c r="G70" s="4">
        <v>112.24000000000001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 ht="15.75" customHeight="1" x14ac:dyDescent="0.2">
      <c r="A71" s="68">
        <f>DATE(2023,12,1)</f>
        <v>45261</v>
      </c>
      <c r="B71" s="22">
        <v>0</v>
      </c>
      <c r="C71" s="4">
        <v>132.54</v>
      </c>
      <c r="D71" s="15"/>
      <c r="E71" s="68">
        <f>DATE(2023,12,1)</f>
        <v>45261</v>
      </c>
      <c r="F71" s="4">
        <v>0</v>
      </c>
      <c r="G71" s="4">
        <v>108.56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:32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spans="1:32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spans="1:32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spans="1:32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spans="1:32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spans="1:32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spans="1:32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spans="1:32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spans="1:32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spans="1:32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spans="1:32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spans="1:32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spans="1:32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spans="1:32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spans="1:32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spans="1:32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spans="1:32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spans="1:32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spans="1:32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spans="1:32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spans="1:32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spans="1:32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spans="1:32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spans="1:32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spans="1:32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spans="1:32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spans="1:32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spans="1:32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spans="1:32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spans="1:32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spans="1:32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spans="1:32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spans="1:32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spans="1:32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spans="1:32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spans="1:32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spans="1:32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spans="1:32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spans="1:32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spans="1:32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spans="1:32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spans="1:32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spans="1:32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spans="1:32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spans="1:32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spans="1:32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spans="1:32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spans="1:32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spans="1:32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spans="1:32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spans="1:32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spans="1:32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spans="1:32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spans="1:32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spans="1:32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spans="1:32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spans="1:32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spans="1:32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spans="1:32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spans="1:32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spans="1:32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spans="1:32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spans="1:32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spans="1:32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spans="1:32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spans="1:32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spans="1:32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spans="1:32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spans="1:32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spans="1:32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spans="1:32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spans="1:32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spans="1:32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spans="1:32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spans="1:32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spans="1:32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spans="1:32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spans="1:32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spans="1:32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spans="1:32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spans="1:32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spans="1:32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spans="1:32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spans="1:32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spans="1:32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spans="1:32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spans="1:32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spans="1:32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spans="1:32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spans="1:32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spans="1:32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spans="1:32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spans="1:32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spans="1:32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spans="1:32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spans="1:32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spans="1:32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spans="1:32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spans="1:32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spans="1:32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spans="1:32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spans="1:32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spans="1:32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spans="1:32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spans="1:32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spans="1:32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spans="1:32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spans="1:32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spans="1:32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spans="1:32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spans="1:32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spans="1:32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spans="1:32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spans="1:32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spans="1:32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spans="1:32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spans="1:32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spans="1:32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spans="1:32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spans="1:32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spans="1:32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spans="1:32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spans="1:32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spans="1:32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spans="1:32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spans="1:32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spans="1:32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spans="1:32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spans="1:32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spans="1:32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spans="1:32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spans="1:32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spans="1:32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spans="1:32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spans="1:32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spans="1:32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spans="1:32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spans="1:32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spans="1:32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spans="1:32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spans="1:32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spans="1:32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spans="1:32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spans="1:32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spans="1:32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spans="1:32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spans="1:32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spans="1:32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spans="1:32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spans="1:32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spans="1:32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1:32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1:32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1:32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1:32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1:32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1:32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spans="1:32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spans="1:32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spans="1:32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spans="1:32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spans="1:32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spans="1:32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spans="1:32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spans="1:32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spans="1:32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spans="1:32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spans="1:32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1:32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1:32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1:32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1:32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1:32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1:32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1:32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1:32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spans="1:32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spans="1:32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spans="1:32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spans="1:32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spans="1:32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spans="1:32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spans="1:32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spans="1:32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spans="1:32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spans="1:32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spans="1:32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spans="1:32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spans="1:32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spans="1:32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spans="1:32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spans="1:32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spans="1:32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spans="1:32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spans="1:32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spans="1:32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spans="1:32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spans="1:32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spans="1:32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spans="1:32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spans="1:32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spans="1:32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spans="1:32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spans="1:32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spans="1:32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spans="1:32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spans="1:32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spans="1:32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spans="1:32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spans="1:32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spans="1:32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spans="1:32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spans="1:32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spans="1:32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spans="1:32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spans="1:32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spans="1:32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spans="1:32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spans="1:32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spans="1:32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spans="1:32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spans="1:32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spans="1:32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spans="1:32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spans="1:32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spans="1:32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spans="1:32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spans="1:32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spans="1:32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spans="1:32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spans="1:32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spans="1:32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spans="1:32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spans="1:32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spans="1:32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spans="1:32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spans="1:32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spans="1:32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spans="1:32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spans="1:32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spans="1:32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spans="1:32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spans="1:32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spans="1:32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spans="1:32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spans="1:32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spans="1:32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spans="1:32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spans="1:32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spans="1:32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spans="1:32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spans="1:32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spans="1:32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spans="1:32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spans="1:32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spans="1:32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spans="1:32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spans="1:32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spans="1:32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spans="1:32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spans="1:32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spans="1:32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spans="1:32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spans="1:32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spans="1:32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spans="1:32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spans="1:32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spans="1:32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spans="1:32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spans="1:32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spans="1:32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spans="1:32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spans="1:32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spans="1:32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spans="1:32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spans="1:32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spans="1:32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spans="1:32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spans="1:32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spans="1:32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spans="1:32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spans="1:32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spans="1:32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spans="1:32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spans="1:32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spans="1:32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spans="1:32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spans="1:32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spans="1:32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spans="1:32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spans="1:32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spans="1:32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spans="1:32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spans="1:32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spans="1:32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spans="1:32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spans="1:32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spans="1:32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spans="1:32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spans="1:32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spans="1:32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spans="1:32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spans="1:32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spans="1:32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spans="1:32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spans="1:32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spans="1:32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spans="1:32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spans="1:32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spans="1:32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spans="1:32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spans="1:32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spans="1:32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spans="1:32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spans="1:32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spans="1:32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spans="1:32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spans="1:32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spans="1:32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spans="1:32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spans="1:32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spans="1:32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spans="1:32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spans="1:32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spans="1:32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spans="1:32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spans="1:32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spans="1:32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spans="1:32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spans="1:32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spans="1:32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spans="1:32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spans="1:32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spans="1:32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spans="1:32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spans="1:32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spans="1:32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spans="1:32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spans="1:32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spans="1:32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spans="1:32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spans="1:32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spans="1:32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spans="1:32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spans="1:32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spans="1:32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spans="1:32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spans="1:32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spans="1:32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spans="1:32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spans="1:32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spans="1:32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spans="1:32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spans="1:32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spans="1:32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spans="1:32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spans="1:32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spans="1:32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spans="1:32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spans="1:32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spans="1:32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spans="1:32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spans="1:32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spans="1:32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spans="1:32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spans="1:32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spans="1:32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spans="1:32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spans="1:32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spans="1:32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spans="1:32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spans="1:32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spans="1:32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spans="1:32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spans="1:32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spans="1:32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spans="1:32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spans="1:32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spans="1:32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spans="1:32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spans="1:32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spans="1:32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spans="1:32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spans="1:32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spans="1:32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spans="1:32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spans="1:32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spans="1:32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spans="1:32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spans="1:32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spans="1:32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spans="1:32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spans="1:32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spans="1:32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spans="1:32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spans="1:32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spans="1:32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spans="1:32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spans="1:32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spans="1:32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spans="1:32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spans="1:32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spans="1:32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spans="1:32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spans="1:32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spans="1:32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spans="1:32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spans="1:32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spans="1:32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spans="1:32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spans="1:32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spans="1:32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spans="1:32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spans="1:32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spans="1:32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spans="1:32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spans="1:32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spans="1:32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spans="1:32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spans="1:32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spans="1:32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spans="1:32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spans="1:32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spans="1:32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spans="1:32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spans="1:32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spans="1:32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spans="1:32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spans="1:32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spans="1:32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spans="1:32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spans="1:32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spans="1:32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spans="1:32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spans="1:32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spans="1:32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spans="1:32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spans="1:32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spans="1:32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spans="1:32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spans="1:32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spans="1:32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spans="1:32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spans="1:32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spans="1:32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spans="1:32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spans="1:32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spans="1:32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spans="1:32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spans="1:32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spans="1:32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spans="1:32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spans="1:32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spans="1:32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spans="1:32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spans="1:32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spans="1:32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spans="1:32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spans="1:32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spans="1:32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spans="1:32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spans="1:32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spans="1:32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spans="1:32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spans="1:32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spans="1:32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spans="1:32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spans="1:32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spans="1:32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spans="1:32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spans="1:32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spans="1:32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spans="1:32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spans="1:32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spans="1:32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spans="1:32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spans="1:32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spans="1:32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spans="1:32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spans="1:32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spans="1:32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spans="1:32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spans="1:32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spans="1:32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spans="1:32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spans="1:32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spans="1:32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spans="1:32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spans="1:32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spans="1:32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spans="1:32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spans="1:32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spans="1:32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spans="1:32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spans="1:32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spans="1:32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spans="1:32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spans="1:32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spans="1:32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spans="1:32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spans="1:32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spans="1:32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spans="1:32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spans="1:32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spans="1:32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spans="1:32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spans="1:32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spans="1:32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spans="1:32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spans="1:32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spans="1:32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spans="1:32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spans="1:32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spans="1:32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spans="1:32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spans="1:32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spans="1:32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spans="1:32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spans="1:32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spans="1:32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spans="1:32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spans="1:32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spans="1:32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spans="1:32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spans="1:32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spans="1:32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spans="1:32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spans="1:32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spans="1:32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spans="1:32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spans="1:32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spans="1:32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spans="1:32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spans="1:32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spans="1:32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spans="1:32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spans="1:32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spans="1:32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spans="1:32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spans="1:32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spans="1:32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spans="1:32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spans="1:32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spans="1:32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spans="1:32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spans="1:32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spans="1:32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spans="1:32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spans="1:32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spans="1:32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spans="1:32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spans="1:32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spans="1:32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spans="1:32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spans="1:32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spans="1:32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spans="1:32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spans="1:32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spans="1:32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spans="1:32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spans="1:32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spans="1:32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spans="1:32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spans="1:32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spans="1:32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spans="1:32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spans="1:32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spans="1:32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spans="1:32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spans="1:32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spans="1:32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spans="1:32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spans="1:32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spans="1:32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spans="1:32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spans="1:32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spans="1:32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spans="1:32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spans="1:32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spans="1:32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spans="1:32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spans="1:32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spans="1:32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spans="1:32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spans="1:32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spans="1:32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spans="1:32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spans="1:32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spans="1:32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spans="1:32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spans="1:32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spans="1:32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spans="1:32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spans="1:32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spans="1:32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spans="1:32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spans="1:32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spans="1:32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spans="1:32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spans="1:32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spans="1:32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spans="1:32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spans="1:32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spans="1:32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spans="1:32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spans="1:32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spans="1:32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spans="1:32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spans="1:32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spans="1:32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spans="1:32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spans="1:32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spans="1:32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spans="1:32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spans="1:32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spans="1:32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spans="1:32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spans="1:32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spans="1:32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spans="1:32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spans="1:32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spans="1:32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spans="1:32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spans="1:32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spans="1:32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spans="1:32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spans="1:32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spans="1:32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spans="1:32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spans="1:32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spans="1:32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spans="1:32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spans="1:32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spans="1:32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spans="1:32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spans="1:32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spans="1:32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spans="1:32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spans="1:32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spans="1:32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spans="1:32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spans="1:32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spans="1:32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spans="1:32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spans="1:32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spans="1:32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spans="1:32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spans="1:32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spans="1:32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spans="1:32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spans="1:32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spans="1:32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spans="1:32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spans="1:32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spans="1:32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spans="1:32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spans="1:32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spans="1:32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spans="1:32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spans="1:32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spans="1:32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spans="1:32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spans="1:32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spans="1:32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spans="1:32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spans="1:32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spans="1:32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spans="1:32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spans="1:32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spans="1:32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spans="1:32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spans="1:32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spans="1:32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spans="1:32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spans="1:32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spans="1:32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spans="1:32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spans="1:32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spans="1:32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spans="1:32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spans="1:32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spans="1:32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spans="1:32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spans="1:32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spans="1:32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spans="1:32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spans="1:32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spans="1:32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spans="1:32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spans="1:32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spans="1:32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spans="1:32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spans="1:32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spans="1:32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spans="1:32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spans="1:32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spans="1:32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spans="1:32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spans="1:32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spans="1:32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spans="1:32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spans="1:32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spans="1:32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spans="1:32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spans="1:32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spans="1:32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spans="1:32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spans="1:32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spans="1:32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spans="1:32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spans="1:32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spans="1:32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spans="1:32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spans="1:32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spans="1:32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spans="1:32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spans="1:32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spans="1:32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spans="1:32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spans="1:32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spans="1:32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spans="1:32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spans="1:32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spans="1:32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spans="1:32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spans="1:32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spans="1:32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spans="1:32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spans="1:32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spans="1:32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spans="1:32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spans="1:32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spans="1:32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spans="1:32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spans="1:32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spans="1:32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spans="1:32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spans="1:32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spans="1:32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spans="1:32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spans="1:32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spans="1:32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spans="1:32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spans="1:32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spans="1:32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spans="1:32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spans="1:32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spans="1:32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spans="1:32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spans="1:32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spans="1:32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spans="1:32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spans="1:32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spans="1:32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spans="1:32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spans="1:32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spans="1:32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spans="1:32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spans="1:32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spans="1:32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spans="1:32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spans="1:32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spans="1:32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spans="1:32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spans="1:32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spans="1:32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spans="1:32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spans="1:32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spans="1:32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spans="1:32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spans="1:32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spans="1:32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spans="1:32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spans="1:32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spans="1:32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spans="1:32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spans="1:32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spans="1:32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spans="1:32" ht="15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spans="1:32" ht="15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spans="1:32" ht="15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spans="1:32" ht="15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spans="1:32" ht="15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spans="1:32" ht="15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spans="1:32" ht="15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spans="1:32" ht="15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spans="1:32" ht="15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spans="1:32" ht="15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spans="1:32" ht="15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spans="1:32" ht="15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spans="1:32" ht="15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spans="1:32" ht="15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spans="1:32" ht="15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spans="1:32" ht="15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spans="1:32" ht="15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spans="1:32" ht="15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spans="1:32" ht="15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spans="1:32" ht="15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spans="1:32" ht="15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spans="1:32" ht="15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4"/>
  <sheetViews>
    <sheetView tabSelected="1" topLeftCell="A13" workbookViewId="0">
      <selection activeCell="I43" sqref="I43"/>
    </sheetView>
  </sheetViews>
  <sheetFormatPr defaultColWidth="12.5703125" defaultRowHeight="15" customHeight="1" x14ac:dyDescent="0.2"/>
  <cols>
    <col min="1" max="1" width="18.42578125" customWidth="1"/>
    <col min="2" max="2" width="20" bestFit="1" customWidth="1"/>
    <col min="3" max="3" width="22.28515625" bestFit="1" customWidth="1"/>
    <col min="4" max="4" width="20" bestFit="1" customWidth="1"/>
    <col min="5" max="5" width="21.85546875" bestFit="1" customWidth="1"/>
    <col min="6" max="6" width="18.140625" bestFit="1" customWidth="1"/>
    <col min="7" max="7" width="18.42578125" customWidth="1"/>
    <col min="8" max="27" width="14.42578125" customWidth="1"/>
  </cols>
  <sheetData>
    <row r="1" spans="1:27" ht="15.75" customHeight="1" x14ac:dyDescent="0.2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">
      <c r="A2" s="2" t="s">
        <v>32</v>
      </c>
      <c r="B2" s="40">
        <v>40.1225806451613</v>
      </c>
      <c r="C2" s="40">
        <v>28</v>
      </c>
      <c r="D2" s="40">
        <v>165</v>
      </c>
      <c r="E2" s="40">
        <v>120</v>
      </c>
      <c r="F2" s="40">
        <v>105.948387096774</v>
      </c>
      <c r="G2" s="40">
        <v>41.481290322580627</v>
      </c>
      <c r="H2" s="40">
        <v>130</v>
      </c>
      <c r="I2" s="40">
        <v>450</v>
      </c>
      <c r="J2" s="40">
        <v>56.8774193548387</v>
      </c>
      <c r="K2" s="40">
        <v>716.97096774193528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">
      <c r="A3" s="2" t="s">
        <v>33</v>
      </c>
      <c r="B3" s="40">
        <v>50</v>
      </c>
      <c r="C3" s="40">
        <v>35</v>
      </c>
      <c r="D3" s="40">
        <v>200</v>
      </c>
      <c r="E3" s="40">
        <v>141</v>
      </c>
      <c r="F3" s="40">
        <v>119</v>
      </c>
      <c r="G3" s="40">
        <v>44.12903225806452</v>
      </c>
      <c r="H3" s="40">
        <v>138</v>
      </c>
      <c r="I3" s="40">
        <v>561</v>
      </c>
      <c r="J3" s="40">
        <v>59.87096774193548</v>
      </c>
      <c r="K3" s="40">
        <v>874.35483870967744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 x14ac:dyDescent="0.2">
      <c r="A4" s="2" t="s">
        <v>34</v>
      </c>
      <c r="B4" s="40">
        <f t="shared" ref="B4:K4" si="0">B3-B2</f>
        <v>9.8774193548387004</v>
      </c>
      <c r="C4" s="40">
        <f t="shared" si="0"/>
        <v>7</v>
      </c>
      <c r="D4" s="40">
        <f t="shared" si="0"/>
        <v>35</v>
      </c>
      <c r="E4" s="40">
        <f t="shared" si="0"/>
        <v>21</v>
      </c>
      <c r="F4" s="40">
        <f t="shared" si="0"/>
        <v>13.051612903226001</v>
      </c>
      <c r="G4" s="40">
        <f t="shared" si="0"/>
        <v>2.6477419354838929</v>
      </c>
      <c r="H4" s="40">
        <f t="shared" si="0"/>
        <v>8</v>
      </c>
      <c r="I4" s="40">
        <f t="shared" si="0"/>
        <v>111</v>
      </c>
      <c r="J4" s="40">
        <f t="shared" si="0"/>
        <v>2.9935483870967801</v>
      </c>
      <c r="K4" s="40">
        <f t="shared" si="0"/>
        <v>157.38387096774215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">
      <c r="A5" s="2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">
      <c r="A6" s="4"/>
      <c r="B6" s="4"/>
      <c r="C6" s="4"/>
      <c r="D6" s="4"/>
      <c r="E6" s="4"/>
      <c r="F6" s="4"/>
      <c r="G6" s="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">
      <c r="A8" s="2" t="s">
        <v>3</v>
      </c>
      <c r="B8" s="6">
        <f>SALES!V34-PURCHASE!V37</f>
        <v>22480</v>
      </c>
      <c r="C8" s="6">
        <v>166300</v>
      </c>
      <c r="D8" s="18">
        <f>B8/B$18</f>
        <v>0.2204795272793395</v>
      </c>
      <c r="E8" s="41">
        <f t="shared" ref="E8" si="1">C8/C$18</f>
        <v>0.19515824481973973</v>
      </c>
      <c r="F8" s="18">
        <f>B4/B3</f>
        <v>0.197548387096774</v>
      </c>
      <c r="G8" s="42"/>
      <c r="H8" s="18"/>
      <c r="I8" s="18"/>
      <c r="J8" s="18"/>
      <c r="K8" s="18"/>
      <c r="L8" s="18"/>
      <c r="M8" s="18"/>
      <c r="N8" s="18"/>
      <c r="O8" s="18"/>
      <c r="P8" s="18"/>
      <c r="Q8" s="18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">
      <c r="A9" s="2" t="s">
        <v>4</v>
      </c>
      <c r="B9" s="6">
        <f>SALES!W34-PURCHASE!W37</f>
        <v>4216.8000000000029</v>
      </c>
      <c r="C9" s="6">
        <v>44660</v>
      </c>
      <c r="D9" s="18">
        <f t="shared" ref="D9:E9" si="2">B9/B$18</f>
        <v>4.135756541955158E-2</v>
      </c>
      <c r="E9" s="41">
        <f t="shared" si="2"/>
        <v>5.2409905073058184E-2</v>
      </c>
      <c r="F9" s="18">
        <f>C4/C3</f>
        <v>0.2</v>
      </c>
      <c r="G9" s="42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">
      <c r="A10" s="2" t="s">
        <v>5</v>
      </c>
      <c r="B10" s="6">
        <f>SALES!X34-PURCHASE!X37</f>
        <v>9312</v>
      </c>
      <c r="C10" s="6">
        <v>88800</v>
      </c>
      <c r="D10" s="18">
        <f t="shared" ref="D10:E10" si="3">B10/B$18</f>
        <v>9.1330309520694375E-2</v>
      </c>
      <c r="E10" s="41">
        <f t="shared" si="3"/>
        <v>0.10420957390254293</v>
      </c>
      <c r="F10" s="18">
        <f>D4/D3</f>
        <v>0.17499999999999999</v>
      </c>
      <c r="G10" s="4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 x14ac:dyDescent="0.2">
      <c r="A11" s="2" t="s">
        <v>6</v>
      </c>
      <c r="B11" s="6">
        <f>SALES!Y34-PURCHASE!Y37</f>
        <v>6390.5</v>
      </c>
      <c r="C11" s="6">
        <v>46256</v>
      </c>
      <c r="D11" s="18">
        <f>B11/B$18</f>
        <v>6.2676798001717937E-2</v>
      </c>
      <c r="E11" s="41">
        <f t="shared" ref="E11" si="4">C11/C$18</f>
        <v>5.4282860928333621E-2</v>
      </c>
      <c r="F11" s="18">
        <f>E4/E3</f>
        <v>0.14893617021276595</v>
      </c>
      <c r="G11" s="4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 x14ac:dyDescent="0.2">
      <c r="A12" s="2" t="s">
        <v>7</v>
      </c>
      <c r="B12" s="6">
        <f>SALES!Z34-PURCHASE!Z37</f>
        <v>6231.5200000000041</v>
      </c>
      <c r="C12" s="6">
        <v>61104</v>
      </c>
      <c r="D12" s="18">
        <f t="shared" ref="D12:E12" si="5">B12/B$18</f>
        <v>6.1117552661554747E-2</v>
      </c>
      <c r="E12" s="41">
        <f t="shared" si="5"/>
        <v>7.1707452744830882E-2</v>
      </c>
      <c r="F12" s="18">
        <f>F4/F3</f>
        <v>0.10967741935484035</v>
      </c>
      <c r="G12" s="42"/>
      <c r="H12" s="15"/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2">
      <c r="A13" s="2" t="s">
        <v>8</v>
      </c>
      <c r="B13" s="6">
        <f>SALES!AA34-PURCHASE!AA37</f>
        <v>1890.8000000000029</v>
      </c>
      <c r="C13" s="6">
        <v>32046</v>
      </c>
      <c r="D13" s="18">
        <f>B13/B$18</f>
        <v>1.8544603655683976E-2</v>
      </c>
      <c r="E13" s="41">
        <f t="shared" ref="E13" si="6">C13/C$18</f>
        <v>3.7606982041451471E-2</v>
      </c>
      <c r="F13" s="18">
        <f>G4/G3</f>
        <v>6.000000000000049E-2</v>
      </c>
      <c r="G13" s="4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 x14ac:dyDescent="0.4">
      <c r="A14" s="2" t="s">
        <v>9</v>
      </c>
      <c r="B14" s="6">
        <f>SALES!AB34-PURCHASE!AB37</f>
        <v>7110.1600000000035</v>
      </c>
      <c r="C14" s="6">
        <v>79900</v>
      </c>
      <c r="D14" s="18">
        <f t="shared" ref="D14:E14" si="7">B14/B$18</f>
        <v>6.9735085217102727E-2</v>
      </c>
      <c r="E14" s="41">
        <f t="shared" si="7"/>
        <v>9.3765145887535803E-2</v>
      </c>
      <c r="F14" s="18">
        <f>H4/H3</f>
        <v>5.7971014492753624E-2</v>
      </c>
      <c r="G14" s="42"/>
      <c r="H14" s="15"/>
      <c r="I14" s="15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 x14ac:dyDescent="0.2">
      <c r="A15" s="2" t="s">
        <v>10</v>
      </c>
      <c r="B15" s="6">
        <f>SALES!AC34-PURCHASE!AC37</f>
        <v>12579</v>
      </c>
      <c r="C15" s="6">
        <v>110490</v>
      </c>
      <c r="D15" s="18">
        <f t="shared" ref="D15:E15" si="8">B15/B$18</f>
        <v>0.12337241875653077</v>
      </c>
      <c r="E15" s="41">
        <f t="shared" si="8"/>
        <v>0.12966346644698162</v>
      </c>
      <c r="F15" s="18">
        <f>I4/I3</f>
        <v>0.19786096256684493</v>
      </c>
      <c r="G15" s="42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A16" s="2" t="s">
        <v>11</v>
      </c>
      <c r="B16" s="6">
        <f>SALES!AD34-PURCHASE!AD37</f>
        <v>6004</v>
      </c>
      <c r="C16" s="6">
        <v>116603</v>
      </c>
      <c r="D16" s="18">
        <f t="shared" ref="D16:E16" si="9">B16/B$18</f>
        <v>5.8886080150585163E-2</v>
      </c>
      <c r="E16" s="41">
        <f t="shared" si="9"/>
        <v>0.13683726290268258</v>
      </c>
      <c r="F16" s="18">
        <f>J4/J3</f>
        <v>5.00000000000001E-2</v>
      </c>
      <c r="G16" s="42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">
      <c r="A17" s="2" t="s">
        <v>12</v>
      </c>
      <c r="B17" s="6">
        <f>SALES!AE34-PURCHASE!AE37</f>
        <v>25744.799999999988</v>
      </c>
      <c r="C17" s="6">
        <v>105970</v>
      </c>
      <c r="D17" s="18">
        <f t="shared" ref="D17:E17" si="10">B17/B$18</f>
        <v>0.25250005933723918</v>
      </c>
      <c r="E17" s="41">
        <f t="shared" si="10"/>
        <v>0.12435910525284317</v>
      </c>
      <c r="F17" s="18">
        <f>K4/K3</f>
        <v>0.18000000000000024</v>
      </c>
      <c r="G17" s="42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">
      <c r="A18" s="15"/>
      <c r="B18" s="7">
        <f t="shared" ref="B18:C18" si="11">SUM(B8:B17)</f>
        <v>101959.58</v>
      </c>
      <c r="C18" s="7">
        <f t="shared" si="11"/>
        <v>852129</v>
      </c>
      <c r="D18" s="15"/>
      <c r="E18" s="41"/>
      <c r="F18" s="44">
        <f>AVERAGE(F8:F17)</f>
        <v>0.13769939537239798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5"/>
      <c r="X21" s="15"/>
      <c r="Y21" s="15"/>
      <c r="Z21" s="15"/>
      <c r="AA21" s="15"/>
    </row>
    <row r="22" spans="1:27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W22" s="15"/>
      <c r="X22" s="15"/>
      <c r="Y22" s="15"/>
      <c r="Z22" s="15"/>
      <c r="AA22" s="15"/>
    </row>
    <row r="23" spans="1:27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75" customHeight="1" x14ac:dyDescent="0.2">
      <c r="A47" s="2" t="s">
        <v>35</v>
      </c>
      <c r="B47" s="2" t="s">
        <v>38</v>
      </c>
      <c r="C47" s="2" t="s">
        <v>41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75" customHeight="1" x14ac:dyDescent="0.2">
      <c r="A48" s="2" t="s">
        <v>3</v>
      </c>
      <c r="B48" s="45">
        <v>0.2204795272793395</v>
      </c>
      <c r="C48" s="45">
        <f>B48</f>
        <v>0.2204795272793395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75" customHeight="1" x14ac:dyDescent="0.2">
      <c r="A49" s="2" t="s">
        <v>12</v>
      </c>
      <c r="B49" s="18">
        <v>0.25250005933723918</v>
      </c>
      <c r="C49" s="45">
        <f t="shared" ref="C49:C57" si="12">C48+B49</f>
        <v>0.47297958661657868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75" customHeight="1" x14ac:dyDescent="0.2">
      <c r="A50" s="2" t="s">
        <v>10</v>
      </c>
      <c r="B50" s="18">
        <v>0.12337241875653077</v>
      </c>
      <c r="C50" s="45">
        <f t="shared" si="12"/>
        <v>0.59635200537310951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customHeight="1" x14ac:dyDescent="0.2">
      <c r="A51" s="2" t="s">
        <v>5</v>
      </c>
      <c r="B51" s="45">
        <v>9.1330309520694375E-2</v>
      </c>
      <c r="C51" s="45">
        <f t="shared" si="12"/>
        <v>0.68768231489380383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75" customHeight="1" x14ac:dyDescent="0.2">
      <c r="A52" s="2" t="s">
        <v>9</v>
      </c>
      <c r="B52" s="18">
        <v>6.9735085217102727E-2</v>
      </c>
      <c r="C52" s="45">
        <f t="shared" si="12"/>
        <v>0.75741740011090652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75" customHeight="1" x14ac:dyDescent="0.2">
      <c r="A53" s="2" t="s">
        <v>6</v>
      </c>
      <c r="B53" s="45">
        <v>6.2676798001717937E-2</v>
      </c>
      <c r="C53" s="45">
        <f t="shared" si="12"/>
        <v>0.82009419811262441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75" customHeight="1" x14ac:dyDescent="0.2">
      <c r="A54" s="2" t="s">
        <v>7</v>
      </c>
      <c r="B54" s="45">
        <v>6.1117552661554747E-2</v>
      </c>
      <c r="C54" s="45">
        <f t="shared" si="12"/>
        <v>0.88121175077417913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 x14ac:dyDescent="0.2">
      <c r="A55" s="2" t="s">
        <v>4</v>
      </c>
      <c r="B55" s="45">
        <v>4.135756541955158E-2</v>
      </c>
      <c r="C55" s="45">
        <f t="shared" si="12"/>
        <v>0.92256931619373073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75" customHeight="1" x14ac:dyDescent="0.2">
      <c r="A56" s="2" t="s">
        <v>11</v>
      </c>
      <c r="B56" s="18">
        <v>5.8886080150585163E-2</v>
      </c>
      <c r="C56" s="45">
        <f t="shared" si="12"/>
        <v>0.98145539634431589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 x14ac:dyDescent="0.2">
      <c r="A57" s="2" t="s">
        <v>8</v>
      </c>
      <c r="B57" s="18">
        <v>1.8544603655683976E-2</v>
      </c>
      <c r="C57" s="45">
        <f t="shared" si="12"/>
        <v>0.99999999999999989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 x14ac:dyDescent="0.2">
      <c r="A62" s="2" t="s">
        <v>35</v>
      </c>
      <c r="B62" s="72" t="s">
        <v>100</v>
      </c>
      <c r="C62" s="2" t="s">
        <v>97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 x14ac:dyDescent="0.2">
      <c r="A63" s="2" t="s">
        <v>3</v>
      </c>
      <c r="B63" s="45">
        <v>0.19515824481973973</v>
      </c>
      <c r="C63" s="45">
        <f>B63</f>
        <v>0.19515824481973973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 x14ac:dyDescent="0.2">
      <c r="A64" s="2" t="s">
        <v>11</v>
      </c>
      <c r="B64" s="45">
        <v>0.15835483608115816</v>
      </c>
      <c r="C64" s="45">
        <f t="shared" ref="C64:C72" si="13">C63+B64</f>
        <v>0.35351308090089789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 x14ac:dyDescent="0.2">
      <c r="A65" s="2" t="s">
        <v>12</v>
      </c>
      <c r="B65" s="45">
        <v>0.11675313034739386</v>
      </c>
      <c r="C65" s="45">
        <f t="shared" si="13"/>
        <v>0.47026621124829177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 x14ac:dyDescent="0.2">
      <c r="A66" s="2" t="s">
        <v>9</v>
      </c>
      <c r="B66" s="45">
        <v>0.11406958741885542</v>
      </c>
      <c r="C66" s="45">
        <f t="shared" si="13"/>
        <v>0.58433579866714713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 x14ac:dyDescent="0.2">
      <c r="A67" s="2" t="s">
        <v>10</v>
      </c>
      <c r="B67" s="45">
        <v>0.1126721351549556</v>
      </c>
      <c r="C67" s="45">
        <f t="shared" si="13"/>
        <v>0.69700793382210269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 x14ac:dyDescent="0.2">
      <c r="A68" s="2" t="s">
        <v>7</v>
      </c>
      <c r="B68" s="45">
        <v>8.0432952168835045E-2</v>
      </c>
      <c r="C68" s="45">
        <f t="shared" si="13"/>
        <v>0.77744088599093775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 x14ac:dyDescent="0.2">
      <c r="A69" s="2" t="s">
        <v>4</v>
      </c>
      <c r="B69" s="45">
        <v>7.1274139663742297E-2</v>
      </c>
      <c r="C69" s="45">
        <f t="shared" si="13"/>
        <v>0.84871502565468004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 x14ac:dyDescent="0.2">
      <c r="A70" s="2" t="s">
        <v>5</v>
      </c>
      <c r="B70" s="45">
        <v>6.2399999999999997E-2</v>
      </c>
      <c r="C70" s="45">
        <f t="shared" si="13"/>
        <v>0.91111502565468006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 x14ac:dyDescent="0.2">
      <c r="A71" s="2" t="s">
        <v>6</v>
      </c>
      <c r="B71" s="45">
        <v>4.8899999999999999E-2</v>
      </c>
      <c r="C71" s="45">
        <f t="shared" si="13"/>
        <v>0.96001502565468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 x14ac:dyDescent="0.2">
      <c r="A72" s="2" t="s">
        <v>8</v>
      </c>
      <c r="B72" s="45">
        <v>0.04</v>
      </c>
      <c r="C72" s="45">
        <f t="shared" si="13"/>
        <v>1.00001502565468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 x14ac:dyDescent="0.2">
      <c r="A84" s="2" t="s">
        <v>2</v>
      </c>
      <c r="B84" s="2" t="s">
        <v>42</v>
      </c>
      <c r="C84" s="2" t="s">
        <v>98</v>
      </c>
      <c r="D84" s="2" t="s">
        <v>43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 x14ac:dyDescent="0.2">
      <c r="A85" s="3">
        <f>DATE(2023,11,1)</f>
        <v>45231</v>
      </c>
      <c r="B85" s="83">
        <v>47505</v>
      </c>
      <c r="C85" s="83">
        <v>34268.399999999994</v>
      </c>
      <c r="D85" s="15">
        <f t="shared" ref="D85:D115" si="14">B85-C85</f>
        <v>13236.600000000006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 x14ac:dyDescent="0.2">
      <c r="A86" s="3">
        <f>DATE(2023,11,2)</f>
        <v>45232</v>
      </c>
      <c r="B86" s="83">
        <v>40895</v>
      </c>
      <c r="C86" s="83">
        <v>15932</v>
      </c>
      <c r="D86" s="15">
        <f t="shared" si="14"/>
        <v>24963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 x14ac:dyDescent="0.2">
      <c r="A87" s="3">
        <f>DATE(2023,11,3)</f>
        <v>45233</v>
      </c>
      <c r="B87" s="83">
        <v>37725</v>
      </c>
      <c r="C87" s="83">
        <v>35936</v>
      </c>
      <c r="D87" s="15">
        <f t="shared" si="14"/>
        <v>1789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 x14ac:dyDescent="0.2">
      <c r="A88" s="3">
        <f>DATE(2023,11,4)</f>
        <v>45234</v>
      </c>
      <c r="B88" s="83">
        <v>40791</v>
      </c>
      <c r="C88" s="83">
        <v>17064</v>
      </c>
      <c r="D88" s="15">
        <f t="shared" si="14"/>
        <v>23727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 x14ac:dyDescent="0.2">
      <c r="A89" s="3">
        <f>DATE(2023,11,5)</f>
        <v>45235</v>
      </c>
      <c r="B89" s="83">
        <v>38564</v>
      </c>
      <c r="C89" s="83">
        <v>4560</v>
      </c>
      <c r="D89" s="15">
        <f t="shared" si="14"/>
        <v>34004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 x14ac:dyDescent="0.2">
      <c r="A90" s="3">
        <f>DATE(2023,11,6)</f>
        <v>45236</v>
      </c>
      <c r="B90" s="83">
        <v>15750</v>
      </c>
      <c r="C90" s="83">
        <v>27171</v>
      </c>
      <c r="D90" s="15">
        <f t="shared" si="14"/>
        <v>-11421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75" customHeight="1" x14ac:dyDescent="0.2">
      <c r="A91" s="3">
        <f>DATE(2023,11,7)</f>
        <v>45237</v>
      </c>
      <c r="B91" s="83">
        <v>13994</v>
      </c>
      <c r="C91" s="83">
        <v>17145</v>
      </c>
      <c r="D91" s="15">
        <f t="shared" si="14"/>
        <v>-3151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75" customHeight="1" x14ac:dyDescent="0.2">
      <c r="A92" s="3">
        <f>DATE(2023,11,8)</f>
        <v>45238</v>
      </c>
      <c r="B92" s="83">
        <v>15945</v>
      </c>
      <c r="C92" s="83">
        <v>3420</v>
      </c>
      <c r="D92" s="15">
        <f t="shared" si="14"/>
        <v>12525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75" customHeight="1" x14ac:dyDescent="0.2">
      <c r="A93" s="3">
        <f>DATE(2023,11,9)</f>
        <v>45239</v>
      </c>
      <c r="B93" s="83">
        <v>17848</v>
      </c>
      <c r="C93" s="83">
        <v>7192</v>
      </c>
      <c r="D93" s="15">
        <f t="shared" si="14"/>
        <v>10656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75" customHeight="1" x14ac:dyDescent="0.2">
      <c r="A94" s="3">
        <f>DATE(2023,11,10)</f>
        <v>45240</v>
      </c>
      <c r="B94" s="83">
        <v>13219</v>
      </c>
      <c r="C94" s="83">
        <v>3420</v>
      </c>
      <c r="D94" s="15">
        <f t="shared" si="14"/>
        <v>9799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75" customHeight="1" x14ac:dyDescent="0.2">
      <c r="A95" s="3">
        <f>DATE(2023,11,11)</f>
        <v>45241</v>
      </c>
      <c r="B95" s="83">
        <v>13964</v>
      </c>
      <c r="C95" s="83">
        <v>3420</v>
      </c>
      <c r="D95" s="15">
        <f t="shared" si="14"/>
        <v>10544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 x14ac:dyDescent="0.2">
      <c r="A96" s="3">
        <f>DATE(2023,11,12)</f>
        <v>45242</v>
      </c>
      <c r="B96" s="83">
        <v>12828</v>
      </c>
      <c r="C96" s="83">
        <v>3420</v>
      </c>
      <c r="D96" s="15">
        <f t="shared" si="14"/>
        <v>9408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75" customHeight="1" x14ac:dyDescent="0.2">
      <c r="A97" s="3">
        <f>DATE(2023,11,13)</f>
        <v>45243</v>
      </c>
      <c r="B97" s="83">
        <v>11955</v>
      </c>
      <c r="C97" s="83">
        <v>3420</v>
      </c>
      <c r="D97" s="15">
        <f t="shared" si="14"/>
        <v>8535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75" customHeight="1" x14ac:dyDescent="0.2">
      <c r="A98" s="3">
        <f>DATE(2023,11,14)</f>
        <v>45244</v>
      </c>
      <c r="B98" s="83">
        <v>18621</v>
      </c>
      <c r="C98" s="83">
        <v>62942</v>
      </c>
      <c r="D98" s="15">
        <f t="shared" si="14"/>
        <v>-44321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75" customHeight="1" x14ac:dyDescent="0.2">
      <c r="A99" s="3">
        <f>DATE(2023,11,15)</f>
        <v>45245</v>
      </c>
      <c r="B99" s="83">
        <v>12677</v>
      </c>
      <c r="C99" s="83">
        <v>3420</v>
      </c>
      <c r="D99" s="15">
        <f t="shared" si="14"/>
        <v>9257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75" customHeight="1" x14ac:dyDescent="0.2">
      <c r="A100" s="3">
        <f>DATE(2023,11,16)</f>
        <v>45246</v>
      </c>
      <c r="B100" s="83">
        <v>13207</v>
      </c>
      <c r="C100" s="83">
        <v>3135</v>
      </c>
      <c r="D100" s="15">
        <f t="shared" si="14"/>
        <v>10072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 x14ac:dyDescent="0.2">
      <c r="A101" s="3">
        <f>DATE(2023,11,17)</f>
        <v>45247</v>
      </c>
      <c r="B101" s="83">
        <v>8227</v>
      </c>
      <c r="C101" s="83">
        <v>3082.75</v>
      </c>
      <c r="D101" s="15">
        <f t="shared" si="14"/>
        <v>5144.25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75" customHeight="1" x14ac:dyDescent="0.2">
      <c r="A102" s="3">
        <f>DATE(2023,11,18)</f>
        <v>45248</v>
      </c>
      <c r="B102" s="83">
        <v>9808</v>
      </c>
      <c r="C102" s="83">
        <v>3082.75</v>
      </c>
      <c r="D102" s="15">
        <f t="shared" si="14"/>
        <v>6725.25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75" customHeight="1" x14ac:dyDescent="0.2">
      <c r="A103" s="3">
        <f>DATE(2023,11,19)</f>
        <v>45249</v>
      </c>
      <c r="B103" s="83">
        <v>12113</v>
      </c>
      <c r="C103" s="83">
        <v>36161.15</v>
      </c>
      <c r="D103" s="15">
        <f t="shared" si="14"/>
        <v>-24048.15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75" customHeight="1" x14ac:dyDescent="0.2">
      <c r="A104" s="3">
        <f>DATE(2023,11,20)</f>
        <v>45250</v>
      </c>
      <c r="B104" s="83">
        <v>15955</v>
      </c>
      <c r="C104" s="83">
        <v>94710.75</v>
      </c>
      <c r="D104" s="15">
        <f t="shared" si="14"/>
        <v>-78755.75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75" customHeight="1" x14ac:dyDescent="0.2">
      <c r="A105" s="3">
        <f>DATE(2023,11,21)</f>
        <v>45251</v>
      </c>
      <c r="B105" s="83">
        <v>15695</v>
      </c>
      <c r="C105" s="83">
        <v>85231</v>
      </c>
      <c r="D105" s="15">
        <f t="shared" si="14"/>
        <v>-69536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75" customHeight="1" x14ac:dyDescent="0.2">
      <c r="A106" s="3">
        <f>DATE(2023,11,22)</f>
        <v>45252</v>
      </c>
      <c r="B106" s="83">
        <v>62535</v>
      </c>
      <c r="C106" s="83">
        <v>5130</v>
      </c>
      <c r="D106" s="15">
        <f t="shared" si="14"/>
        <v>57405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75" customHeight="1" x14ac:dyDescent="0.2">
      <c r="A107" s="3">
        <f>DATE(2023,11,23)</f>
        <v>45253</v>
      </c>
      <c r="B107" s="83">
        <v>68743</v>
      </c>
      <c r="C107" s="83">
        <v>5130</v>
      </c>
      <c r="D107" s="15">
        <f t="shared" si="14"/>
        <v>63613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75" customHeight="1" x14ac:dyDescent="0.2">
      <c r="A108" s="3">
        <f>DATE(2023,11,24)</f>
        <v>45254</v>
      </c>
      <c r="B108" s="83">
        <v>58950</v>
      </c>
      <c r="C108" s="83">
        <v>75819.199999999997</v>
      </c>
      <c r="D108" s="15">
        <f t="shared" si="14"/>
        <v>-16869.199999999997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 x14ac:dyDescent="0.2">
      <c r="A109" s="3">
        <f>DATE(2023,11,25)</f>
        <v>45255</v>
      </c>
      <c r="B109" s="83">
        <v>50069</v>
      </c>
      <c r="C109" s="83">
        <v>5700</v>
      </c>
      <c r="D109" s="15">
        <f t="shared" si="14"/>
        <v>44369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 x14ac:dyDescent="0.2">
      <c r="A110" s="3">
        <f>DATE(2023,11,26)</f>
        <v>45256</v>
      </c>
      <c r="B110" s="83">
        <v>20450</v>
      </c>
      <c r="C110" s="83">
        <v>3420</v>
      </c>
      <c r="D110" s="15">
        <f t="shared" si="14"/>
        <v>17030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 x14ac:dyDescent="0.2">
      <c r="A111" s="3">
        <f>DATE(2023,11,27)</f>
        <v>45257</v>
      </c>
      <c r="B111" s="83">
        <v>28613</v>
      </c>
      <c r="C111" s="83">
        <v>43070.2</v>
      </c>
      <c r="D111" s="15">
        <f t="shared" si="14"/>
        <v>-14457.199999999997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 x14ac:dyDescent="0.2">
      <c r="A112" s="3">
        <f>DATE(2023,11,28)</f>
        <v>45258</v>
      </c>
      <c r="B112" s="83">
        <v>42342</v>
      </c>
      <c r="C112" s="83">
        <v>30303.399999999998</v>
      </c>
      <c r="D112" s="15">
        <f t="shared" si="14"/>
        <v>12038.600000000002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 x14ac:dyDescent="0.2">
      <c r="A113" s="3">
        <f>DATE(2023,11,29)</f>
        <v>45259</v>
      </c>
      <c r="B113" s="83">
        <v>26626</v>
      </c>
      <c r="C113" s="83">
        <v>3135</v>
      </c>
      <c r="D113" s="15">
        <f t="shared" si="14"/>
        <v>23491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 x14ac:dyDescent="0.2">
      <c r="A114" s="3">
        <f>DATE(2023,11,30)</f>
        <v>45260</v>
      </c>
      <c r="B114" s="83">
        <v>31702</v>
      </c>
      <c r="C114" s="83">
        <v>3135</v>
      </c>
      <c r="D114" s="15">
        <f t="shared" si="14"/>
        <v>28567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 x14ac:dyDescent="0.2">
      <c r="A115" s="3">
        <f>DATE(2023,12,1)</f>
        <v>45261</v>
      </c>
      <c r="B115" s="83">
        <v>29700</v>
      </c>
      <c r="C115" s="83">
        <v>3135</v>
      </c>
      <c r="D115" s="15">
        <f t="shared" si="14"/>
        <v>26565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75" customHeight="1" x14ac:dyDescent="0.2"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75" customHeight="1" x14ac:dyDescent="0.2"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75" customHeight="1" x14ac:dyDescent="0.2"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75" customHeight="1" x14ac:dyDescent="0.2"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75" customHeight="1" x14ac:dyDescent="0.2"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opLeftCell="A88" workbookViewId="0">
      <pane xSplit="1" topLeftCell="B1" activePane="topRight" state="frozen"/>
      <selection pane="topRight" activeCell="L37" sqref="L37"/>
    </sheetView>
  </sheetViews>
  <sheetFormatPr defaultColWidth="12.5703125" defaultRowHeight="15" customHeight="1" x14ac:dyDescent="0.2"/>
  <cols>
    <col min="1" max="2" width="14.42578125" customWidth="1"/>
    <col min="3" max="3" width="37.140625" bestFit="1" customWidth="1"/>
    <col min="4" max="11" width="14.42578125" customWidth="1"/>
    <col min="12" max="12" width="25.85546875" customWidth="1"/>
    <col min="13" max="13" width="34.140625" customWidth="1"/>
    <col min="14" max="14" width="14.42578125" customWidth="1"/>
    <col min="15" max="15" width="46.28515625" customWidth="1"/>
    <col min="16" max="26" width="14.42578125" customWidth="1"/>
  </cols>
  <sheetData>
    <row r="1" spans="1:14" ht="15.75" customHeight="1" x14ac:dyDescent="0.2">
      <c r="A1" s="4"/>
      <c r="B1" s="4"/>
      <c r="C1" s="4"/>
      <c r="D1" s="4"/>
      <c r="E1" s="4"/>
      <c r="F1" s="4" t="s">
        <v>26</v>
      </c>
      <c r="G1" s="4"/>
      <c r="H1" s="4"/>
      <c r="I1" s="4"/>
      <c r="J1" s="4"/>
      <c r="K1" s="4"/>
      <c r="L1" s="4"/>
      <c r="M1" s="4"/>
      <c r="N1" s="4"/>
    </row>
    <row r="2" spans="1:14" ht="15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5" t="s">
        <v>27</v>
      </c>
      <c r="M2" s="25" t="s">
        <v>28</v>
      </c>
      <c r="N2" s="2" t="s">
        <v>2</v>
      </c>
    </row>
    <row r="3" spans="1:14" ht="15.75" customHeight="1" x14ac:dyDescent="0.2">
      <c r="A3" s="3">
        <f>DATE(2023,11,1)</f>
        <v>45231</v>
      </c>
      <c r="B3" s="22">
        <v>900</v>
      </c>
      <c r="C3" s="22">
        <v>200</v>
      </c>
      <c r="D3" s="22">
        <v>80</v>
      </c>
      <c r="E3" s="22">
        <v>50</v>
      </c>
      <c r="F3" s="22">
        <v>140</v>
      </c>
      <c r="G3" s="22">
        <v>280</v>
      </c>
      <c r="H3" s="22">
        <v>130</v>
      </c>
      <c r="I3" s="22">
        <v>50</v>
      </c>
      <c r="J3" s="22">
        <v>0</v>
      </c>
      <c r="K3" s="22">
        <v>6</v>
      </c>
      <c r="L3" s="4">
        <f t="shared" ref="L3:L33" si="0">SUM(B3:K3)</f>
        <v>1836</v>
      </c>
      <c r="M3" s="25">
        <f t="shared" ref="M3:M33" si="1">L3/10</f>
        <v>183.6</v>
      </c>
      <c r="N3" s="3">
        <f>DATE(2023,11,1)</f>
        <v>45231</v>
      </c>
    </row>
    <row r="4" spans="1:14" ht="15.75" customHeight="1" x14ac:dyDescent="0.2">
      <c r="A4" s="3">
        <f>DATE(2023,11,2)</f>
        <v>45232</v>
      </c>
      <c r="B4" s="22">
        <f>B3-SALES!B3+PURCHASE!B3</f>
        <v>805</v>
      </c>
      <c r="C4" s="22">
        <f>C3-SALES!C3+PURCHASE!C3</f>
        <v>90</v>
      </c>
      <c r="D4" s="22">
        <f>D3-SALES!D3+PURCHASE!D3</f>
        <v>56</v>
      </c>
      <c r="E4" s="22">
        <f>E3-SALES!E3+PURCHASE!E3</f>
        <v>34</v>
      </c>
      <c r="F4" s="22">
        <f>F3-SALES!F3+PURCHASE!F3</f>
        <v>100</v>
      </c>
      <c r="G4" s="22">
        <f>G3-SALES!G3+PURCHASE!G3</f>
        <v>210</v>
      </c>
      <c r="H4" s="22">
        <f>H3-SALES!H3+PURCHASE!H3</f>
        <v>94</v>
      </c>
      <c r="I4" s="22">
        <f>I3-SALES!I3+PURCHASE!I3</f>
        <v>30</v>
      </c>
      <c r="J4" s="22">
        <v>0</v>
      </c>
      <c r="K4" s="22">
        <f>K3-SALES!K3+PURCHASE!K3</f>
        <v>45</v>
      </c>
      <c r="L4" s="4">
        <f t="shared" si="0"/>
        <v>1464</v>
      </c>
      <c r="M4" s="25">
        <f t="shared" si="1"/>
        <v>146.4</v>
      </c>
      <c r="N4" s="3">
        <f>DATE(2023,11,2)</f>
        <v>45232</v>
      </c>
    </row>
    <row r="5" spans="1:14" ht="15.75" customHeight="1" x14ac:dyDescent="0.2">
      <c r="A5" s="3">
        <f>DATE(2023,11,3)</f>
        <v>45233</v>
      </c>
      <c r="B5" s="22">
        <f>B4-SALES!B4+PURCHASE!B4</f>
        <v>715</v>
      </c>
      <c r="C5" s="22">
        <f>C4-SALES!C4+PURCHASE!C4</f>
        <v>210</v>
      </c>
      <c r="D5" s="22">
        <f>D4-SALES!D4+PURCHASE!D4</f>
        <v>28</v>
      </c>
      <c r="E5" s="22">
        <f>E4-SALES!E4+PURCHASE!E4</f>
        <v>66</v>
      </c>
      <c r="F5" s="22">
        <f>F4-SALES!F4+PURCHASE!F4</f>
        <v>56</v>
      </c>
      <c r="G5" s="22">
        <f>G4-SALES!G4+PURCHASE!G4</f>
        <v>162</v>
      </c>
      <c r="H5" s="22">
        <f>H4-SALES!H4+PURCHASE!H4</f>
        <v>59</v>
      </c>
      <c r="I5" s="22">
        <f>I4-SALES!I4+PURCHASE!I4</f>
        <v>20</v>
      </c>
      <c r="J5" s="22">
        <v>0</v>
      </c>
      <c r="K5" s="22">
        <f>K4-SALES!K4+PURCHASE!K4</f>
        <v>40</v>
      </c>
      <c r="L5" s="4">
        <f t="shared" si="0"/>
        <v>1356</v>
      </c>
      <c r="M5" s="25">
        <f t="shared" si="1"/>
        <v>135.6</v>
      </c>
      <c r="N5" s="3">
        <f>DATE(2023,11,3)</f>
        <v>45233</v>
      </c>
    </row>
    <row r="6" spans="1:14" ht="15.75" customHeight="1" x14ac:dyDescent="0.2">
      <c r="A6" s="3">
        <f>DATE(2023,11,4)</f>
        <v>45234</v>
      </c>
      <c r="B6" s="22">
        <f>B5-SALES!B5+PURCHASE!B5</f>
        <v>645</v>
      </c>
      <c r="C6" s="22">
        <f>C5-SALES!C5+PURCHASE!C5</f>
        <v>160</v>
      </c>
      <c r="D6" s="22">
        <f>D5-SALES!D5+PURCHASE!D5</f>
        <v>58</v>
      </c>
      <c r="E6" s="22">
        <f>E5-SALES!E5+PURCHASE!E5</f>
        <v>46</v>
      </c>
      <c r="F6" s="22">
        <f>F5-SALES!F5+PURCHASE!F5</f>
        <v>56</v>
      </c>
      <c r="G6" s="22">
        <f>G5-SALES!G5+PURCHASE!G5</f>
        <v>122</v>
      </c>
      <c r="H6" s="22">
        <f>H5-SALES!H5+PURCHASE!H5</f>
        <v>79</v>
      </c>
      <c r="I6" s="22">
        <f>I5-SALES!I5+PURCHASE!I5</f>
        <v>32</v>
      </c>
      <c r="J6" s="22">
        <v>0</v>
      </c>
      <c r="K6" s="22">
        <f>K5-SALES!K5+PURCHASE!K5</f>
        <v>35</v>
      </c>
      <c r="L6" s="4">
        <f t="shared" si="0"/>
        <v>1233</v>
      </c>
      <c r="M6" s="25">
        <f t="shared" si="1"/>
        <v>123.3</v>
      </c>
      <c r="N6" s="3">
        <f>DATE(2023,11,4)</f>
        <v>45234</v>
      </c>
    </row>
    <row r="7" spans="1:14" ht="15.75" customHeight="1" x14ac:dyDescent="0.2">
      <c r="A7" s="3">
        <f>DATE(2023,11,5)</f>
        <v>45235</v>
      </c>
      <c r="B7" s="22">
        <f>B6-SALES!B6+PURCHASE!B6</f>
        <v>560</v>
      </c>
      <c r="C7" s="22">
        <f>C6-SALES!C6+PURCHASE!C6</f>
        <v>120</v>
      </c>
      <c r="D7" s="22">
        <f>D6-SALES!D6+PURCHASE!D6</f>
        <v>36</v>
      </c>
      <c r="E7" s="22">
        <f>E6-SALES!E6+PURCHASE!E6</f>
        <v>32</v>
      </c>
      <c r="F7" s="22">
        <f>F6-SALES!F6+PURCHASE!F6</f>
        <v>62</v>
      </c>
      <c r="G7" s="22">
        <f>G6-SALES!G6+PURCHASE!G6</f>
        <v>80</v>
      </c>
      <c r="H7" s="22">
        <f>H6-SALES!H6+PURCHASE!H6</f>
        <v>94</v>
      </c>
      <c r="I7" s="22">
        <f>I6-SALES!I6+PURCHASE!I6</f>
        <v>22</v>
      </c>
      <c r="J7" s="22">
        <v>0</v>
      </c>
      <c r="K7" s="22">
        <f>K6-SALES!K6+PURCHASE!K6</f>
        <v>28</v>
      </c>
      <c r="L7" s="4">
        <f t="shared" si="0"/>
        <v>1034</v>
      </c>
      <c r="M7" s="25">
        <f t="shared" si="1"/>
        <v>103.4</v>
      </c>
      <c r="N7" s="3">
        <f>DATE(2023,11,5)</f>
        <v>45235</v>
      </c>
    </row>
    <row r="8" spans="1:14" ht="15.75" customHeight="1" x14ac:dyDescent="0.2">
      <c r="A8" s="3">
        <f>DATE(2023,11,6)</f>
        <v>45236</v>
      </c>
      <c r="B8" s="22">
        <f>B7-SALES!B7+PURCHASE!B7</f>
        <v>494</v>
      </c>
      <c r="C8" s="22">
        <f>C7-SALES!C7+PURCHASE!C7</f>
        <v>84</v>
      </c>
      <c r="D8" s="22">
        <f>D7-SALES!D7+PURCHASE!D7</f>
        <v>18</v>
      </c>
      <c r="E8" s="22">
        <f>E7-SALES!E7+PURCHASE!E7</f>
        <v>17</v>
      </c>
      <c r="F8" s="22">
        <f>F7-SALES!F7+PURCHASE!F7</f>
        <v>22</v>
      </c>
      <c r="G8" s="22">
        <f>G7-SALES!G7+PURCHASE!G7</f>
        <v>32</v>
      </c>
      <c r="H8" s="22">
        <f>H7-SALES!H7+PURCHASE!H7</f>
        <v>56</v>
      </c>
      <c r="I8" s="22">
        <f>I7-SALES!I7+PURCHASE!I7</f>
        <v>14</v>
      </c>
      <c r="J8" s="22">
        <v>0</v>
      </c>
      <c r="K8" s="22">
        <f>K7-SALES!K7+PURCHASE!K7</f>
        <v>20</v>
      </c>
      <c r="L8" s="4">
        <f t="shared" si="0"/>
        <v>757</v>
      </c>
      <c r="M8" s="25">
        <f t="shared" si="1"/>
        <v>75.7</v>
      </c>
      <c r="N8" s="3">
        <f>DATE(2023,11,6)</f>
        <v>45236</v>
      </c>
    </row>
    <row r="9" spans="1:14" ht="15.75" customHeight="1" x14ac:dyDescent="0.2">
      <c r="A9" s="3">
        <f>DATE(2023,11,7)</f>
        <v>45237</v>
      </c>
      <c r="B9" s="22">
        <f>B8-SALES!B8+PURCHASE!B8</f>
        <v>459</v>
      </c>
      <c r="C9" s="22">
        <f>C8-SALES!C8+PURCHASE!C8</f>
        <v>260</v>
      </c>
      <c r="D9" s="22">
        <f>D8-SALES!D8+PURCHASE!D8</f>
        <v>60</v>
      </c>
      <c r="E9" s="22">
        <f>E8-SALES!E8+PURCHASE!E8</f>
        <v>7</v>
      </c>
      <c r="F9" s="22">
        <f>F8-SALES!F8+PURCHASE!F8</f>
        <v>68</v>
      </c>
      <c r="G9" s="22">
        <f>G8-SALES!G8+PURCHASE!G8</f>
        <v>72</v>
      </c>
      <c r="H9" s="22">
        <f>H8-SALES!H8+PURCHASE!H8</f>
        <v>48</v>
      </c>
      <c r="I9" s="22">
        <f>I8-SALES!I8+PURCHASE!I8</f>
        <v>10</v>
      </c>
      <c r="J9" s="22">
        <v>0</v>
      </c>
      <c r="K9" s="22">
        <f>K8-SALES!K8+PURCHASE!K8</f>
        <v>18</v>
      </c>
      <c r="L9" s="4">
        <f t="shared" si="0"/>
        <v>1002</v>
      </c>
      <c r="M9" s="25">
        <f t="shared" si="1"/>
        <v>100.2</v>
      </c>
      <c r="N9" s="3">
        <f>DATE(2023,11,7)</f>
        <v>45237</v>
      </c>
    </row>
    <row r="10" spans="1:14" ht="15.75" customHeight="1" x14ac:dyDescent="0.2">
      <c r="A10" s="3">
        <f>DATE(2023,11,8)</f>
        <v>45238</v>
      </c>
      <c r="B10" s="22">
        <f>B9-SALES!B9+PURCHASE!B9</f>
        <v>419</v>
      </c>
      <c r="C10" s="22">
        <f>C9-SALES!C9+PURCHASE!C9</f>
        <v>240</v>
      </c>
      <c r="D10" s="22">
        <f>D9-SALES!D9+PURCHASE!D9</f>
        <v>52</v>
      </c>
      <c r="E10" s="22">
        <f>E9-SALES!E9+PURCHASE!E9</f>
        <v>49</v>
      </c>
      <c r="F10" s="22">
        <f>F9-SALES!F9+PURCHASE!F9</f>
        <v>60</v>
      </c>
      <c r="G10" s="22">
        <f>G9-SALES!G9+PURCHASE!G9</f>
        <v>64</v>
      </c>
      <c r="H10" s="22">
        <f>H9-SALES!H9+PURCHASE!H9</f>
        <v>42</v>
      </c>
      <c r="I10" s="22">
        <f>I9-SALES!I9+PURCHASE!I9</f>
        <v>23</v>
      </c>
      <c r="J10" s="22">
        <v>0</v>
      </c>
      <c r="K10" s="22">
        <f>K9-SALES!K9+PURCHASE!K9</f>
        <v>16</v>
      </c>
      <c r="L10" s="4">
        <f t="shared" si="0"/>
        <v>965</v>
      </c>
      <c r="M10" s="25">
        <f t="shared" si="1"/>
        <v>96.5</v>
      </c>
      <c r="N10" s="3">
        <f>DATE(2023,11,8)</f>
        <v>45238</v>
      </c>
    </row>
    <row r="11" spans="1:14" ht="15.75" customHeight="1" x14ac:dyDescent="0.2">
      <c r="A11" s="3">
        <f>DATE(2023,11,9)</f>
        <v>45239</v>
      </c>
      <c r="B11" s="22">
        <f>B10-SALES!B10+PURCHASE!B10</f>
        <v>379</v>
      </c>
      <c r="C11" s="22">
        <f>C10-SALES!C10+PURCHASE!C10</f>
        <v>216</v>
      </c>
      <c r="D11" s="22">
        <f>D10-SALES!D10+PURCHASE!D10</f>
        <v>44</v>
      </c>
      <c r="E11" s="22">
        <f>E10-SALES!E10+PURCHASE!E10</f>
        <v>43</v>
      </c>
      <c r="F11" s="22">
        <f>F10-SALES!F10+PURCHASE!F10</f>
        <v>54</v>
      </c>
      <c r="G11" s="22">
        <f>G10-SALES!G10+PURCHASE!G10</f>
        <v>54</v>
      </c>
      <c r="H11" s="22">
        <f>H10-SALES!H10+PURCHASE!H10</f>
        <v>34</v>
      </c>
      <c r="I11" s="22">
        <f>I10-SALES!I10+PURCHASE!I10</f>
        <v>19</v>
      </c>
      <c r="J11" s="22">
        <v>0</v>
      </c>
      <c r="K11" s="22">
        <f>K10-SALES!K10+PURCHASE!K10</f>
        <v>13</v>
      </c>
      <c r="L11" s="4">
        <f t="shared" si="0"/>
        <v>856</v>
      </c>
      <c r="M11" s="25">
        <f t="shared" si="1"/>
        <v>85.6</v>
      </c>
      <c r="N11" s="3">
        <f>DATE(2023,11,9)</f>
        <v>45239</v>
      </c>
    </row>
    <row r="12" spans="1:14" ht="15.75" customHeight="1" x14ac:dyDescent="0.2">
      <c r="A12" s="3">
        <f>DATE(2023,11,10)</f>
        <v>45240</v>
      </c>
      <c r="B12" s="22">
        <f>B11-SALES!B11+PURCHASE!B11</f>
        <v>319</v>
      </c>
      <c r="C12" s="22">
        <f>C11-SALES!C11+PURCHASE!C11</f>
        <v>186</v>
      </c>
      <c r="D12" s="22">
        <f>D11-SALES!D11+PURCHASE!D11</f>
        <v>38</v>
      </c>
      <c r="E12" s="22">
        <f>E11-SALES!E11+PURCHASE!E11</f>
        <v>39</v>
      </c>
      <c r="F12" s="22">
        <f>F11-SALES!F11+PURCHASE!F11</f>
        <v>50</v>
      </c>
      <c r="G12" s="22">
        <f>G11-SALES!G11+PURCHASE!G11</f>
        <v>48</v>
      </c>
      <c r="H12" s="22">
        <f>H11-SALES!H11+PURCHASE!H11</f>
        <v>48</v>
      </c>
      <c r="I12" s="22">
        <f>I11-SALES!I11+PURCHASE!I11</f>
        <v>15</v>
      </c>
      <c r="J12" s="22">
        <v>0</v>
      </c>
      <c r="K12" s="22">
        <f>K11-SALES!K11+PURCHASE!K11</f>
        <v>9</v>
      </c>
      <c r="L12" s="4">
        <f t="shared" si="0"/>
        <v>752</v>
      </c>
      <c r="M12" s="25">
        <f t="shared" si="1"/>
        <v>75.2</v>
      </c>
      <c r="N12" s="3">
        <f>DATE(2023,11,10)</f>
        <v>45240</v>
      </c>
    </row>
    <row r="13" spans="1:14" ht="15.75" customHeight="1" x14ac:dyDescent="0.2">
      <c r="A13" s="3">
        <f>DATE(2023,11,11)</f>
        <v>45241</v>
      </c>
      <c r="B13" s="22">
        <f>B12-SALES!B12+PURCHASE!B12</f>
        <v>254</v>
      </c>
      <c r="C13" s="22">
        <f>C12-SALES!C12+PURCHASE!C12</f>
        <v>154</v>
      </c>
      <c r="D13" s="22">
        <f>D12-SALES!D12+PURCHASE!D12</f>
        <v>30</v>
      </c>
      <c r="E13" s="22">
        <f>E12-SALES!E12+PURCHASE!E12</f>
        <v>33</v>
      </c>
      <c r="F13" s="22">
        <f>F12-SALES!F12+PURCHASE!F12</f>
        <v>46</v>
      </c>
      <c r="G13" s="22">
        <f>G12-SALES!G12+PURCHASE!G12</f>
        <v>40</v>
      </c>
      <c r="H13" s="22">
        <f>H12-SALES!H12+PURCHASE!H12</f>
        <v>40</v>
      </c>
      <c r="I13" s="22">
        <f>I12-SALES!I12+PURCHASE!I12</f>
        <v>15</v>
      </c>
      <c r="J13" s="22">
        <v>0</v>
      </c>
      <c r="K13" s="22">
        <f>K12-SALES!K12+PURCHASE!K12</f>
        <v>8</v>
      </c>
      <c r="L13" s="4">
        <f t="shared" si="0"/>
        <v>620</v>
      </c>
      <c r="M13" s="25">
        <f t="shared" si="1"/>
        <v>62</v>
      </c>
      <c r="N13" s="3">
        <f>DATE(2023,11,11)</f>
        <v>45241</v>
      </c>
    </row>
    <row r="14" spans="1:14" ht="15.75" customHeight="1" x14ac:dyDescent="0.2">
      <c r="A14" s="3">
        <f>DATE(2023,11,12)</f>
        <v>45242</v>
      </c>
      <c r="B14" s="22">
        <f>B13-SALES!B13+PURCHASE!B13</f>
        <v>170</v>
      </c>
      <c r="C14" s="22">
        <f>C13-SALES!C13+PURCHASE!C13</f>
        <v>130</v>
      </c>
      <c r="D14" s="22">
        <f>D13-SALES!D13+PURCHASE!D13</f>
        <v>24</v>
      </c>
      <c r="E14" s="22">
        <f>E13-SALES!E13+PURCHASE!E13</f>
        <v>25</v>
      </c>
      <c r="F14" s="22">
        <f>F13-SALES!F13+PURCHASE!F13</f>
        <v>40</v>
      </c>
      <c r="G14" s="22">
        <f>G13-SALES!G13+PURCHASE!G13</f>
        <v>32</v>
      </c>
      <c r="H14" s="22">
        <f>H13-SALES!H13+PURCHASE!H13</f>
        <v>34</v>
      </c>
      <c r="I14" s="22">
        <f>I13-SALES!I13+PURCHASE!I13</f>
        <v>13</v>
      </c>
      <c r="J14" s="22">
        <v>0</v>
      </c>
      <c r="K14" s="22">
        <f>K13-SALES!K13+PURCHASE!K13</f>
        <v>8</v>
      </c>
      <c r="L14" s="4">
        <f t="shared" si="0"/>
        <v>476</v>
      </c>
      <c r="M14" s="25">
        <f t="shared" si="1"/>
        <v>47.6</v>
      </c>
      <c r="N14" s="3">
        <f>DATE(2023,11,12)</f>
        <v>45242</v>
      </c>
    </row>
    <row r="15" spans="1:14" ht="15.75" customHeight="1" x14ac:dyDescent="0.2">
      <c r="A15" s="3">
        <f>DATE(2023,11,13)</f>
        <v>45243</v>
      </c>
      <c r="B15" s="22">
        <f>B14-SALES!B14+PURCHASE!B14</f>
        <v>122</v>
      </c>
      <c r="C15" s="22">
        <f>C14-SALES!C14+PURCHASE!C14</f>
        <v>102</v>
      </c>
      <c r="D15" s="22">
        <f>D14-SALES!D14+PURCHASE!D14</f>
        <v>16</v>
      </c>
      <c r="E15" s="22">
        <f>E14-SALES!E14+PURCHASE!E14</f>
        <v>17</v>
      </c>
      <c r="F15" s="22">
        <f>F14-SALES!F14+PURCHASE!F14</f>
        <v>32</v>
      </c>
      <c r="G15" s="22">
        <f>G14-SALES!G14+PURCHASE!G14</f>
        <v>26</v>
      </c>
      <c r="H15" s="22">
        <f>H14-SALES!H14+PURCHASE!H14</f>
        <v>28</v>
      </c>
      <c r="I15" s="22">
        <f>I14-SALES!I14+PURCHASE!I14</f>
        <v>11</v>
      </c>
      <c r="J15" s="22">
        <v>0</v>
      </c>
      <c r="K15" s="22">
        <f>K14-SALES!K14+PURCHASE!K14</f>
        <v>8</v>
      </c>
      <c r="L15" s="4">
        <f t="shared" si="0"/>
        <v>362</v>
      </c>
      <c r="M15" s="25">
        <f t="shared" si="1"/>
        <v>36.200000000000003</v>
      </c>
      <c r="N15" s="3">
        <f>DATE(2023,11,13)</f>
        <v>45243</v>
      </c>
    </row>
    <row r="16" spans="1:14" ht="15.75" customHeight="1" x14ac:dyDescent="0.2">
      <c r="A16" s="3">
        <f>DATE(2023,11,14)</f>
        <v>45244</v>
      </c>
      <c r="B16" s="22">
        <f>B15-SALES!B15+PURCHASE!B15</f>
        <v>72</v>
      </c>
      <c r="C16" s="22">
        <f>C15-SALES!C15+PURCHASE!C15</f>
        <v>74</v>
      </c>
      <c r="D16" s="22">
        <f>D15-SALES!D15+PURCHASE!D15</f>
        <v>10</v>
      </c>
      <c r="E16" s="22">
        <f>E15-SALES!E15+PURCHASE!E15</f>
        <v>9</v>
      </c>
      <c r="F16" s="22">
        <f>F15-SALES!F15+PURCHASE!F15</f>
        <v>26</v>
      </c>
      <c r="G16" s="22">
        <f>G15-SALES!G15+PURCHASE!G15</f>
        <v>16</v>
      </c>
      <c r="H16" s="22">
        <f>H15-SALES!H15+PURCHASE!H15</f>
        <v>24</v>
      </c>
      <c r="I16" s="22">
        <f>I15-SALES!I15+PURCHASE!I15</f>
        <v>11</v>
      </c>
      <c r="J16" s="22">
        <v>0</v>
      </c>
      <c r="K16" s="22">
        <f>K15-SALES!K15+PURCHASE!K15</f>
        <v>7</v>
      </c>
      <c r="L16" s="4">
        <f t="shared" si="0"/>
        <v>249</v>
      </c>
      <c r="M16" s="25">
        <f t="shared" si="1"/>
        <v>24.9</v>
      </c>
      <c r="N16" s="3">
        <f>DATE(2023,11,14)</f>
        <v>45244</v>
      </c>
    </row>
    <row r="17" spans="1:14" ht="15.75" customHeight="1" x14ac:dyDescent="0.2">
      <c r="A17" s="3">
        <f>DATE(2023,11,15)</f>
        <v>45245</v>
      </c>
      <c r="B17" s="22">
        <f>B16-SALES!B16+PURCHASE!B16</f>
        <v>367</v>
      </c>
      <c r="C17" s="22">
        <f>C16-SALES!C16+PURCHASE!C16</f>
        <v>140</v>
      </c>
      <c r="D17" s="22">
        <f>D16-SALES!D16+PURCHASE!D16</f>
        <v>48</v>
      </c>
      <c r="E17" s="22">
        <f>E16-SALES!E16+PURCHASE!E16</f>
        <v>51</v>
      </c>
      <c r="F17" s="22">
        <f>F16-SALES!F16+PURCHASE!F16</f>
        <v>66</v>
      </c>
      <c r="G17" s="22">
        <f>G16-SALES!G16+PURCHASE!G16</f>
        <v>54</v>
      </c>
      <c r="H17" s="22">
        <f>H16-SALES!H16+PURCHASE!H16</f>
        <v>56</v>
      </c>
      <c r="I17" s="22">
        <f>I16-SALES!I16+PURCHASE!I16</f>
        <v>29</v>
      </c>
      <c r="J17" s="22">
        <v>0</v>
      </c>
      <c r="K17" s="22">
        <f>K16-SALES!K16+PURCHASE!K16</f>
        <v>6</v>
      </c>
      <c r="L17" s="4">
        <f t="shared" si="0"/>
        <v>817</v>
      </c>
      <c r="M17" s="25">
        <f t="shared" si="1"/>
        <v>81.7</v>
      </c>
      <c r="N17" s="3">
        <f>DATE(2023,11,15)</f>
        <v>45245</v>
      </c>
    </row>
    <row r="18" spans="1:14" ht="15.75" customHeight="1" x14ac:dyDescent="0.2">
      <c r="A18" s="3">
        <f>DATE(2023,11,16)</f>
        <v>45246</v>
      </c>
      <c r="B18" s="22">
        <f>B17-SALES!B17+PURCHASE!B17</f>
        <v>305</v>
      </c>
      <c r="C18" s="22">
        <f>C17-SALES!C17+PURCHASE!C17</f>
        <v>116</v>
      </c>
      <c r="D18" s="22">
        <f>D17-SALES!D17+PURCHASE!D17</f>
        <v>42</v>
      </c>
      <c r="E18" s="22">
        <f>E17-SALES!E17+PURCHASE!E17</f>
        <v>41</v>
      </c>
      <c r="F18" s="22">
        <f>F17-SALES!F17+PURCHASE!F17</f>
        <v>58</v>
      </c>
      <c r="G18" s="22">
        <f>G17-SALES!G17+PURCHASE!G17</f>
        <v>50</v>
      </c>
      <c r="H18" s="22">
        <f>H17-SALES!H17+PURCHASE!H17</f>
        <v>52</v>
      </c>
      <c r="I18" s="22">
        <f>I17-SALES!I17+PURCHASE!I17</f>
        <v>29</v>
      </c>
      <c r="J18" s="22">
        <v>0</v>
      </c>
      <c r="K18" s="22">
        <f>K17-SALES!K17+PURCHASE!K17</f>
        <v>5</v>
      </c>
      <c r="L18" s="4">
        <f t="shared" si="0"/>
        <v>698</v>
      </c>
      <c r="M18" s="25">
        <f t="shared" si="1"/>
        <v>69.8</v>
      </c>
      <c r="N18" s="3">
        <f>DATE(2023,11,16)</f>
        <v>45246</v>
      </c>
    </row>
    <row r="19" spans="1:14" ht="15.75" customHeight="1" x14ac:dyDescent="0.2">
      <c r="A19" s="3">
        <f>DATE(2023,11,17)</f>
        <v>45247</v>
      </c>
      <c r="B19" s="22">
        <f>B18-SALES!B18+PURCHASE!B18</f>
        <v>265</v>
      </c>
      <c r="C19" s="22">
        <f>C18-SALES!C18+PURCHASE!C18</f>
        <v>90</v>
      </c>
      <c r="D19" s="22">
        <f>D18-SALES!D18+PURCHASE!D18</f>
        <v>32</v>
      </c>
      <c r="E19" s="22">
        <f>E18-SALES!E18+PURCHASE!E18</f>
        <v>31</v>
      </c>
      <c r="F19" s="22">
        <f>F18-SALES!F18+PURCHASE!F18</f>
        <v>48</v>
      </c>
      <c r="G19" s="22">
        <f>G18-SALES!G18+PURCHASE!G18</f>
        <v>46</v>
      </c>
      <c r="H19" s="22">
        <f>H18-SALES!H18+PURCHASE!H18</f>
        <v>46</v>
      </c>
      <c r="I19" s="22">
        <f>I18-SALES!I18+PURCHASE!I18</f>
        <v>28</v>
      </c>
      <c r="J19" s="22">
        <v>0</v>
      </c>
      <c r="K19" s="22">
        <f>K18-SALES!K18+PURCHASE!K18</f>
        <v>4</v>
      </c>
      <c r="L19" s="4">
        <f t="shared" si="0"/>
        <v>590</v>
      </c>
      <c r="M19" s="25">
        <f t="shared" si="1"/>
        <v>59</v>
      </c>
      <c r="N19" s="3">
        <f>DATE(2023,11,17)</f>
        <v>45247</v>
      </c>
    </row>
    <row r="20" spans="1:14" ht="15.75" customHeight="1" x14ac:dyDescent="0.2">
      <c r="A20" s="3">
        <f>DATE(2023,11,18)</f>
        <v>45248</v>
      </c>
      <c r="B20" s="22">
        <f>B19-SALES!B19+PURCHASE!B19</f>
        <v>227</v>
      </c>
      <c r="C20" s="22">
        <f>C19-SALES!C19+PURCHASE!C19</f>
        <v>70</v>
      </c>
      <c r="D20" s="22">
        <f>D19-SALES!D19+PURCHASE!D19</f>
        <v>28</v>
      </c>
      <c r="E20" s="22">
        <f>E19-SALES!E19+PURCHASE!E19</f>
        <v>28</v>
      </c>
      <c r="F20" s="22">
        <f>F19-SALES!F19+PURCHASE!F19</f>
        <v>42</v>
      </c>
      <c r="G20" s="22">
        <f>G19-SALES!G19+PURCHASE!G19</f>
        <v>42</v>
      </c>
      <c r="H20" s="22">
        <f>H19-SALES!H19+PURCHASE!H19</f>
        <v>44</v>
      </c>
      <c r="I20" s="22">
        <f>I19-SALES!I19+PURCHASE!I19</f>
        <v>28</v>
      </c>
      <c r="J20" s="22">
        <v>0</v>
      </c>
      <c r="K20" s="22">
        <f>K19-SALES!K19+PURCHASE!K19</f>
        <v>4</v>
      </c>
      <c r="L20" s="4">
        <f t="shared" si="0"/>
        <v>513</v>
      </c>
      <c r="M20" s="25">
        <f t="shared" si="1"/>
        <v>51.3</v>
      </c>
      <c r="N20" s="3">
        <f>DATE(2023,11,18)</f>
        <v>45248</v>
      </c>
    </row>
    <row r="21" spans="1:14" ht="15.75" customHeight="1" x14ac:dyDescent="0.2">
      <c r="A21" s="3">
        <f>DATE(2023,11,19)</f>
        <v>45249</v>
      </c>
      <c r="B21" s="22">
        <f>B20-SALES!B20+PURCHASE!B20</f>
        <v>187</v>
      </c>
      <c r="C21" s="22">
        <f>C20-SALES!C20+PURCHASE!C20</f>
        <v>40</v>
      </c>
      <c r="D21" s="22">
        <f>D20-SALES!D20+PURCHASE!D20</f>
        <v>24</v>
      </c>
      <c r="E21" s="22">
        <f>E20-SALES!E20+PURCHASE!E20</f>
        <v>25</v>
      </c>
      <c r="F21" s="22">
        <f>F20-SALES!F20+PURCHASE!F20</f>
        <v>40</v>
      </c>
      <c r="G21" s="22">
        <f>G20-SALES!G20+PURCHASE!G20</f>
        <v>40</v>
      </c>
      <c r="H21" s="22">
        <f>H20-SALES!H20+PURCHASE!H20</f>
        <v>44</v>
      </c>
      <c r="I21" s="22">
        <f>I20-SALES!I20+PURCHASE!I20</f>
        <v>26</v>
      </c>
      <c r="J21" s="22">
        <v>0</v>
      </c>
      <c r="K21" s="22">
        <f>K20-SALES!K20+PURCHASE!K20</f>
        <v>3</v>
      </c>
      <c r="L21" s="4">
        <f t="shared" si="0"/>
        <v>429</v>
      </c>
      <c r="M21" s="25">
        <f t="shared" si="1"/>
        <v>42.9</v>
      </c>
      <c r="N21" s="3">
        <f>DATE(2023,11,19)</f>
        <v>45249</v>
      </c>
    </row>
    <row r="22" spans="1:14" ht="15.75" customHeight="1" x14ac:dyDescent="0.2">
      <c r="A22" s="3">
        <f>DATE(2023,11,20)</f>
        <v>45250</v>
      </c>
      <c r="B22" s="22">
        <f>B21-SALES!B21+PURCHASE!B21</f>
        <v>118</v>
      </c>
      <c r="C22" s="22">
        <f>C21-SALES!C21+PURCHASE!C21</f>
        <v>520</v>
      </c>
      <c r="D22" s="22">
        <f>D21-SALES!D21+PURCHASE!D21</f>
        <v>18</v>
      </c>
      <c r="E22" s="22">
        <f>E21-SALES!E21+PURCHASE!E21</f>
        <v>22</v>
      </c>
      <c r="F22" s="22">
        <f>F21-SALES!F21+PURCHASE!F21</f>
        <v>34</v>
      </c>
      <c r="G22" s="22">
        <f>G21-SALES!G21+PURCHASE!G21</f>
        <v>156</v>
      </c>
      <c r="H22" s="22">
        <f>H21-SALES!H21+PURCHASE!H21</f>
        <v>40</v>
      </c>
      <c r="I22" s="22">
        <f>I21-SALES!I21+PURCHASE!I21</f>
        <v>23</v>
      </c>
      <c r="J22" s="22">
        <v>0</v>
      </c>
      <c r="K22" s="22">
        <f>K21-SALES!K21+PURCHASE!K21</f>
        <v>19</v>
      </c>
      <c r="L22" s="4">
        <f t="shared" si="0"/>
        <v>950</v>
      </c>
      <c r="M22" s="25">
        <f t="shared" si="1"/>
        <v>95</v>
      </c>
      <c r="N22" s="3">
        <f>DATE(2023,11,20)</f>
        <v>45250</v>
      </c>
    </row>
    <row r="23" spans="1:14" ht="15.75" customHeight="1" x14ac:dyDescent="0.2">
      <c r="A23" s="3">
        <f>DATE(2023,11,21)</f>
        <v>45251</v>
      </c>
      <c r="B23" s="22">
        <f>B22-SALES!B22+PURCHASE!B22</f>
        <v>953</v>
      </c>
      <c r="C23" s="22">
        <f>C22-SALES!C22+PURCHASE!C22</f>
        <v>502</v>
      </c>
      <c r="D23" s="22">
        <f>D22-SALES!D22+PURCHASE!D22</f>
        <v>154</v>
      </c>
      <c r="E23" s="22">
        <f>E22-SALES!E22+PURCHASE!E22</f>
        <v>76</v>
      </c>
      <c r="F23" s="22">
        <f>F22-SALES!F22+PURCHASE!F22</f>
        <v>126</v>
      </c>
      <c r="G23" s="22">
        <f>G22-SALES!G22+PURCHASE!G22</f>
        <v>310</v>
      </c>
      <c r="H23" s="22">
        <f>H22-SALES!H22+PURCHASE!H22</f>
        <v>36</v>
      </c>
      <c r="I23" s="22">
        <f>I22-SALES!I22+PURCHASE!I22</f>
        <v>18</v>
      </c>
      <c r="J23" s="22">
        <v>0</v>
      </c>
      <c r="K23" s="22">
        <f>K22-SALES!K22+PURCHASE!K22</f>
        <v>16</v>
      </c>
      <c r="L23" s="4">
        <f t="shared" si="0"/>
        <v>2191</v>
      </c>
      <c r="M23" s="25">
        <f t="shared" si="1"/>
        <v>219.1</v>
      </c>
      <c r="N23" s="3">
        <f>DATE(2023,11,21)</f>
        <v>45251</v>
      </c>
    </row>
    <row r="24" spans="1:14" ht="15.75" customHeight="1" x14ac:dyDescent="0.2">
      <c r="A24" s="3">
        <f>DATE(2023,11,22)</f>
        <v>45252</v>
      </c>
      <c r="B24" s="22">
        <f>B23-SALES!B23+PURCHASE!B23</f>
        <v>885</v>
      </c>
      <c r="C24" s="22">
        <f>C23-SALES!C23+PURCHASE!C23</f>
        <v>472</v>
      </c>
      <c r="D24" s="22">
        <f>D23-SALES!D23+PURCHASE!D23</f>
        <v>146</v>
      </c>
      <c r="E24" s="22">
        <f>E23-SALES!E23+PURCHASE!E23</f>
        <v>74</v>
      </c>
      <c r="F24" s="22">
        <f>F23-SALES!F23+PURCHASE!F23</f>
        <v>124</v>
      </c>
      <c r="G24" s="22">
        <f>G23-SALES!G23+PURCHASE!G23</f>
        <v>302</v>
      </c>
      <c r="H24" s="22">
        <f>H23-SALES!H23+PURCHASE!H23</f>
        <v>210</v>
      </c>
      <c r="I24" s="22">
        <f>I23-SALES!I23+PURCHASE!I23</f>
        <v>111</v>
      </c>
      <c r="J24" s="22">
        <v>0</v>
      </c>
      <c r="K24" s="22">
        <f>K23-SALES!K23+PURCHASE!K23</f>
        <v>25</v>
      </c>
      <c r="L24" s="4">
        <f t="shared" si="0"/>
        <v>2349</v>
      </c>
      <c r="M24" s="25">
        <f t="shared" si="1"/>
        <v>234.9</v>
      </c>
      <c r="N24" s="3">
        <f>DATE(2023,11,22)</f>
        <v>45252</v>
      </c>
    </row>
    <row r="25" spans="1:14" ht="15.75" customHeight="1" x14ac:dyDescent="0.2">
      <c r="A25" s="3">
        <f>DATE(2023,11,23)</f>
        <v>45253</v>
      </c>
      <c r="B25" s="22">
        <f>B24-SALES!B24+PURCHASE!B24</f>
        <v>620</v>
      </c>
      <c r="C25" s="22">
        <f>C24-SALES!C24+PURCHASE!C24</f>
        <v>382</v>
      </c>
      <c r="D25" s="22">
        <f>D24-SALES!D24+PURCHASE!D24</f>
        <v>110</v>
      </c>
      <c r="E25" s="22">
        <f>E24-SALES!E24+PURCHASE!E24</f>
        <v>48</v>
      </c>
      <c r="F25" s="22">
        <f>F24-SALES!F24+PURCHASE!F24</f>
        <v>96</v>
      </c>
      <c r="G25" s="22">
        <f>G24-SALES!G24+PURCHASE!G24</f>
        <v>208</v>
      </c>
      <c r="H25" s="22">
        <f>H24-SALES!H24+PURCHASE!H24</f>
        <v>142</v>
      </c>
      <c r="I25" s="22">
        <f>I24-SALES!I24+PURCHASE!I24</f>
        <v>93</v>
      </c>
      <c r="J25" s="22">
        <v>0</v>
      </c>
      <c r="K25" s="22">
        <f>K24-SALES!K24+PURCHASE!K24</f>
        <v>22</v>
      </c>
      <c r="L25" s="4">
        <f t="shared" si="0"/>
        <v>1721</v>
      </c>
      <c r="M25" s="25">
        <f t="shared" si="1"/>
        <v>172.1</v>
      </c>
      <c r="N25" s="3">
        <f>DATE(2023,11,23)</f>
        <v>45253</v>
      </c>
    </row>
    <row r="26" spans="1:14" ht="15.75" customHeight="1" x14ac:dyDescent="0.2">
      <c r="A26" s="3">
        <f>DATE(2023,11,24)</f>
        <v>45254</v>
      </c>
      <c r="B26" s="22">
        <f>B25-SALES!B25+PURCHASE!B25</f>
        <v>330</v>
      </c>
      <c r="C26" s="22">
        <f>C25-SALES!C25+PURCHASE!C25</f>
        <v>266</v>
      </c>
      <c r="D26" s="22">
        <f>D25-SALES!D25+PURCHASE!D25</f>
        <v>80</v>
      </c>
      <c r="E26" s="22">
        <f>E25-SALES!E25+PURCHASE!E25</f>
        <v>33</v>
      </c>
      <c r="F26" s="22">
        <f>F25-SALES!F25+PURCHASE!F25</f>
        <v>60</v>
      </c>
      <c r="G26" s="22">
        <f>G25-SALES!G25+PURCHASE!G25</f>
        <v>108</v>
      </c>
      <c r="H26" s="22">
        <f>H25-SALES!H25+PURCHASE!H25</f>
        <v>82</v>
      </c>
      <c r="I26" s="22">
        <f>I25-SALES!I25+PURCHASE!I25</f>
        <v>73</v>
      </c>
      <c r="J26" s="22">
        <v>0</v>
      </c>
      <c r="K26" s="22">
        <f>K25-SALES!K25+PURCHASE!K25</f>
        <v>13</v>
      </c>
      <c r="L26" s="4">
        <f t="shared" si="0"/>
        <v>1045</v>
      </c>
      <c r="M26" s="25">
        <f t="shared" si="1"/>
        <v>104.5</v>
      </c>
      <c r="N26" s="3">
        <f>DATE(2023,11,24)</f>
        <v>45254</v>
      </c>
    </row>
    <row r="27" spans="1:14" ht="15.75" customHeight="1" x14ac:dyDescent="0.2">
      <c r="A27" s="3">
        <f>DATE(2023,11,25)</f>
        <v>45255</v>
      </c>
      <c r="B27" s="22">
        <f>B26-SALES!B26+PURCHASE!B26</f>
        <v>600</v>
      </c>
      <c r="C27" s="22">
        <f>C26-SALES!C26+PURCHASE!C26</f>
        <v>170</v>
      </c>
      <c r="D27" s="22">
        <f>D26-SALES!D26+PURCHASE!D26</f>
        <v>100</v>
      </c>
      <c r="E27" s="22">
        <f>E26-SALES!E26+PURCHASE!E26</f>
        <v>65</v>
      </c>
      <c r="F27" s="22">
        <f>F26-SALES!F26+PURCHASE!F26</f>
        <v>86</v>
      </c>
      <c r="G27" s="22">
        <f>G26-SALES!G26+PURCHASE!G26</f>
        <v>154</v>
      </c>
      <c r="H27" s="22">
        <f>H26-SALES!H26+PURCHASE!H26</f>
        <v>106</v>
      </c>
      <c r="I27" s="22">
        <f>I26-SALES!I26+PURCHASE!I26</f>
        <v>52</v>
      </c>
      <c r="J27" s="22">
        <v>0</v>
      </c>
      <c r="K27" s="22">
        <f>K26-SALES!K26+PURCHASE!K26</f>
        <v>25</v>
      </c>
      <c r="L27" s="4">
        <f t="shared" si="0"/>
        <v>1358</v>
      </c>
      <c r="M27" s="25">
        <f t="shared" si="1"/>
        <v>135.80000000000001</v>
      </c>
      <c r="N27" s="3">
        <f>DATE(2023,11,25)</f>
        <v>45255</v>
      </c>
    </row>
    <row r="28" spans="1:14" ht="15.75" customHeight="1" x14ac:dyDescent="0.2">
      <c r="A28" s="3">
        <f>DATE(2023,11,26)</f>
        <v>45256</v>
      </c>
      <c r="B28" s="22">
        <f>B27-SALES!B27+PURCHASE!B27</f>
        <v>440</v>
      </c>
      <c r="C28" s="22">
        <f>C27-SALES!C27+PURCHASE!C27</f>
        <v>110</v>
      </c>
      <c r="D28" s="22">
        <f>D27-SALES!D27+PURCHASE!D27</f>
        <v>78</v>
      </c>
      <c r="E28" s="22">
        <f>E27-SALES!E27+PURCHASE!E27</f>
        <v>55</v>
      </c>
      <c r="F28" s="22">
        <f>F27-SALES!F27+PURCHASE!F27</f>
        <v>70</v>
      </c>
      <c r="G28" s="22">
        <f>G27-SALES!G27+PURCHASE!G27</f>
        <v>114</v>
      </c>
      <c r="H28" s="22">
        <f>H27-SALES!H27+PURCHASE!H27</f>
        <v>84</v>
      </c>
      <c r="I28" s="22">
        <f>I27-SALES!I27+PURCHASE!I27</f>
        <v>32</v>
      </c>
      <c r="J28" s="22">
        <v>0</v>
      </c>
      <c r="K28" s="22">
        <f>K27-SALES!K27+PURCHASE!K27</f>
        <v>14</v>
      </c>
      <c r="L28" s="4">
        <f t="shared" si="0"/>
        <v>997</v>
      </c>
      <c r="M28" s="25">
        <f t="shared" si="1"/>
        <v>99.7</v>
      </c>
      <c r="N28" s="3">
        <f>DATE(2023,11,26)</f>
        <v>45256</v>
      </c>
    </row>
    <row r="29" spans="1:14" ht="15.75" customHeight="1" x14ac:dyDescent="0.2">
      <c r="A29" s="3">
        <f>DATE(2023,11,27)</f>
        <v>45257</v>
      </c>
      <c r="B29" s="22">
        <f>B28-SALES!B28+PURCHASE!B28</f>
        <v>290</v>
      </c>
      <c r="C29" s="22">
        <f>C28-SALES!C28+PURCHASE!C28</f>
        <v>94</v>
      </c>
      <c r="D29" s="22">
        <f>D28-SALES!D28+PURCHASE!D28</f>
        <v>66</v>
      </c>
      <c r="E29" s="22">
        <f>E28-SALES!E28+PURCHASE!E28</f>
        <v>47</v>
      </c>
      <c r="F29" s="22">
        <f>F28-SALES!F28+PURCHASE!F28</f>
        <v>62</v>
      </c>
      <c r="G29" s="22">
        <f>G28-SALES!G28+PURCHASE!G28</f>
        <v>102</v>
      </c>
      <c r="H29" s="22">
        <f>H28-SALES!H28+PURCHASE!H28</f>
        <v>78</v>
      </c>
      <c r="I29" s="22">
        <f>I28-SALES!I28+PURCHASE!I28</f>
        <v>30</v>
      </c>
      <c r="J29" s="22">
        <v>0</v>
      </c>
      <c r="K29" s="22">
        <f>K28-SALES!K28+PURCHASE!K28</f>
        <v>12</v>
      </c>
      <c r="L29" s="4">
        <f t="shared" si="0"/>
        <v>781</v>
      </c>
      <c r="M29" s="25">
        <f t="shared" si="1"/>
        <v>78.099999999999994</v>
      </c>
      <c r="N29" s="3">
        <f>DATE(2023,11,27)</f>
        <v>45257</v>
      </c>
    </row>
    <row r="30" spans="1:14" ht="15.75" customHeight="1" x14ac:dyDescent="0.2">
      <c r="A30" s="3">
        <f>DATE(2023,11,28)</f>
        <v>45258</v>
      </c>
      <c r="B30" s="22">
        <f>B29-SALES!B29+PURCHASE!B29</f>
        <v>680</v>
      </c>
      <c r="C30" s="22">
        <f>C29-SALES!C29+PURCHASE!C29</f>
        <v>214</v>
      </c>
      <c r="D30" s="22">
        <f>D29-SALES!D29+PURCHASE!D29</f>
        <v>48</v>
      </c>
      <c r="E30" s="22">
        <f>E29-SALES!E29+PURCHASE!E29</f>
        <v>37</v>
      </c>
      <c r="F30" s="22">
        <f>F29-SALES!F29+PURCHASE!F29</f>
        <v>46</v>
      </c>
      <c r="G30" s="22">
        <f>G29-SALES!G29+PURCHASE!G29</f>
        <v>90</v>
      </c>
      <c r="H30" s="22">
        <f>H29-SALES!H29+PURCHASE!H29</f>
        <v>118</v>
      </c>
      <c r="I30" s="22">
        <f>I29-SALES!I29+PURCHASE!I29</f>
        <v>26</v>
      </c>
      <c r="J30" s="22">
        <v>0</v>
      </c>
      <c r="K30" s="22">
        <f>K29-SALES!K29+PURCHASE!K29</f>
        <v>11</v>
      </c>
      <c r="L30" s="4">
        <f t="shared" si="0"/>
        <v>1270</v>
      </c>
      <c r="M30" s="25">
        <f t="shared" si="1"/>
        <v>127</v>
      </c>
      <c r="N30" s="3">
        <f>DATE(2023,11,28)</f>
        <v>45258</v>
      </c>
    </row>
    <row r="31" spans="1:14" ht="15.75" customHeight="1" x14ac:dyDescent="0.2">
      <c r="A31" s="3">
        <f>DATE(2023,11,29)</f>
        <v>45259</v>
      </c>
      <c r="B31" s="22">
        <f>B30-SALES!B30+PURCHASE!B30</f>
        <v>420</v>
      </c>
      <c r="C31" s="22">
        <f>C30-SALES!C30+PURCHASE!C30</f>
        <v>154</v>
      </c>
      <c r="D31" s="22">
        <f>D30-SALES!D30+PURCHASE!D30</f>
        <v>68</v>
      </c>
      <c r="E31" s="22">
        <f>E30-SALES!E30+PURCHASE!E30</f>
        <v>59</v>
      </c>
      <c r="F31" s="22">
        <f>F30-SALES!F30+PURCHASE!F30</f>
        <v>82</v>
      </c>
      <c r="G31" s="22">
        <f>G30-SALES!G30+PURCHASE!G30</f>
        <v>72</v>
      </c>
      <c r="H31" s="22">
        <f>H30-SALES!H30+PURCHASE!H30</f>
        <v>90</v>
      </c>
      <c r="I31" s="22">
        <f>I30-SALES!I30+PURCHASE!I30</f>
        <v>18</v>
      </c>
      <c r="J31" s="22">
        <v>0</v>
      </c>
      <c r="K31" s="22">
        <f>K30-SALES!K30+PURCHASE!K30</f>
        <v>16</v>
      </c>
      <c r="L31" s="4">
        <f t="shared" si="0"/>
        <v>979</v>
      </c>
      <c r="M31" s="25">
        <f t="shared" si="1"/>
        <v>97.9</v>
      </c>
      <c r="N31" s="3">
        <f>DATE(2023,11,29)</f>
        <v>45259</v>
      </c>
    </row>
    <row r="32" spans="1:14" ht="15.75" customHeight="1" x14ac:dyDescent="0.2">
      <c r="A32" s="3">
        <f>DATE(2023,11,30)</f>
        <v>45260</v>
      </c>
      <c r="B32" s="22">
        <f>B31-SALES!B31+PURCHASE!B31</f>
        <v>260</v>
      </c>
      <c r="C32" s="22">
        <f>C31-SALES!C31+PURCHASE!C31</f>
        <v>130</v>
      </c>
      <c r="D32" s="22">
        <f>D31-SALES!D31+PURCHASE!D31</f>
        <v>54</v>
      </c>
      <c r="E32" s="22">
        <f>E31-SALES!E31+PURCHASE!E31</f>
        <v>43</v>
      </c>
      <c r="F32" s="22">
        <f>F31-SALES!F31+PURCHASE!F31</f>
        <v>64</v>
      </c>
      <c r="G32" s="22">
        <f>G31-SALES!G31+PURCHASE!G31</f>
        <v>62</v>
      </c>
      <c r="H32" s="22">
        <f>H31-SALES!H31+PURCHASE!H31</f>
        <v>70</v>
      </c>
      <c r="I32" s="22">
        <f>I31-SALES!I31+PURCHASE!I31</f>
        <v>14</v>
      </c>
      <c r="J32" s="22">
        <v>0</v>
      </c>
      <c r="K32" s="22">
        <f>K31-SALES!K31+PURCHASE!K31</f>
        <v>14</v>
      </c>
      <c r="L32" s="4">
        <f t="shared" si="0"/>
        <v>711</v>
      </c>
      <c r="M32" s="25">
        <f t="shared" si="1"/>
        <v>71.099999999999994</v>
      </c>
      <c r="N32" s="3">
        <f>DATE(2023,11,30)</f>
        <v>45260</v>
      </c>
    </row>
    <row r="33" spans="1:14" ht="15.75" customHeight="1" x14ac:dyDescent="0.2">
      <c r="A33" s="3">
        <f>DATE(2023,12,1)</f>
        <v>45261</v>
      </c>
      <c r="B33" s="22">
        <f>B32-SALES!B32+PURCHASE!B32</f>
        <v>104</v>
      </c>
      <c r="C33" s="22">
        <f>C32-SALES!C32+PURCHASE!C32</f>
        <v>104</v>
      </c>
      <c r="D33" s="22">
        <f>D32-SALES!D32+PURCHASE!D32</f>
        <v>38</v>
      </c>
      <c r="E33" s="22">
        <f>E32-SALES!E32+PURCHASE!E32</f>
        <v>33</v>
      </c>
      <c r="F33" s="22">
        <f>F32-SALES!F32+PURCHASE!F32</f>
        <v>52</v>
      </c>
      <c r="G33" s="22">
        <f>G32-SALES!G32+PURCHASE!G32</f>
        <v>48</v>
      </c>
      <c r="H33" s="22">
        <f>H32-SALES!H32+PURCHASE!H32</f>
        <v>48</v>
      </c>
      <c r="I33" s="22">
        <f>I32-SALES!I32+PURCHASE!I32</f>
        <v>12</v>
      </c>
      <c r="J33" s="22">
        <v>0</v>
      </c>
      <c r="K33" s="22">
        <f>K32-SALES!K32+PURCHASE!K32</f>
        <v>4</v>
      </c>
      <c r="L33" s="4">
        <f t="shared" si="0"/>
        <v>443</v>
      </c>
      <c r="M33" s="25">
        <f t="shared" si="1"/>
        <v>44.3</v>
      </c>
      <c r="N33" s="3">
        <f>DATE(2023,12,1)</f>
        <v>45261</v>
      </c>
    </row>
    <row r="34" spans="1:14" ht="15.75" customHeight="1" x14ac:dyDescent="0.2">
      <c r="A34" s="4"/>
      <c r="B34" s="34">
        <f t="shared" ref="B34:K34" si="2">AVERAGE(B3:B33)</f>
        <v>431.09677419354841</v>
      </c>
      <c r="C34" s="34">
        <f t="shared" si="2"/>
        <v>187.09677419354838</v>
      </c>
      <c r="D34" s="34">
        <f t="shared" si="2"/>
        <v>54.322580645161288</v>
      </c>
      <c r="E34" s="34">
        <f t="shared" si="2"/>
        <v>39.838709677419352</v>
      </c>
      <c r="F34" s="34">
        <f t="shared" si="2"/>
        <v>63.483870967741936</v>
      </c>
      <c r="G34" s="34">
        <f t="shared" si="2"/>
        <v>103.09677419354838</v>
      </c>
      <c r="H34" s="34">
        <f t="shared" si="2"/>
        <v>69.548387096774192</v>
      </c>
      <c r="I34" s="34">
        <f t="shared" si="2"/>
        <v>29.903225806451612</v>
      </c>
      <c r="J34" s="34">
        <f t="shared" si="2"/>
        <v>0</v>
      </c>
      <c r="K34" s="34">
        <f t="shared" si="2"/>
        <v>15.290322580645162</v>
      </c>
      <c r="L34" s="12" t="s">
        <v>29</v>
      </c>
      <c r="M34" s="35">
        <f>SUM(M3:M33)/31</f>
        <v>99.367741935483878</v>
      </c>
      <c r="N34" s="4"/>
    </row>
    <row r="35" spans="1:14" ht="15.75" customHeight="1" x14ac:dyDescent="0.2">
      <c r="A35" s="4"/>
      <c r="B35" s="36"/>
      <c r="C35" s="36"/>
      <c r="D35" s="36"/>
      <c r="E35" s="36"/>
      <c r="F35" s="36"/>
      <c r="G35" s="36"/>
      <c r="H35" s="36"/>
      <c r="I35" s="34"/>
      <c r="J35" s="4"/>
      <c r="K35" s="34"/>
      <c r="L35" s="37" t="s">
        <v>30</v>
      </c>
      <c r="M35" s="38">
        <f>M34*PURCHASE!L35</f>
        <v>19345.181254526535</v>
      </c>
      <c r="N35" s="4"/>
    </row>
    <row r="36" spans="1:14" ht="15.75" customHeight="1" x14ac:dyDescent="0.2"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  <c r="G36" s="2" t="s">
        <v>8</v>
      </c>
      <c r="H36" s="2" t="s">
        <v>9</v>
      </c>
      <c r="I36" s="2" t="s">
        <v>10</v>
      </c>
      <c r="J36" s="2" t="s">
        <v>11</v>
      </c>
      <c r="K36" s="2" t="s">
        <v>12</v>
      </c>
    </row>
    <row r="37" spans="1:14" ht="15.75" customHeight="1" x14ac:dyDescent="0.2">
      <c r="B37" s="39">
        <v>431</v>
      </c>
      <c r="C37" s="39">
        <v>187.09677419354838</v>
      </c>
      <c r="D37" s="39">
        <v>54.322580645161288</v>
      </c>
      <c r="E37" s="39">
        <v>40</v>
      </c>
      <c r="F37" s="39">
        <v>63.483870967741936</v>
      </c>
      <c r="G37" s="39">
        <v>103.09677419354838</v>
      </c>
      <c r="H37" s="39">
        <v>70</v>
      </c>
      <c r="I37" s="39">
        <v>30.06451612903226</v>
      </c>
      <c r="J37" s="39">
        <v>0</v>
      </c>
      <c r="K37" s="39">
        <v>15</v>
      </c>
    </row>
    <row r="38" spans="1:14" ht="15.75" customHeight="1" x14ac:dyDescent="0.2"/>
    <row r="39" spans="1:14" ht="12.75" x14ac:dyDescent="0.2"/>
    <row r="40" spans="1:14" ht="23.25" x14ac:dyDescent="0.35">
      <c r="C40" s="81" t="s">
        <v>31</v>
      </c>
      <c r="D40" s="82"/>
      <c r="E40" s="82"/>
    </row>
    <row r="41" spans="1:14" ht="15.75" customHeight="1" x14ac:dyDescent="0.2"/>
    <row r="42" spans="1:14" ht="15.75" customHeight="1" x14ac:dyDescent="0.2"/>
    <row r="43" spans="1:14" ht="15.75" customHeight="1" x14ac:dyDescent="0.2"/>
    <row r="44" spans="1:14" ht="15.75" customHeight="1" x14ac:dyDescent="0.2"/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C32" sqref="C32"/>
    </sheetView>
  </sheetViews>
  <sheetFormatPr defaultColWidth="12.5703125" defaultRowHeight="15" customHeight="1" x14ac:dyDescent="0.2"/>
  <cols>
    <col min="1" max="1" width="23.7109375" customWidth="1"/>
    <col min="2" max="2" width="14.42578125" customWidth="1"/>
    <col min="3" max="3" width="22.85546875" customWidth="1"/>
    <col min="4" max="4" width="22.42578125" customWidth="1"/>
    <col min="5" max="5" width="7" customWidth="1"/>
    <col min="6" max="6" width="20.85546875" customWidth="1"/>
    <col min="7" max="26" width="14.42578125" customWidth="1"/>
  </cols>
  <sheetData>
    <row r="1" spans="1:26" ht="15.75" customHeight="1" x14ac:dyDescent="0.2">
      <c r="A1" s="46" t="s">
        <v>44</v>
      </c>
      <c r="B1" s="73" t="s">
        <v>45</v>
      </c>
      <c r="C1" s="74"/>
      <c r="D1" s="74"/>
      <c r="E1" s="4"/>
      <c r="F1" s="4"/>
      <c r="G1" s="4"/>
      <c r="H1" s="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">
      <c r="A2" s="21"/>
      <c r="B2" s="21" t="s">
        <v>46</v>
      </c>
      <c r="C2" s="21" t="s">
        <v>47</v>
      </c>
      <c r="D2" s="21" t="s">
        <v>48</v>
      </c>
      <c r="E2" s="4"/>
      <c r="F2" s="4"/>
      <c r="G2" s="4"/>
      <c r="H2" s="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2" t="s">
        <v>49</v>
      </c>
      <c r="B3" s="47">
        <v>200000</v>
      </c>
      <c r="C3" s="48">
        <v>0.01</v>
      </c>
      <c r="D3" s="5">
        <f t="shared" ref="D3:D11" si="0">B3*C3</f>
        <v>2000</v>
      </c>
      <c r="E3" s="4"/>
      <c r="F3" s="4"/>
      <c r="G3" s="4"/>
      <c r="H3" s="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">
      <c r="A4" s="49" t="s">
        <v>50</v>
      </c>
      <c r="B4" s="50">
        <v>40000</v>
      </c>
      <c r="C4" s="51">
        <v>0.02</v>
      </c>
      <c r="D4" s="52">
        <f t="shared" si="0"/>
        <v>800</v>
      </c>
      <c r="E4" s="4"/>
      <c r="F4" s="4"/>
      <c r="G4" s="4"/>
      <c r="H4" s="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2" t="s">
        <v>51</v>
      </c>
      <c r="B5" s="47">
        <v>20000</v>
      </c>
      <c r="C5" s="48">
        <v>0.01</v>
      </c>
      <c r="D5" s="5">
        <f t="shared" si="0"/>
        <v>200</v>
      </c>
      <c r="E5" s="4"/>
      <c r="F5" s="4"/>
      <c r="G5" s="4"/>
      <c r="H5" s="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">
      <c r="A6" s="49" t="s">
        <v>52</v>
      </c>
      <c r="B6" s="50">
        <v>130000</v>
      </c>
      <c r="C6" s="51">
        <v>0.02</v>
      </c>
      <c r="D6" s="52">
        <f t="shared" si="0"/>
        <v>2600</v>
      </c>
      <c r="E6" s="4"/>
      <c r="F6" s="4"/>
      <c r="G6" s="4"/>
      <c r="H6" s="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">
      <c r="A7" s="2" t="s">
        <v>53</v>
      </c>
      <c r="B7" s="47">
        <v>3000</v>
      </c>
      <c r="C7" s="48">
        <v>1</v>
      </c>
      <c r="D7" s="5">
        <f t="shared" si="0"/>
        <v>3000</v>
      </c>
      <c r="E7" s="4"/>
      <c r="F7" s="4"/>
      <c r="G7" s="4"/>
      <c r="H7" s="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">
      <c r="A8" s="49" t="s">
        <v>54</v>
      </c>
      <c r="B8" s="50">
        <v>15000</v>
      </c>
      <c r="C8" s="51">
        <v>1</v>
      </c>
      <c r="D8" s="52">
        <f t="shared" si="0"/>
        <v>15000</v>
      </c>
      <c r="E8" s="4"/>
      <c r="F8" s="4"/>
      <c r="G8" s="4"/>
      <c r="H8" s="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2">
      <c r="A9" s="2" t="s">
        <v>55</v>
      </c>
      <c r="B9" s="47">
        <v>1000</v>
      </c>
      <c r="C9" s="48">
        <v>1</v>
      </c>
      <c r="D9" s="5">
        <f t="shared" si="0"/>
        <v>1000</v>
      </c>
      <c r="E9" s="4"/>
      <c r="F9" s="4"/>
      <c r="G9" s="4"/>
      <c r="H9" s="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">
      <c r="A10" s="49" t="s">
        <v>56</v>
      </c>
      <c r="B10" s="50">
        <v>2000</v>
      </c>
      <c r="C10" s="51">
        <v>1</v>
      </c>
      <c r="D10" s="52">
        <f t="shared" si="0"/>
        <v>2000</v>
      </c>
      <c r="E10" s="4"/>
      <c r="F10" s="4"/>
      <c r="G10" s="4"/>
      <c r="H10" s="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">
      <c r="A11" s="2" t="s">
        <v>57</v>
      </c>
      <c r="B11" s="47">
        <v>10000</v>
      </c>
      <c r="C11" s="48">
        <v>1</v>
      </c>
      <c r="D11" s="5">
        <f t="shared" si="0"/>
        <v>10000</v>
      </c>
      <c r="E11" s="4"/>
      <c r="F11" s="4"/>
      <c r="G11" s="4"/>
      <c r="H11" s="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53" t="s">
        <v>58</v>
      </c>
      <c r="B12" s="54">
        <f>SUM(B3:B11)</f>
        <v>421000</v>
      </c>
      <c r="C12" s="53" t="s">
        <v>59</v>
      </c>
      <c r="D12" s="54">
        <f>SUM(D3:D11)</f>
        <v>36600</v>
      </c>
      <c r="E12" s="4"/>
      <c r="F12" s="4"/>
      <c r="G12" s="4"/>
      <c r="H12" s="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4"/>
      <c r="B13" s="4"/>
      <c r="C13" s="4"/>
      <c r="D13" s="4"/>
      <c r="E13" s="4"/>
      <c r="F13" s="4"/>
      <c r="G13" s="4"/>
      <c r="H13" s="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4"/>
      <c r="B14" s="4"/>
      <c r="C14" s="4"/>
      <c r="D14" s="4"/>
      <c r="E14" s="4"/>
      <c r="F14" s="4"/>
      <c r="G14" s="4"/>
      <c r="H14" s="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">
      <c r="A15" s="4"/>
      <c r="B15" s="4"/>
      <c r="C15" s="4"/>
      <c r="D15" s="4"/>
      <c r="E15" s="4"/>
      <c r="F15" s="4"/>
      <c r="G15" s="4"/>
      <c r="H15" s="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">
      <c r="A16" s="75" t="s">
        <v>60</v>
      </c>
      <c r="B16" s="76"/>
      <c r="C16" s="76"/>
      <c r="D16" s="76"/>
      <c r="E16" s="76"/>
      <c r="F16" s="77"/>
      <c r="G16" s="4"/>
      <c r="H16" s="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">
      <c r="A17" s="55" t="s">
        <v>61</v>
      </c>
      <c r="B17" s="55" t="s">
        <v>62</v>
      </c>
      <c r="C17" s="55" t="s">
        <v>63</v>
      </c>
      <c r="D17" s="78" t="s">
        <v>64</v>
      </c>
      <c r="E17" s="74"/>
      <c r="F17" s="74"/>
      <c r="G17" s="4"/>
      <c r="H17" s="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56" t="s">
        <v>13</v>
      </c>
      <c r="B18" s="57">
        <f>SALES!AF34</f>
        <v>847016</v>
      </c>
      <c r="C18" s="58" t="s">
        <v>65</v>
      </c>
      <c r="D18" s="79" t="s">
        <v>66</v>
      </c>
      <c r="E18" s="74"/>
      <c r="F18" s="74"/>
      <c r="G18" s="4"/>
      <c r="H18" s="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4.75" customHeight="1" x14ac:dyDescent="0.2">
      <c r="A19" s="59" t="s">
        <v>67</v>
      </c>
      <c r="B19" s="60">
        <f>PURCHASE!AF37</f>
        <v>745056.41999999993</v>
      </c>
      <c r="C19" s="61" t="s">
        <v>65</v>
      </c>
      <c r="D19" s="80"/>
      <c r="E19" s="74"/>
      <c r="F19" s="74"/>
      <c r="G19" s="4"/>
      <c r="H19" s="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31.5" customHeight="1" x14ac:dyDescent="0.2">
      <c r="A20" s="56" t="s">
        <v>68</v>
      </c>
      <c r="B20" s="57">
        <f>B18-B19</f>
        <v>101959.58000000007</v>
      </c>
      <c r="C20" s="58" t="s">
        <v>65</v>
      </c>
      <c r="D20" s="79"/>
      <c r="E20" s="74"/>
      <c r="F20" s="74"/>
      <c r="G20" s="4"/>
      <c r="H20" s="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5.5" x14ac:dyDescent="0.2">
      <c r="A21" s="59" t="s">
        <v>69</v>
      </c>
      <c r="B21" s="60">
        <f>D12</f>
        <v>36600</v>
      </c>
      <c r="C21" s="61" t="s">
        <v>65</v>
      </c>
      <c r="D21" s="80" t="s">
        <v>70</v>
      </c>
      <c r="E21" s="74"/>
      <c r="F21" s="74"/>
      <c r="G21" s="4"/>
      <c r="H21" s="4" t="s">
        <v>71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8.5" customHeight="1" x14ac:dyDescent="0.2">
      <c r="A22" s="56" t="s">
        <v>72</v>
      </c>
      <c r="B22" s="57">
        <f>B20-B21</f>
        <v>65359.580000000075</v>
      </c>
      <c r="C22" s="58" t="s">
        <v>65</v>
      </c>
      <c r="D22" s="79"/>
      <c r="E22" s="74"/>
      <c r="F22" s="74"/>
      <c r="G22" s="4"/>
      <c r="H22" s="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4.75" customHeight="1" x14ac:dyDescent="0.2">
      <c r="A23" s="59" t="s">
        <v>73</v>
      </c>
      <c r="B23" s="62">
        <f>B20/B18</f>
        <v>0.12037503423784211</v>
      </c>
      <c r="C23" s="61" t="s">
        <v>74</v>
      </c>
      <c r="D23" s="80"/>
      <c r="E23" s="74"/>
      <c r="F23" s="7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6.25" customHeight="1" x14ac:dyDescent="0.2">
      <c r="A24" s="56" t="s">
        <v>75</v>
      </c>
      <c r="B24" s="63">
        <f>B22/B18</f>
        <v>7.7164516372772274E-2</v>
      </c>
      <c r="C24" s="58" t="s">
        <v>76</v>
      </c>
      <c r="D24" s="79" t="s">
        <v>77</v>
      </c>
      <c r="E24" s="74"/>
      <c r="F24" s="7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customHeight="1" x14ac:dyDescent="0.2">
      <c r="A25" s="59" t="s">
        <v>78</v>
      </c>
      <c r="B25" s="60">
        <v>400000</v>
      </c>
      <c r="C25" s="61" t="s">
        <v>65</v>
      </c>
      <c r="D25" s="80"/>
      <c r="E25" s="74"/>
      <c r="F25" s="7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3.75" customHeight="1" x14ac:dyDescent="0.2">
      <c r="A26" s="56" t="s">
        <v>79</v>
      </c>
      <c r="B26" s="57">
        <f>INVENTORY!M35+10000</f>
        <v>29345.181254526535</v>
      </c>
      <c r="C26" s="58" t="s">
        <v>65</v>
      </c>
      <c r="D26" s="79" t="s">
        <v>80</v>
      </c>
      <c r="E26" s="74"/>
      <c r="F26" s="7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3.25" customHeight="1" x14ac:dyDescent="0.2">
      <c r="A27" s="59" t="s">
        <v>81</v>
      </c>
      <c r="B27" s="60">
        <f>B25+B26</f>
        <v>429345.18125452654</v>
      </c>
      <c r="C27" s="61" t="s">
        <v>65</v>
      </c>
      <c r="D27" s="80"/>
      <c r="E27" s="74"/>
      <c r="F27" s="7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34.5" customHeight="1" x14ac:dyDescent="0.2">
      <c r="A28" s="56" t="s">
        <v>82</v>
      </c>
      <c r="B28" s="64">
        <f>B18/B27</f>
        <v>1.9728089122254939</v>
      </c>
      <c r="C28" s="58">
        <v>2.5</v>
      </c>
      <c r="D28" s="79" t="s">
        <v>83</v>
      </c>
      <c r="E28" s="74"/>
      <c r="F28" s="7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32.25" customHeight="1" x14ac:dyDescent="0.2">
      <c r="A29" s="59" t="s">
        <v>84</v>
      </c>
      <c r="B29" s="60">
        <v>400000</v>
      </c>
      <c r="C29" s="61" t="s">
        <v>65</v>
      </c>
      <c r="D29" s="80"/>
      <c r="E29" s="74"/>
      <c r="F29" s="7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51" customHeight="1" x14ac:dyDescent="0.2">
      <c r="A30" s="56" t="s">
        <v>85</v>
      </c>
      <c r="B30" s="64">
        <f>B26/B29</f>
        <v>7.3362953136316342E-2</v>
      </c>
      <c r="C30" s="58" t="s">
        <v>86</v>
      </c>
      <c r="D30" s="79" t="s">
        <v>87</v>
      </c>
      <c r="E30" s="74"/>
      <c r="F30" s="7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50.25" customHeight="1" x14ac:dyDescent="0.2">
      <c r="A31" s="59" t="s">
        <v>88</v>
      </c>
      <c r="B31" s="65">
        <f>B22/(B27-B29)</f>
        <v>2.2272678922342064</v>
      </c>
      <c r="C31" s="61" t="s">
        <v>65</v>
      </c>
      <c r="D31" s="80" t="s">
        <v>89</v>
      </c>
      <c r="E31" s="74"/>
      <c r="F31" s="7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49.5" customHeight="1" x14ac:dyDescent="0.2">
      <c r="A32" s="56" t="s">
        <v>90</v>
      </c>
      <c r="B32" s="66">
        <f>B22/B27</f>
        <v>0.15223084560777517</v>
      </c>
      <c r="C32" s="58" t="s">
        <v>91</v>
      </c>
      <c r="D32" s="84" t="s">
        <v>99</v>
      </c>
      <c r="E32" s="74"/>
      <c r="F32" s="7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8">
    <mergeCell ref="D32:F32"/>
    <mergeCell ref="D22:F22"/>
    <mergeCell ref="D23:F23"/>
    <mergeCell ref="D24:F24"/>
    <mergeCell ref="D25:F25"/>
    <mergeCell ref="D26:F26"/>
    <mergeCell ref="D27:F27"/>
    <mergeCell ref="D28:F28"/>
    <mergeCell ref="D20:F20"/>
    <mergeCell ref="D21:F21"/>
    <mergeCell ref="D29:F29"/>
    <mergeCell ref="D30:F30"/>
    <mergeCell ref="D31:F31"/>
    <mergeCell ref="B1:D1"/>
    <mergeCell ref="A16:F16"/>
    <mergeCell ref="D17:F17"/>
    <mergeCell ref="D18:F18"/>
    <mergeCell ref="D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PURCHASE</vt:lpstr>
      <vt:lpstr>Profit  Loss</vt:lpstr>
      <vt:lpstr>INVENTORY</vt:lpstr>
      <vt:lpstr>PL &amp;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ANISH PAL</cp:lastModifiedBy>
  <dcterms:created xsi:type="dcterms:W3CDTF">2023-12-18T08:18:31Z</dcterms:created>
  <dcterms:modified xsi:type="dcterms:W3CDTF">2023-12-18T08:52:13Z</dcterms:modified>
</cp:coreProperties>
</file>