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fhbielefeldde-my.sharepoint.com/personal/anja_hein_fh-bielefeld_de/Documents/Bachelorarbeit/"/>
    </mc:Choice>
  </mc:AlternateContent>
  <xr:revisionPtr revIDLastSave="3482" documentId="11_AD4DB114E441178AC67DF4C4EED5DD3A683EDF1D" xr6:coauthVersionLast="47" xr6:coauthVersionMax="47" xr10:uidLastSave="{C9E15324-A3BF-4994-88E1-C2232030AD7F}"/>
  <bookViews>
    <workbookView xWindow="-20617" yWindow="-3008" windowWidth="20715" windowHeight="13156" xr2:uid="{00000000-000D-0000-FFFF-FFFF00000000}"/>
  </bookViews>
  <sheets>
    <sheet name="Llama3" sheetId="4" r:id="rId1"/>
    <sheet name="Claude 3.5 Sonnet" sheetId="3" r:id="rId2"/>
    <sheet name="ChatGPT" sheetId="2" r:id="rId3"/>
    <sheet name="Auswertung" sheetId="7" r:id="rId4"/>
  </sheets>
  <definedNames>
    <definedName name="_xlchart.v1.0" hidden="1">ChatGPT!$L$48:$M$87</definedName>
    <definedName name="_xlchart.v1.1" hidden="1">ChatGPT!$N$48:$N$87</definedName>
    <definedName name="_xlchart.v1.2" hidden="1">ChatGPT!$O$48:$O$87</definedName>
    <definedName name="_xlchart.v1.3" hidden="1">Auswertung!$AB$8:$AB$98</definedName>
    <definedName name="_xlchart.v1.4" hidden="1">Auswertung!$AC$7</definedName>
    <definedName name="_xlchart.v1.5" hidden="1">Auswertung!$AC$8:$AC$98</definedName>
    <definedName name="_xlchart.v1.6" hidden="1">Auswertung!$AD$7</definedName>
    <definedName name="_xlchart.v1.7" hidden="1">Auswertung!$AD$8:$AD$98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4" i="7" l="1"/>
  <c r="AE152" i="7"/>
  <c r="AD152" i="7"/>
  <c r="AE148" i="7"/>
  <c r="AD148" i="7"/>
  <c r="AE144" i="7"/>
  <c r="AD144" i="7"/>
  <c r="AH121" i="7"/>
  <c r="AH122" i="7"/>
  <c r="AH123" i="7"/>
  <c r="AH124" i="7"/>
  <c r="AH125" i="7"/>
  <c r="AH126" i="7"/>
  <c r="AH127" i="7"/>
  <c r="AH128" i="7"/>
  <c r="AH129" i="7"/>
  <c r="AH130" i="7"/>
  <c r="AH120" i="7"/>
  <c r="AG121" i="7"/>
  <c r="AG122" i="7"/>
  <c r="AG123" i="7"/>
  <c r="AG124" i="7"/>
  <c r="AG125" i="7"/>
  <c r="AG126" i="7"/>
  <c r="AG127" i="7"/>
  <c r="AG128" i="7"/>
  <c r="AG129" i="7"/>
  <c r="AG130" i="7"/>
  <c r="AG120" i="7"/>
  <c r="K53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J54" i="3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M95" i="2"/>
  <c r="AI47" i="7"/>
  <c r="AK47" i="7"/>
  <c r="AL47" i="7"/>
  <c r="AN47" i="7"/>
  <c r="AO47" i="7"/>
  <c r="AI46" i="7"/>
  <c r="AK46" i="7"/>
  <c r="AL46" i="7"/>
  <c r="AM46" i="7"/>
  <c r="AN46" i="7"/>
  <c r="AO46" i="7"/>
  <c r="AI43" i="7"/>
  <c r="AK43" i="7"/>
  <c r="AL43" i="7"/>
  <c r="AN43" i="7"/>
  <c r="AO43" i="7"/>
  <c r="AK42" i="7"/>
  <c r="AL42" i="7"/>
  <c r="AN42" i="7"/>
  <c r="AO42" i="7"/>
  <c r="AI42" i="7"/>
  <c r="AO38" i="7"/>
  <c r="AN38" i="7"/>
  <c r="AO36" i="7"/>
  <c r="AN36" i="7"/>
  <c r="AL38" i="7"/>
  <c r="AK38" i="7"/>
  <c r="AL36" i="7"/>
  <c r="AK36" i="7"/>
  <c r="AI38" i="7"/>
  <c r="AI36" i="7"/>
  <c r="AH38" i="7"/>
  <c r="AH42" i="7" s="1"/>
  <c r="AH43" i="7" s="1"/>
  <c r="AH36" i="7"/>
  <c r="AN49" i="7"/>
  <c r="AK49" i="7"/>
  <c r="AH49" i="7"/>
  <c r="AO37" i="7"/>
  <c r="AN37" i="7"/>
  <c r="AL37" i="7"/>
  <c r="AK37" i="7"/>
  <c r="AI37" i="7"/>
  <c r="AH37" i="7"/>
  <c r="AO39" i="7"/>
  <c r="AN39" i="7"/>
  <c r="AL39" i="7"/>
  <c r="AK39" i="7"/>
  <c r="AI39" i="7"/>
  <c r="AH39" i="7"/>
  <c r="AO35" i="7"/>
  <c r="AN35" i="7"/>
  <c r="AL35" i="7"/>
  <c r="AK35" i="7"/>
  <c r="AI35" i="7"/>
  <c r="AH35" i="7"/>
  <c r="S2" i="2"/>
  <c r="S4" i="2"/>
  <c r="S5" i="2"/>
  <c r="S7" i="2"/>
  <c r="S9" i="2"/>
  <c r="S10" i="2"/>
  <c r="S11" i="2"/>
  <c r="S13" i="2"/>
  <c r="S14" i="2"/>
  <c r="S15" i="2"/>
  <c r="S16" i="2"/>
  <c r="S19" i="2"/>
  <c r="S20" i="2"/>
  <c r="S21" i="2"/>
  <c r="S22" i="2"/>
  <c r="S23" i="2"/>
  <c r="S25" i="2"/>
  <c r="S26" i="2"/>
  <c r="S28" i="2"/>
  <c r="S31" i="2"/>
  <c r="S33" i="2"/>
  <c r="S35" i="2"/>
  <c r="S38" i="2"/>
  <c r="S39" i="2"/>
  <c r="S40" i="2"/>
  <c r="S41" i="2"/>
  <c r="R2" i="2"/>
  <c r="R4" i="2"/>
  <c r="R5" i="2"/>
  <c r="R6" i="2"/>
  <c r="R7" i="2"/>
  <c r="R9" i="2"/>
  <c r="R10" i="2"/>
  <c r="R11" i="2"/>
  <c r="R13" i="2"/>
  <c r="R14" i="2"/>
  <c r="R15" i="2"/>
  <c r="R16" i="2"/>
  <c r="R19" i="2"/>
  <c r="R20" i="2"/>
  <c r="R21" i="2"/>
  <c r="R22" i="2"/>
  <c r="R23" i="2"/>
  <c r="R25" i="2"/>
  <c r="R26" i="2"/>
  <c r="R28" i="2"/>
  <c r="R31" i="2"/>
  <c r="R33" i="2"/>
  <c r="R35" i="2"/>
  <c r="R38" i="2"/>
  <c r="R39" i="2"/>
  <c r="R40" i="2"/>
  <c r="R41" i="2"/>
  <c r="F65" i="3"/>
  <c r="E65" i="3"/>
  <c r="E66" i="4"/>
  <c r="D66" i="4"/>
  <c r="C66" i="4"/>
  <c r="E70" i="4"/>
  <c r="E69" i="4"/>
  <c r="E68" i="4"/>
  <c r="E67" i="4"/>
  <c r="D70" i="4"/>
  <c r="D69" i="4"/>
  <c r="D68" i="4"/>
  <c r="D67" i="4"/>
  <c r="C70" i="4"/>
  <c r="C69" i="4"/>
  <c r="C68" i="4"/>
  <c r="C67" i="4"/>
  <c r="C54" i="4"/>
  <c r="C53" i="4"/>
  <c r="D53" i="4" s="1"/>
  <c r="C52" i="4"/>
  <c r="D52" i="4" s="1"/>
  <c r="C51" i="4"/>
  <c r="D51" i="4" s="1"/>
  <c r="C50" i="4"/>
  <c r="D50" i="4" s="1"/>
  <c r="G24" i="7"/>
  <c r="G25" i="7"/>
  <c r="G26" i="7"/>
  <c r="G27" i="7"/>
  <c r="G28" i="7"/>
  <c r="G29" i="7"/>
  <c r="G30" i="7"/>
  <c r="G31" i="7"/>
  <c r="G23" i="7"/>
  <c r="F69" i="3"/>
  <c r="F68" i="3"/>
  <c r="F67" i="3"/>
  <c r="F66" i="3"/>
  <c r="E69" i="3"/>
  <c r="E68" i="3"/>
  <c r="E67" i="3"/>
  <c r="E66" i="3"/>
  <c r="D69" i="3"/>
  <c r="D68" i="3"/>
  <c r="D67" i="3"/>
  <c r="D66" i="3"/>
  <c r="D65" i="3"/>
  <c r="D51" i="3"/>
  <c r="D50" i="3"/>
  <c r="E50" i="3" s="1"/>
  <c r="D49" i="3"/>
  <c r="E49" i="3" s="1"/>
  <c r="J66" i="2"/>
  <c r="J65" i="2"/>
  <c r="J64" i="2"/>
  <c r="J63" i="2"/>
  <c r="J62" i="2"/>
  <c r="I66" i="2"/>
  <c r="I65" i="2"/>
  <c r="I64" i="2"/>
  <c r="I63" i="2"/>
  <c r="I62" i="2"/>
  <c r="H66" i="2"/>
  <c r="H65" i="2"/>
  <c r="H64" i="2"/>
  <c r="H62" i="2"/>
  <c r="H63" i="2"/>
  <c r="I45" i="2"/>
  <c r="H49" i="2"/>
  <c r="I49" i="2" s="1"/>
  <c r="H48" i="2"/>
  <c r="I48" i="2" s="1"/>
  <c r="H47" i="2"/>
  <c r="I47" i="2" s="1"/>
  <c r="H46" i="2"/>
  <c r="I46" i="2" s="1"/>
  <c r="C74" i="4" l="1"/>
  <c r="D77" i="4"/>
  <c r="E75" i="4"/>
  <c r="C75" i="4"/>
  <c r="D76" i="3"/>
  <c r="E75" i="3"/>
  <c r="D53" i="3"/>
  <c r="F76" i="3"/>
  <c r="D73" i="3"/>
  <c r="D74" i="3"/>
  <c r="D75" i="3"/>
  <c r="E52" i="3"/>
  <c r="E51" i="3"/>
  <c r="M96" i="2"/>
  <c r="M99" i="2" s="1"/>
  <c r="J70" i="2"/>
  <c r="J71" i="2"/>
  <c r="J72" i="2"/>
  <c r="J73" i="2"/>
  <c r="AH47" i="7"/>
  <c r="AH46" i="7"/>
  <c r="H73" i="2"/>
  <c r="I70" i="2"/>
  <c r="I71" i="2"/>
  <c r="H70" i="2"/>
  <c r="I72" i="2"/>
  <c r="I73" i="2"/>
  <c r="H71" i="2"/>
  <c r="H72" i="2"/>
  <c r="F74" i="3"/>
  <c r="F73" i="3"/>
  <c r="F75" i="3"/>
  <c r="E73" i="3"/>
  <c r="E74" i="3"/>
  <c r="E76" i="3"/>
  <c r="E77" i="4"/>
  <c r="E76" i="4"/>
  <c r="E74" i="4"/>
  <c r="D75" i="4"/>
  <c r="D76" i="4"/>
  <c r="D74" i="4"/>
  <c r="D78" i="4" s="1"/>
  <c r="C77" i="4"/>
  <c r="C76" i="4"/>
  <c r="J74" i="2" l="1"/>
  <c r="D77" i="3"/>
  <c r="C78" i="4"/>
  <c r="E53" i="3"/>
  <c r="F77" i="3"/>
  <c r="E78" i="4"/>
  <c r="H74" i="2"/>
  <c r="I74" i="2"/>
  <c r="E77" i="3"/>
</calcChain>
</file>

<file path=xl/sharedStrings.xml><?xml version="1.0" encoding="utf-8"?>
<sst xmlns="http://schemas.openxmlformats.org/spreadsheetml/2006/main" count="1597" uniqueCount="271">
  <si>
    <t>Notizen</t>
  </si>
  <si>
    <t>ID</t>
  </si>
  <si>
    <t>Project</t>
  </si>
  <si>
    <t>File/Reference</t>
  </si>
  <si>
    <t>Name</t>
  </si>
  <si>
    <t>Signatur</t>
  </si>
  <si>
    <t>Compiliert (ja/nein)</t>
  </si>
  <si>
    <t>Anzahl der Kompilierungsversuche</t>
  </si>
  <si>
    <t>Anzahl generierter Testfälle</t>
  </si>
  <si>
    <t>Anzahl korrekt generierter Tests</t>
  </si>
  <si>
    <t>Line-Coverage</t>
  </si>
  <si>
    <t>Branch-Coverage</t>
  </si>
  <si>
    <t>Anzahl Test nach Reperatur</t>
  </si>
  <si>
    <t>Anzahl korrekt generierter Tests nach Reparatur</t>
  </si>
  <si>
    <t>Line-Coverage nach Reparatur</t>
  </si>
  <si>
    <t>Branch-Coverage nach Reparatur</t>
  </si>
  <si>
    <t>verbessert?</t>
  </si>
  <si>
    <t>Fehler 1</t>
  </si>
  <si>
    <t>Fehler 1 brauchbare Lösung?</t>
  </si>
  <si>
    <t>Fehler  2</t>
  </si>
  <si>
    <t>Fehler  2 brauchbare Lösung?</t>
  </si>
  <si>
    <t>Fehler  3</t>
  </si>
  <si>
    <t>Fehler  3 brauchbare Lösung?</t>
  </si>
  <si>
    <t>korrigiert</t>
  </si>
  <si>
    <t>Notizen2</t>
  </si>
  <si>
    <t>Humanizer</t>
  </si>
  <si>
    <t>https://github.com/Humanizr/Humanizer/blob/main/src/Humanizer/DateHumanizeExtensions.cs#L33</t>
  </si>
  <si>
    <t>Humanize</t>
  </si>
  <si>
    <t>public static string Humanize(this DateTime? input, bool? utcDate = null, DateTime? dateToCompareAgainst = null, CultureInfo? culture = null)</t>
  </si>
  <si>
    <t>ja</t>
  </si>
  <si>
    <t>Kein Code erzeugt (Tests wurden nicht korrigiert)</t>
  </si>
  <si>
    <t>nein</t>
  </si>
  <si>
    <t>x</t>
  </si>
  <si>
    <t>R2: Erneutes Prompting mit R1 mit leicht angepassten Prompt (siehe BA)</t>
  </si>
  <si>
    <t>https://github.com/Humanizr/Humanizer/blob/main/src/Humanizer/EnumDehumanizeExtensions.cs#L45</t>
  </si>
  <si>
    <t>DehumanizeTo</t>
  </si>
  <si>
    <t>public static Enum DehumanizeTo(this string input, Type targetEnum, OnNoMatch onNoMatch = OnNoMatch.ThrowsException)</t>
  </si>
  <si>
    <t>R2: gleicher Fehler, LLM hat den Fehler (CS0815) nicht reparieren können; R3: Unnötige Namesspaces hinzugefügt</t>
  </si>
  <si>
    <t>https://github.com/Humanizr/Humanizer/blob/main/src/Humanizer/ToQuantityExtensions.cs#L63</t>
  </si>
  <si>
    <t>ToQuantity</t>
  </si>
  <si>
    <t>public static string ToQuantity(this string input, long quantity, string? format, IFormatProvider? formatProvider = null) =&gt;
static string ToQuantity(this string input, long quantity, ShowQuantityAs showQuantityAs = ShowQuantityAs.Numeric, string? format = null, IFormatProvider? formatProvider = null)</t>
  </si>
  <si>
    <t>R2: Gleicher Fehler, LLM hat nicht existierende Namespaces nicht angepasst bzw. entfernt.; R3: Namesspace wurde nicht entfernt</t>
  </si>
  <si>
    <t>https://github.com/Humanizr/Humanizer/blob/main/src/Humanizer/EnumHumanizeExtensions.cs#L12</t>
  </si>
  <si>
    <t>public static string Humanize&lt;[DynamicallyAccessedMembers(DynamicallyAccessedMemberTypes.PublicFields)] T&gt;(this T input)</t>
  </si>
  <si>
    <t>https://github.com/Humanizr/Humanizer/blob/main/src/Humanizer/StringHumanizeExtensions.cs#L60</t>
  </si>
  <si>
    <t>public static string Humanize(this string input)</t>
  </si>
  <si>
    <t>R2: gleicher Fehler, LLM hat den Fehler (CS0815) nicht reparieren können; R3: Gleicher Fehler wie bei R2, wurde nicht korrigiert</t>
  </si>
  <si>
    <t>https://github.com/Humanizr/Humanizer/blob/main/src/Humanizer/RomanNumeralExtensions.cs#L69</t>
  </si>
  <si>
    <t>FromRoman</t>
  </si>
  <si>
    <t>public static int FromRoman(CharSpan input)</t>
  </si>
  <si>
    <t>R2: Gleicher Fehler konnte nicht aus R1 behoben werden; R3: Nicht zulässige Typkonvertierung (string zu char[])</t>
  </si>
  <si>
    <t>https://github.com/Humanizr/Humanizer/blob/main/src/Humanizer/RomanNumeralExtensions.cs#L108</t>
  </si>
  <si>
    <t>ToRoman</t>
  </si>
  <si>
    <t>public static string ToRoman(this int input)</t>
  </si>
  <si>
    <t>https://github.com/Humanizr/Humanizer/blob/main/src/Humanizer/HeadingExtensions.cs#L77</t>
  </si>
  <si>
    <t>FromAbbreviatedHeading</t>
  </si>
  <si>
    <t>public static double FromAbbreviatedHeading(this string heading, CultureInfo? culture = null)</t>
  </si>
  <si>
    <t>R2: Erneutes Prompting mit R1 mit leicht angepassten Prompt (siehe BA), Gleicher Fehler konnte nicht behoben werden CS0815; R3: Gleicher Fehler wie in R2</t>
  </si>
  <si>
    <t>https://github.com/Humanizr/Humanizer/blob/main/src/Humanizer/ArticlePrefixSort.cs#L15</t>
  </si>
  <si>
    <t>AppendArticlePrefix</t>
  </si>
  <si>
    <t>public static string[] AppendArticlePrefix(string[] items)</t>
  </si>
  <si>
    <t>R1: Tests mit selben Namen generiert; R2: Gleicher Fehler; Das LLM hat den Fehler in der generierten Erklärung textuell beschrieben, aber in dem generierten Code nicht korrigiert; R3: gleich wie R2</t>
  </si>
  <si>
    <t>https://github.com/Humanizr/Humanizer/blob/main/src/Humanizer/ArticlePrefixSort.cs#L54</t>
  </si>
  <si>
    <t>PrependArticleSuffix</t>
  </si>
  <si>
    <t>public static string[] PrependArticleSuffix(string[] appended)</t>
  </si>
  <si>
    <t>R2: CS0815 gefixt; R3: Expected values waren nicht korrekt</t>
  </si>
  <si>
    <t>Humanizer/src/Humanizer/TruncateExtensions.cs at main · Humanizr/Humanizer · GitHub</t>
  </si>
  <si>
    <t>Truncate</t>
  </si>
  <si>
    <t>public string? Truncate(string? value, int length, string? truncationString, TruncateFrom truncateFrom = TruncateFrom.Right)</t>
  </si>
  <si>
    <t>R2: Eine Reihe von (gleichen) Fehlern wurden nicht korrigiert --&gt; Vermutung LLM hat den generellen Kontext nicht aus dem Prompt verstanden und nimmt (inkorrekte) Annahmen (Haluzination?); R3: CS0815 (Cannot assign &lt;null&gt; to an implicitly-typed variable</t>
  </si>
  <si>
    <t>Humanizer/src/Humanizer/CasingExtensions.cs at main · Humanizr/Humanizer · GitHub</t>
  </si>
  <si>
    <t>ApplyCase</t>
  </si>
  <si>
    <t xml:space="preserve"> public string Transform(string input, CultureInfo? culture)</t>
  </si>
  <si>
    <t>R2: gleicher Fehler, LLM hat den Fehler (CS0815) nicht reparieren können; R3: gleich wie R2</t>
  </si>
  <si>
    <t>FluentValidation</t>
  </si>
  <si>
    <t>https://github.com/FluentValidation/FluentValidation/blob/main/src/FluentValidation/Validators/CreditCardValidator.cs#L35</t>
  </si>
  <si>
    <t>IsValid</t>
  </si>
  <si>
    <t>public override bool IsValid(ValidationContext&lt;T&gt; context, string value)</t>
  </si>
  <si>
    <t>R2: Fehlende Using Direktive wurde nicht ergänzt (gleicher Fehler);R3: Die Using direktie wurde in der zu testenden Methode "Mockup-mäßig" ergänzt, aber nicht in Test.</t>
  </si>
  <si>
    <t>https://github.com/FluentValidation/FluentValidation/blob/main/src/FluentValidation/Validators/EmptyValidator.cs#L31</t>
  </si>
  <si>
    <t>public override bool IsValid(ValidationContext&lt;T&gt; context, TProperty value)</t>
  </si>
  <si>
    <t>Es wurde einfach nen anderes TestFramework (xUnit) verwendet, obwohl im prompt MsTest steht; R2: Gleicher Fehler; R3: Fehlende Using Direktiven und Nutzung von xUnit anstatt MsTest</t>
  </si>
  <si>
    <t>https://github.com/FluentValidation/FluentValidation/blob/main/src/FluentValidation/Validators/ScalePrecisionValidator.cs#L57</t>
  </si>
  <si>
    <t>public override bool IsValid(ValidationContext&lt;T&gt; context, decimal decimalValue)</t>
  </si>
  <si>
    <t>R2: Wiederholt Using Direktive verkackt einzubinden; R3: richtige Using Direktive eingebunden, jetzt Fehler, dass im Test aufgerufene Methode nicht existiert</t>
  </si>
  <si>
    <t>https://github.com/FluentValidation/FluentValidation/blob/main/src/FluentValidation/Validators/LengthValidator.cs#L46</t>
  </si>
  <si>
    <t>R2: Gleicher Fehler (Namesspaces nicht eingebunden); R3: Namespaces nicht eingebunden</t>
  </si>
  <si>
    <t>https://github.com/FluentValidation/FluentValidation/blob/main/src/FluentValidation/Validators/ScalePrecisionValidator.cs#L83</t>
  </si>
  <si>
    <t>Init()</t>
  </si>
  <si>
    <t>private void Init(int scale, int precision)
public ScalePrecisionValidator(int scale, int precision)</t>
  </si>
  <si>
    <t xml:space="preserve">x </t>
  </si>
  <si>
    <t>LLM hat vorgeschlagen die zu testende Methode bezüglich der Sichtbarkeit zu ändern (keine Anforderung lol); R3: Cs1061 (Es wird die Sichtbarkeit von Methoden nicht beachtet; zugriff auf private Methode)</t>
  </si>
  <si>
    <t>https://github.com/FluentValidation/FluentValidation/blob/main/src/FluentValidation/TestHelper/ValidatorTestExtensions.cs#L169</t>
  </si>
  <si>
    <t>WhenAll</t>
  </si>
  <si>
    <t>public static ITestValidationContinuation WhenAll(this ITestValidationContinuation failures, Func&lt;ValidationFailure, bool&gt; failurePredicate, string exceptionMessage = null)</t>
  </si>
  <si>
    <t>R2: Fehlender namespace wurde korrigiert, neuer Fehler beinhaltet CS1929; R3: Gleiche wie R2</t>
  </si>
  <si>
    <t>https://github.com/FluentValidation/FluentValidation/blob/main/src/FluentValidation/TestHelper/ValidatorTestExtensions.cs#L222</t>
  </si>
  <si>
    <t>Only</t>
  </si>
  <si>
    <t>public static ITestValidationWith Only(this ITestValidationWith failures)</t>
  </si>
  <si>
    <t>R2: Unter anderem: Missachtung von Protectionlevel von Klassen/Methoden, CS1929, CS0411; R3: Protection Level missachtet, Zugriff auf Definitionen (Methoden), die nicht existieren</t>
  </si>
  <si>
    <t>https://github.com/FluentValidation/FluentValidation/blob/main/src/FluentValidation/TestHelper/ValidatorTestExtensions.cs#L38</t>
  </si>
  <si>
    <t>ShouldHaveChildValidator</t>
  </si>
  <si>
    <t>public static void ShouldHaveChildValidator&lt;T, TProperty&gt;(this IValidator&lt;T&gt; validator, Expression&lt;Func&lt;T, TProperty&gt;&gt; expression, Type childValidatorType)</t>
  </si>
  <si>
    <t>R2: CS0535; R3: Wie R2</t>
  </si>
  <si>
    <t>https://github.com/FluentValidation/FluentValidation/blob/main/src/FluentValidation/Resources/LanguageManager.cs#L125</t>
  </si>
  <si>
    <t>GetString</t>
  </si>
  <si>
    <t>public virtual string GetString(string key, CultureInfo culture = null)</t>
  </si>
  <si>
    <t>R3: CS1061 (String does not contain a definition of "Should" and np accessible method ...)</t>
  </si>
  <si>
    <t>https://github.com/FluentValidation/FluentValidation/blob/main/src/FluentValidation/Internal/Extensions.cs#L33</t>
  </si>
  <si>
    <t>GetMember</t>
  </si>
  <si>
    <t>public static MemberInfo GetMember&lt;T, TProperty&gt;(this Expression&lt;Func&lt;T, TProperty&gt;&gt; expression)</t>
  </si>
  <si>
    <t>R2: Weiterhin Syntaxtfehler und das LLM hat die zu testende Klasse bzw. Methoden darin selbst implementiert, anstatt den Kontext aus dem Prompt zum Aufruf der Methoden zu nutzen.; R3: Sytaxtfehler</t>
  </si>
  <si>
    <t>https://github.com/FluentValidation/FluentValidation/blob/main/src/FluentValidation/Internal/ExtensionsInternal.cs#L60</t>
  </si>
  <si>
    <t>SplitPascalCase</t>
  </si>
  <si>
    <t>internal static string SplitPascalCase(this string input)</t>
  </si>
  <si>
    <t>Es wurde einfach nen anderes TestFramework (xUnit) verwendet, obwohl im prompt MsTest steht, R2: XUnit wurde beibehalten; R3: XUnit anstelle von MSTest</t>
  </si>
  <si>
    <t>https://github.com/FluentValidation/FluentValidation/blob/main/src/FluentValidation/Internal/MessageFormatter.cs#L75</t>
  </si>
  <si>
    <t>BuildMessage</t>
  </si>
  <si>
    <t>public virtual string BuildMessage(string messageTemplate)</t>
  </si>
  <si>
    <t>R2: Gleiche Fehler (CS1061, CS0815)</t>
  </si>
  <si>
    <t>https://github.com/FluentValidation/FluentValidation/blob/main/src/FluentValidation/Internal/PropertyChain.cs#L61</t>
  </si>
  <si>
    <t>FromExpression</t>
  </si>
  <si>
    <t>public static PropertyChain FromExpression(LambdaExpression expression)</t>
  </si>
  <si>
    <t>R2: CS0411, CS1503, CS0411 (eig. nicht soo relevant); R3: Falsche Typen bei der Eingabe der Argumente in den Methodenaufrufen</t>
  </si>
  <si>
    <t>https://github.com/FluentValidation/FluentValidation/blob/main/src/FluentValidation/Internal/RulesetValidatorSelector.cs#L35</t>
  </si>
  <si>
    <t>CanExecute</t>
  </si>
  <si>
    <t>public virtual bool CanExecute(IValidationRule rule, string propertyPath, IValidationContext context)</t>
  </si>
  <si>
    <t>Das LLM hat nach 3 Versuchen keinen brauchbaren Code generieren können (nur Text, Erklärungen, usw.)</t>
  </si>
  <si>
    <t>MathNet Numerics</t>
  </si>
  <si>
    <t>mathnet-numerics/src/Numerics/Statistics/Correlation.cs at master · mathnet/mathnet-numerics · GitHub</t>
  </si>
  <si>
    <t>WeightedPearson</t>
  </si>
  <si>
    <t>public static double WeightedPearson(IEnumerable&lt;double&gt; dataA, IEnumerable&lt;double&gt; dataB, IEnumerable&lt;double&gt; weights)</t>
  </si>
  <si>
    <t>https://github.com/mathnet/mathnet-numerics/blob/master/src/Numerics/Statistics/StreamingStatistics.cs#L646</t>
  </si>
  <si>
    <t>Covariance</t>
  </si>
  <si>
    <t>public static double Covariance(IEnumerable&lt;double&gt; samples1, IEnumerable&lt;double&gt; samples2)</t>
  </si>
  <si>
    <t>R3: Falscher erwarteter Wert in Assertion</t>
  </si>
  <si>
    <t>https://github.com/mathnet/mathnet-numerics/blob/master/src/Numerics/Statistics/StreamingStatistics.cs#L235</t>
  </si>
  <si>
    <t>MinimumMaginatudePhase</t>
  </si>
  <si>
    <t>public static Complex MinimumMagnitudePhase(IEnumerable&lt;Complex&gt; stream)</t>
  </si>
  <si>
    <t>https://github.com/mathnet/mathnet-numerics/blob/master/src/Numerics/SpecialFunctions/ExponentialIntegral.cs#L60</t>
  </si>
  <si>
    <t>ExponentialIntegral</t>
  </si>
  <si>
    <t>public static double ExponentialIntegral(double x, int n)</t>
  </si>
  <si>
    <t>https://github.com/mathnet/mathnet-numerics/blob/master/src/Numerics/SpecialFunctions/Gamma.cs#L370</t>
  </si>
  <si>
    <t>GammaLowerRegularizedInv</t>
  </si>
  <si>
    <t>public static double GammaLowerRegularizedInv(double a, double y0)</t>
  </si>
  <si>
    <t>Es wurde eine TestMethod genriert, in der jedoch 10 Testcases geprüft werden; R2:Korrekter expecteter Wert konnte nicht korrigiert werden; R3: selbe wie bei R2</t>
  </si>
  <si>
    <t>https://github.com/mathnet/mathnet-numerics/blob/master/src/Numerics/SpecialFunctions/Gamma.cs#L256</t>
  </si>
  <si>
    <t>GammaLowerRegularized</t>
  </si>
  <si>
    <t>public static double GammaLowerRegularized(double a, double x)</t>
  </si>
  <si>
    <t>R3: Namespaces nicht korrekt eingefügt</t>
  </si>
  <si>
    <t>https://github.com/mathnet/mathnet-numerics/blob/master/src/Numerics/ComplexExtensions.cs#L467</t>
  </si>
  <si>
    <t>ToComplex</t>
  </si>
  <si>
    <t>public static Complex ToComplex(this string value, IFormatProvider formatProvider)</t>
  </si>
  <si>
    <t>R2: Fehler (entfernen von nicht existierenden Namesspaces) wurde texttuell vom LLM beschrieben aber im korrigierenden Code nicht entfernt; R3:Namespaces wurden korrigiert; Falsche Nutzung von Operatoren bleibt bestehen</t>
  </si>
  <si>
    <t>https://github.com/mathnet/mathnet-numerics/blob/master/src/Numerics/ComplexExtensions.cs#L252</t>
  </si>
  <si>
    <t>SquareRoot</t>
  </si>
  <si>
    <t>public static Complex SquareRoot(this Complex complex)</t>
  </si>
  <si>
    <t>R2: Korrekte expectete Werte konnten nicht angegeben werden; R3: Korrekte erwartete Rückgabewerte konnten nicht definiert werden in der Assertion</t>
  </si>
  <si>
    <t>https://github.com/mathnet/mathnet-numerics/blob/master/src/Numerics/Combinatorics.cs#L99</t>
  </si>
  <si>
    <t>CombinationsWithRepetition</t>
  </si>
  <si>
    <t>public static double CombinationsWithRepetition(int n, int k)</t>
  </si>
  <si>
    <t>https://github.com/mathnet/mathnet-numerics/blob/master/src/Numerics/Statistics/ArrayStatistics.cs#L498</t>
  </si>
  <si>
    <t>QuantileInplace</t>
  </si>
  <si>
    <t>public static double QuantileInplace(double[] data, double tau)</t>
  </si>
  <si>
    <t>https://github.com/mathnet/mathnet-numerics/blob/master/src/Numerics/Statistics/ArrayStatistics.cs#L759</t>
  </si>
  <si>
    <t>RanksInplace</t>
  </si>
  <si>
    <t>public static double[] RanksInplace(double[] data, RankDefinition definition = RankDefinition.Default)</t>
  </si>
  <si>
    <t>R3: CS0037</t>
  </si>
  <si>
    <t>https://github.com/mathnet/mathnet-numerics/blob/master/src/Numerics/RootFinding/Cubic.cs#L108</t>
  </si>
  <si>
    <t>Roots</t>
  </si>
  <si>
    <t>public static (Complex, Complex, Complex) Roots(double d, double c, double b, double a)</t>
  </si>
  <si>
    <t>https://github.com/mathnet/mathnet-numerics/blob/master/src/Numerics/Series.cs#L71</t>
  </si>
  <si>
    <t>Evaluate</t>
  </si>
  <si>
    <t>public static double Evaluate(IEnumerable&lt;double&gt; infiniteSummands)</t>
  </si>
  <si>
    <t>R2: Weiterhin Probleme Edge Cases zu Prüfen (z.B. CS0121; insbesonsere wenn durch die starke typisierung null Werte nicht als Argument verwendet werden/angenommen werden), R3: Gleicher Fehler wie bei R2</t>
  </si>
  <si>
    <t>https://github.com/mathnet/mathnet-numerics/blob/master/src/Numerics/Distributions/ChiSquared.cs#L298</t>
  </si>
  <si>
    <t>PDF</t>
  </si>
  <si>
    <t>public static double PDF(double freedom, double x)</t>
  </si>
  <si>
    <t>R1: unnötige private Methode die durch einen Syntaxtfehler entstanden ist (es wurde nicht der Sytaxfehler korrigiert, sondern eine private Methode erzeugt); R2: Fehler konnte weiterhin nicht korrigiert werden. Die Methode wird weiterhin verwendet, obwohl sie nicht im ursprünglichen Prompt als Kontext angegeben wurde; R3: Gleich wie bei R2</t>
  </si>
  <si>
    <t>Kompilierungsrate</t>
  </si>
  <si>
    <t>Kompilierte Tests Llama</t>
  </si>
  <si>
    <t>Anteil</t>
  </si>
  <si>
    <t>Anzahl der Tests</t>
  </si>
  <si>
    <t>Anzahl Perfektes Ergebnis</t>
  </si>
  <si>
    <t>Anzahl der Test, die nach initaler Generierung kompilieren</t>
  </si>
  <si>
    <t>Anzahl Verbessert</t>
  </si>
  <si>
    <t>Anzahl der Test, die nach 1. Reparatur kompilierten</t>
  </si>
  <si>
    <t>Anzahl gleich geblieben</t>
  </si>
  <si>
    <t>Anzahl der Test, die nach 2. Reparatur kompilierten</t>
  </si>
  <si>
    <t>Anzahl Verschlechterung</t>
  </si>
  <si>
    <t>Anzahl der Test, die nach 3. Reparatur kompilierten</t>
  </si>
  <si>
    <t>Summe</t>
  </si>
  <si>
    <t>Anzahl der Tests, die kompilierten</t>
  </si>
  <si>
    <t>Anteile für ChatGPT (Projektunabhängig) in %</t>
  </si>
  <si>
    <t>LLama3.1 8B Instruct</t>
  </si>
  <si>
    <t>Nur die Verbesserten (Inwieweit verbessert die reperatur die Coverage?)</t>
  </si>
  <si>
    <t>Initaler Generierungsversuch</t>
  </si>
  <si>
    <t xml:space="preserve">Line </t>
  </si>
  <si>
    <t>Branch</t>
  </si>
  <si>
    <t>New Line</t>
  </si>
  <si>
    <t>New Branch</t>
  </si>
  <si>
    <t>1. Reparatur</t>
  </si>
  <si>
    <t>2. Reperatur</t>
  </si>
  <si>
    <t>3. Reperatur</t>
  </si>
  <si>
    <t>Anzahl der Kompilierten Tests nach Testprojekt für LLama3.1 8B Instruct</t>
  </si>
  <si>
    <t>Anzahl Tests</t>
  </si>
  <si>
    <t>Anteil der kompilierten Tests nach Testprojekt für LLama3.1 8B Instruct</t>
  </si>
  <si>
    <t>Anteil der Tests, die nach initaler Generierung kompilieren</t>
  </si>
  <si>
    <t>Anteil der Tests, die nach 1. Reparatur kompilierten</t>
  </si>
  <si>
    <t>Anteil der Tests, die nach 2. Reparatur kompilierten</t>
  </si>
  <si>
    <t>Anteil der Tests, die nach 3. Reparatur kompilierten</t>
  </si>
  <si>
    <t>Anzahl Tests nach Reperatur</t>
  </si>
  <si>
    <t>Verbessert?</t>
  </si>
  <si>
    <t>korrigiert?</t>
  </si>
  <si>
    <t>Der Fehler in der Kompilierung erfolgt im dritten Durchlauf (Endzustand Test). D.h. durch die vorherigen Testdurchläufe konnte eine Coverage ermittelt werden, die auch ausgewertet wird</t>
  </si>
  <si>
    <t xml:space="preserve">Das LLM ist wegen der Interfaces und Internal-Classes im Bezug auf das Protection Level nicht i Stande gewesen, korrekte Tests zu generieren. </t>
  </si>
  <si>
    <t>Das LLM ist wegen der Interfaces und Internal-Classes im Bezug auf das Protection Level nicht i Stande gewesen, korrekte Tests zu generieren</t>
  </si>
  <si>
    <t>FluentValidation/src/FluentValidation/Internal/MemberNameValidatorSelector.cs at main · FluentValidation/FluentValidation · GitHub</t>
  </si>
  <si>
    <t>Das LLM hatte hier insbesondere wegen der 3-4 Abhängigkeiten (Klassen/Interfaces) Schwierigkeiten den Kontext herzustellen (Member Mehtoden/Variablen)</t>
  </si>
  <si>
    <t>R2: Removed the PDF_NegativeX_ReturnsValidResult test since the Chi-squared distribution is only defined for non-negative x values. Testing negative values would result in NaN due to the mathematical operations involved.</t>
  </si>
  <si>
    <t>Kompilierte Tests Claude</t>
  </si>
  <si>
    <t>Anzahl Gleich geblieben</t>
  </si>
  <si>
    <t>Anzahl Verschlechterungen</t>
  </si>
  <si>
    <t>Anteile für Claude Sonnet 3.5 (Projektunabhängig) in %</t>
  </si>
  <si>
    <t>Claude 3.5 Sonnet</t>
  </si>
  <si>
    <t>Anzahl der Kompilierten Tests nach Testprojekt für Claude Sonnet 3.5</t>
  </si>
  <si>
    <t>Anteil der kompilierten Tests nach Testprojekt für Claude Sonnet 3.5</t>
  </si>
  <si>
    <t>Änderung Line Coverage</t>
  </si>
  <si>
    <t>Änderung Branch Coverage</t>
  </si>
  <si>
    <t>notiz</t>
  </si>
  <si>
    <t>erneuter Compile Error, nachdem assertion fehler korrigiert werden sollte</t>
  </si>
  <si>
    <t>Coverage</t>
  </si>
  <si>
    <t>Initiale Generierung</t>
  </si>
  <si>
    <t>ChatGPT-4o</t>
  </si>
  <si>
    <t>Anzahl der Kompilierten Tests nach Testprojekt für ChatGPT-4o</t>
  </si>
  <si>
    <t>Anteil der kompilierten Tests nach Testprojekt für ChatGPT-4o</t>
  </si>
  <si>
    <t>Claude</t>
  </si>
  <si>
    <t>Kompilierte Tests ChatGPT-4o</t>
  </si>
  <si>
    <t>Anzahl verchlechtert</t>
  </si>
  <si>
    <t>LLM</t>
  </si>
  <si>
    <t>Coverage (enthält nur Tests, die auch kompilieren)</t>
  </si>
  <si>
    <t>Kompilierung (Alles in Anteilen)</t>
  </si>
  <si>
    <t>Initiale Coverage (Welche Coverage liegt vor, wenn die erste kompilierte Version der Testklasse vorliegt und noch keine Reparatur vorgenommen wurde)</t>
  </si>
  <si>
    <t>Claude-3.5-Sonnet</t>
  </si>
  <si>
    <t>Llama-3.1-8B-Instruct</t>
  </si>
  <si>
    <t>Initialer Generierungsversuch</t>
  </si>
  <si>
    <t>2. Reparatur</t>
  </si>
  <si>
    <t>3. Reparatur</t>
  </si>
  <si>
    <t>Das hier ausfüllen  (Abbildung für kummulierte Kompilierungsrate nach Projekt):</t>
  </si>
  <si>
    <t>Llama</t>
  </si>
  <si>
    <t>Line</t>
  </si>
  <si>
    <t>Min</t>
  </si>
  <si>
    <t>unteres Quartil</t>
  </si>
  <si>
    <t>Median</t>
  </si>
  <si>
    <t>oberes Quartil</t>
  </si>
  <si>
    <t>Max</t>
  </si>
  <si>
    <t>Interquartilsabstand</t>
  </si>
  <si>
    <t>IQA</t>
  </si>
  <si>
    <t>1,5 * IQA</t>
  </si>
  <si>
    <t>Außreißer</t>
  </si>
  <si>
    <t>&gt; obere Grenze</t>
  </si>
  <si>
    <t>&lt; untere Grenze</t>
  </si>
  <si>
    <t>Anzahl Datenpunkte</t>
  </si>
  <si>
    <t>Dann eine Darstellung der Anteile für die folgenden drei gruppen: Perfekt, Verbessert, Keine Verbesserung</t>
  </si>
  <si>
    <t>Verbesserung Line</t>
  </si>
  <si>
    <t>Verbesserung Branch</t>
  </si>
  <si>
    <t>AVG Chat</t>
  </si>
  <si>
    <t>AVG Claude</t>
  </si>
  <si>
    <t>AVG Llama</t>
  </si>
  <si>
    <t>⌀</t>
  </si>
  <si>
    <t>Hinweis: Der letzte Balken in jeder Gruppe repräsentiert den Durchschnitt der Verbesserungen für das jeweilige 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</si>
</sst>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/>
    </xf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4" fillId="3" borderId="0" xfId="0" applyFont="1" applyFill="1" applyAlignment="1">
      <alignment horizontal="left" vertical="center" indent="5"/>
    </xf>
  </cellXfs>
  <cellStyles count="2">
    <cellStyle name="Link" xfId="1" builtinId="8"/>
    <cellStyle name="Standard" xfId="0" builtinId="0"/>
  </cellStyles>
  <dxfs count="74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Kommulierte Kompilierungsrate nach Generierungsversuch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ChatGPT!$G$55</c:f>
              <c:strCache>
                <c:ptCount val="1"/>
                <c:pt idx="0">
                  <c:v>Initaler Generierungsversuch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ChatGPT!$H$54</c:f>
              <c:strCache>
                <c:ptCount val="1"/>
                <c:pt idx="0">
                  <c:v>ChatGPT-4o</c:v>
                </c:pt>
              </c:strCache>
            </c:strRef>
          </c:cat>
          <c:val>
            <c:numRef>
              <c:f>ChatGPT!$H$55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B-4B77-A280-9AA9342E3707}"/>
            </c:ext>
          </c:extLst>
        </c:ser>
        <c:ser>
          <c:idx val="1"/>
          <c:order val="1"/>
          <c:tx>
            <c:strRef>
              <c:f>ChatGPT!$G$56</c:f>
              <c:strCache>
                <c:ptCount val="1"/>
                <c:pt idx="0">
                  <c:v>1. Reparatur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ChatGPT!$H$54</c:f>
              <c:strCache>
                <c:ptCount val="1"/>
                <c:pt idx="0">
                  <c:v>ChatGPT-4o</c:v>
                </c:pt>
              </c:strCache>
            </c:strRef>
          </c:cat>
          <c:val>
            <c:numRef>
              <c:f>ChatGPT!$H$56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B-4B77-A280-9AA9342E3707}"/>
            </c:ext>
          </c:extLst>
        </c:ser>
        <c:ser>
          <c:idx val="2"/>
          <c:order val="2"/>
          <c:tx>
            <c:strRef>
              <c:f>ChatGPT!$G$57</c:f>
              <c:strCache>
                <c:ptCount val="1"/>
                <c:pt idx="0">
                  <c:v>2. Reperatur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ChatGPT!$H$54</c:f>
              <c:strCache>
                <c:ptCount val="1"/>
                <c:pt idx="0">
                  <c:v>ChatGPT-4o</c:v>
                </c:pt>
              </c:strCache>
            </c:strRef>
          </c:cat>
          <c:val>
            <c:numRef>
              <c:f>ChatGPT!$H$57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B-4B77-A280-9AA9342E3707}"/>
            </c:ext>
          </c:extLst>
        </c:ser>
        <c:ser>
          <c:idx val="3"/>
          <c:order val="3"/>
          <c:tx>
            <c:strRef>
              <c:f>ChatGPT!$G$58</c:f>
              <c:strCache>
                <c:ptCount val="1"/>
                <c:pt idx="0">
                  <c:v>3. Reperatur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ChatGPT!$H$54</c:f>
              <c:strCache>
                <c:ptCount val="1"/>
                <c:pt idx="0">
                  <c:v>ChatGPT-4o</c:v>
                </c:pt>
              </c:strCache>
            </c:strRef>
          </c:cat>
          <c:val>
            <c:numRef>
              <c:f>ChatGPT!$H$58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B-4B77-A280-9AA9342E37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6566415"/>
        <c:axId val="276568335"/>
      </c:barChart>
      <c:catAx>
        <c:axId val="2765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68335"/>
        <c:crosses val="autoZero"/>
        <c:auto val="1"/>
        <c:lblAlgn val="ctr"/>
        <c:lblOffset val="100"/>
        <c:noMultiLvlLbl val="0"/>
      </c:catAx>
      <c:valAx>
        <c:axId val="276568335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Kompilierungsrate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6641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u="none" strike="noStrike" baseline="0"/>
              <a:t>Kumulierte Kompilierungsrate nach Generierungs- und Reparaturversuchen pro LLM und Projekt</a:t>
            </a: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Auswertung!$C$22</c:f>
              <c:strCache>
                <c:ptCount val="1"/>
                <c:pt idx="0">
                  <c:v>Initialer Generierungsversuch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Auswertung!$A$23:$B$31</c:f>
              <c:multiLvlStrCache>
                <c:ptCount val="9"/>
                <c:lvl>
                  <c:pt idx="0">
                    <c:v>ChatGPT-4o</c:v>
                  </c:pt>
                  <c:pt idx="1">
                    <c:v>Claude-3.5-Sonnet</c:v>
                  </c:pt>
                  <c:pt idx="2">
                    <c:v>Llama-3.1-8B-Instruct</c:v>
                  </c:pt>
                  <c:pt idx="3">
                    <c:v>ChatGPT-4o</c:v>
                  </c:pt>
                  <c:pt idx="4">
                    <c:v>Claude 3.5 Sonnet</c:v>
                  </c:pt>
                  <c:pt idx="5">
                    <c:v>Llama-3.1-8B-Instruct</c:v>
                  </c:pt>
                  <c:pt idx="6">
                    <c:v>ChatGPT-4o</c:v>
                  </c:pt>
                  <c:pt idx="7">
                    <c:v>Claude 3.5 Sonnet</c:v>
                  </c:pt>
                  <c:pt idx="8">
                    <c:v>Llama-3.1-8B-Instruct</c:v>
                  </c:pt>
                </c:lvl>
                <c:lvl>
                  <c:pt idx="0">
                    <c:v>Humanizer</c:v>
                  </c:pt>
                  <c:pt idx="3">
                    <c:v>FluentValidation</c:v>
                  </c:pt>
                  <c:pt idx="6">
                    <c:v>MathNet Numerics</c:v>
                  </c:pt>
                </c:lvl>
              </c:multiLvlStrCache>
            </c:multiLvlStrRef>
          </c:cat>
          <c:val>
            <c:numRef>
              <c:f>Auswertung!$C$23:$C$31</c:f>
              <c:numCache>
                <c:formatCode>0.00</c:formatCode>
                <c:ptCount val="9"/>
                <c:pt idx="0">
                  <c:v>66.666666666666657</c:v>
                </c:pt>
                <c:pt idx="1">
                  <c:v>83.333333333333343</c:v>
                </c:pt>
                <c:pt idx="2">
                  <c:v>8.3333333333333321</c:v>
                </c:pt>
                <c:pt idx="3">
                  <c:v>71.428571428571431</c:v>
                </c:pt>
                <c:pt idx="4">
                  <c:v>64.285714285714292</c:v>
                </c:pt>
                <c:pt idx="5">
                  <c:v>0</c:v>
                </c:pt>
                <c:pt idx="6">
                  <c:v>85.714285714285708</c:v>
                </c:pt>
                <c:pt idx="7">
                  <c:v>64.285714285714292</c:v>
                </c:pt>
                <c:pt idx="8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914-86EA-2E2E869692EB}"/>
            </c:ext>
          </c:extLst>
        </c:ser>
        <c:ser>
          <c:idx val="1"/>
          <c:order val="1"/>
          <c:tx>
            <c:strRef>
              <c:f>Auswertung!$D$22</c:f>
              <c:strCache>
                <c:ptCount val="1"/>
                <c:pt idx="0">
                  <c:v>1. Reparatur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Auswertung!$A$23:$B$31</c:f>
              <c:multiLvlStrCache>
                <c:ptCount val="9"/>
                <c:lvl>
                  <c:pt idx="0">
                    <c:v>ChatGPT-4o</c:v>
                  </c:pt>
                  <c:pt idx="1">
                    <c:v>Claude-3.5-Sonnet</c:v>
                  </c:pt>
                  <c:pt idx="2">
                    <c:v>Llama-3.1-8B-Instruct</c:v>
                  </c:pt>
                  <c:pt idx="3">
                    <c:v>ChatGPT-4o</c:v>
                  </c:pt>
                  <c:pt idx="4">
                    <c:v>Claude 3.5 Sonnet</c:v>
                  </c:pt>
                  <c:pt idx="5">
                    <c:v>Llama-3.1-8B-Instruct</c:v>
                  </c:pt>
                  <c:pt idx="6">
                    <c:v>ChatGPT-4o</c:v>
                  </c:pt>
                  <c:pt idx="7">
                    <c:v>Claude 3.5 Sonnet</c:v>
                  </c:pt>
                  <c:pt idx="8">
                    <c:v>Llama-3.1-8B-Instruct</c:v>
                  </c:pt>
                </c:lvl>
                <c:lvl>
                  <c:pt idx="0">
                    <c:v>Humanizer</c:v>
                  </c:pt>
                  <c:pt idx="3">
                    <c:v>FluentValidation</c:v>
                  </c:pt>
                  <c:pt idx="6">
                    <c:v>MathNet Numerics</c:v>
                  </c:pt>
                </c:lvl>
              </c:multiLvlStrCache>
            </c:multiLvlStrRef>
          </c:cat>
          <c:val>
            <c:numRef>
              <c:f>Auswertung!$D$23:$D$31</c:f>
              <c:numCache>
                <c:formatCode>0.00</c:formatCode>
                <c:ptCount val="9"/>
                <c:pt idx="0">
                  <c:v>25</c:v>
                </c:pt>
                <c:pt idx="1">
                  <c:v>16.666666666666664</c:v>
                </c:pt>
                <c:pt idx="2">
                  <c:v>8.3333333333333321</c:v>
                </c:pt>
                <c:pt idx="3">
                  <c:v>14.285714285714285</c:v>
                </c:pt>
                <c:pt idx="4">
                  <c:v>21.428571428571427</c:v>
                </c:pt>
                <c:pt idx="5">
                  <c:v>0</c:v>
                </c:pt>
                <c:pt idx="6">
                  <c:v>7.1428571428571423</c:v>
                </c:pt>
                <c:pt idx="7">
                  <c:v>28.571428571428569</c:v>
                </c:pt>
                <c:pt idx="8">
                  <c:v>21.428571428571427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F-4914-86EA-2E2E869692EB}"/>
            </c:ext>
          </c:extLst>
        </c:ser>
        <c:ser>
          <c:idx val="2"/>
          <c:order val="2"/>
          <c:tx>
            <c:strRef>
              <c:f>Auswertung!$E$22</c:f>
              <c:strCache>
                <c:ptCount val="1"/>
                <c:pt idx="0">
                  <c:v>2. Reparatur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2F-4914-86EA-2E2E86969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Auswertung!$A$23:$B$31</c:f>
              <c:multiLvlStrCache>
                <c:ptCount val="9"/>
                <c:lvl>
                  <c:pt idx="0">
                    <c:v>ChatGPT-4o</c:v>
                  </c:pt>
                  <c:pt idx="1">
                    <c:v>Claude-3.5-Sonnet</c:v>
                  </c:pt>
                  <c:pt idx="2">
                    <c:v>Llama-3.1-8B-Instruct</c:v>
                  </c:pt>
                  <c:pt idx="3">
                    <c:v>ChatGPT-4o</c:v>
                  </c:pt>
                  <c:pt idx="4">
                    <c:v>Claude 3.5 Sonnet</c:v>
                  </c:pt>
                  <c:pt idx="5">
                    <c:v>Llama-3.1-8B-Instruct</c:v>
                  </c:pt>
                  <c:pt idx="6">
                    <c:v>ChatGPT-4o</c:v>
                  </c:pt>
                  <c:pt idx="7">
                    <c:v>Claude 3.5 Sonnet</c:v>
                  </c:pt>
                  <c:pt idx="8">
                    <c:v>Llama-3.1-8B-Instruct</c:v>
                  </c:pt>
                </c:lvl>
                <c:lvl>
                  <c:pt idx="0">
                    <c:v>Humanizer</c:v>
                  </c:pt>
                  <c:pt idx="3">
                    <c:v>FluentValidation</c:v>
                  </c:pt>
                  <c:pt idx="6">
                    <c:v>MathNet Numerics</c:v>
                  </c:pt>
                </c:lvl>
              </c:multiLvlStrCache>
            </c:multiLvlStrRef>
          </c:cat>
          <c:val>
            <c:numRef>
              <c:f>Auswertung!$E$23:$E$31</c:f>
              <c:numCache>
                <c:formatCode>0.00</c:formatCode>
                <c:ptCount val="9"/>
                <c:pt idx="0">
                  <c:v>8.3333333333333321</c:v>
                </c:pt>
                <c:pt idx="1">
                  <c:v>0</c:v>
                </c:pt>
                <c:pt idx="2">
                  <c:v>8.3333333333333321</c:v>
                </c:pt>
                <c:pt idx="3">
                  <c:v>7.1428571428571423</c:v>
                </c:pt>
                <c:pt idx="4">
                  <c:v>7.1428571428571423</c:v>
                </c:pt>
                <c:pt idx="5">
                  <c:v>0</c:v>
                </c:pt>
                <c:pt idx="6">
                  <c:v>7.1428571428571423</c:v>
                </c:pt>
                <c:pt idx="7">
                  <c:v>7.1428571428571423</c:v>
                </c:pt>
                <c:pt idx="8">
                  <c:v>7.1428571428571423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F-4914-86EA-2E2E869692EB}"/>
            </c:ext>
          </c:extLst>
        </c:ser>
        <c:ser>
          <c:idx val="3"/>
          <c:order val="3"/>
          <c:tx>
            <c:strRef>
              <c:f>Auswertung!$F$22</c:f>
              <c:strCache>
                <c:ptCount val="1"/>
                <c:pt idx="0">
                  <c:v>3. Reparatur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1708723417446837E-2"/>
                      <c:h val="2.56807098507386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E2F-4914-86EA-2E2E869692E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6.0956317468190489E-2"/>
                      <c:h val="3.71133630837376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E2F-4914-86EA-2E2E869692E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2F-4914-86EA-2E2E869692E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2F-4914-86EA-2E2E869692E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2F-4914-86EA-2E2E869692E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2F-4914-86EA-2E2E869692E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2F-4914-86EA-2E2E86969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Auswertung!$A$23:$B$31</c:f>
              <c:multiLvlStrCache>
                <c:ptCount val="9"/>
                <c:lvl>
                  <c:pt idx="0">
                    <c:v>ChatGPT-4o</c:v>
                  </c:pt>
                  <c:pt idx="1">
                    <c:v>Claude-3.5-Sonnet</c:v>
                  </c:pt>
                  <c:pt idx="2">
                    <c:v>Llama-3.1-8B-Instruct</c:v>
                  </c:pt>
                  <c:pt idx="3">
                    <c:v>ChatGPT-4o</c:v>
                  </c:pt>
                  <c:pt idx="4">
                    <c:v>Claude 3.5 Sonnet</c:v>
                  </c:pt>
                  <c:pt idx="5">
                    <c:v>Llama-3.1-8B-Instruct</c:v>
                  </c:pt>
                  <c:pt idx="6">
                    <c:v>ChatGPT-4o</c:v>
                  </c:pt>
                  <c:pt idx="7">
                    <c:v>Claude 3.5 Sonnet</c:v>
                  </c:pt>
                  <c:pt idx="8">
                    <c:v>Llama-3.1-8B-Instruct</c:v>
                  </c:pt>
                </c:lvl>
                <c:lvl>
                  <c:pt idx="0">
                    <c:v>Humanizer</c:v>
                  </c:pt>
                  <c:pt idx="3">
                    <c:v>FluentValidation</c:v>
                  </c:pt>
                  <c:pt idx="6">
                    <c:v>MathNet Numerics</c:v>
                  </c:pt>
                </c:lvl>
              </c:multiLvlStrCache>
            </c:multiLvlStrRef>
          </c:cat>
          <c:val>
            <c:numRef>
              <c:f>Auswertung!$F$23:$F$31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8.3333333333333321</c:v>
                </c:pt>
                <c:pt idx="3">
                  <c:v>7.1428571428571423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F-4914-86EA-2E2E869692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35227072"/>
        <c:axId val="1335226592"/>
      </c:barChart>
      <c:catAx>
        <c:axId val="13352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226592"/>
        <c:crosses val="autoZero"/>
        <c:auto val="1"/>
        <c:lblAlgn val="ctr"/>
        <c:lblOffset val="100"/>
        <c:noMultiLvlLbl val="0"/>
      </c:catAx>
      <c:valAx>
        <c:axId val="1335226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Kompilierungsrate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52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u="none" strike="noStrike" baseline="0"/>
              <a:t>Kumulierte Kompilierungsrate pro LLM nach Generierungs- und Reparaturversuchen</a:t>
            </a:r>
            <a:endParaRPr lang="de-DE" sz="1100"/>
          </a:p>
        </c:rich>
      </c:tx>
      <c:layout>
        <c:manualLayout>
          <c:xMode val="edge"/>
          <c:yMode val="edge"/>
          <c:x val="0.10944669365721997"/>
          <c:y val="2.1750947878905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Auswertung!$A$8</c:f>
              <c:strCache>
                <c:ptCount val="1"/>
                <c:pt idx="0">
                  <c:v>Initialer Generierungsversuch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106612685560054"/>
                  <c:y val="-8.70037915156231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82-4D95-ABA0-52CBC9BCF026}"/>
                </c:ext>
              </c:extLst>
            </c:dLbl>
            <c:dLbl>
              <c:idx val="1"/>
              <c:layout>
                <c:manualLayout>
                  <c:x val="0.10256410256410256"/>
                  <c:y val="-6.525284363671736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809716599190284E-2"/>
                      <c:h val="6.51877620603868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382-4D95-ABA0-52CBC9BCF026}"/>
                </c:ext>
              </c:extLst>
            </c:dLbl>
            <c:dLbl>
              <c:idx val="2"/>
              <c:layout>
                <c:manualLayout>
                  <c:x val="0.102564102564102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82-4D95-ABA0-52CBC9BCF0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Auswertung!$B$7:$D$7</c:f>
              <c:strCache>
                <c:ptCount val="3"/>
                <c:pt idx="0">
                  <c:v>ChatGPT-4o</c:v>
                </c:pt>
                <c:pt idx="1">
                  <c:v>Claude-3.5-Sonnet</c:v>
                </c:pt>
                <c:pt idx="2">
                  <c:v>Llama-3.1-8B-Instruct</c:v>
                </c:pt>
              </c:strCache>
            </c:strRef>
          </c:cat>
          <c:val>
            <c:numRef>
              <c:f>Auswertung!$B$8:$D$8</c:f>
              <c:numCache>
                <c:formatCode>General</c:formatCode>
                <c:ptCount val="3"/>
                <c:pt idx="0">
                  <c:v>75</c:v>
                </c:pt>
                <c:pt idx="1">
                  <c:v>70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2-4D95-ABA0-52CBC9BCF026}"/>
            </c:ext>
          </c:extLst>
        </c:ser>
        <c:ser>
          <c:idx val="1"/>
          <c:order val="1"/>
          <c:tx>
            <c:strRef>
              <c:f>Auswertung!$A$9</c:f>
              <c:strCache>
                <c:ptCount val="1"/>
                <c:pt idx="0">
                  <c:v>1. Reparatur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145748987854246"/>
                  <c:y val="4.350189575781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82-4D95-ABA0-52CBC9BCF026}"/>
                </c:ext>
              </c:extLst>
            </c:dLbl>
            <c:dLbl>
              <c:idx val="1"/>
              <c:layout>
                <c:manualLayout>
                  <c:x val="0.12415654520917668"/>
                  <c:y val="3.9151706182030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82-4D95-ABA0-52CBC9BCF026}"/>
                </c:ext>
              </c:extLst>
            </c:dLbl>
            <c:dLbl>
              <c:idx val="2"/>
              <c:layout>
                <c:manualLayout>
                  <c:x val="9.44669365721997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382-4D95-ABA0-52CBC9BCF0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Auswertung!$B$7:$D$7</c:f>
              <c:strCache>
                <c:ptCount val="3"/>
                <c:pt idx="0">
                  <c:v>ChatGPT-4o</c:v>
                </c:pt>
                <c:pt idx="1">
                  <c:v>Claude-3.5-Sonnet</c:v>
                </c:pt>
                <c:pt idx="2">
                  <c:v>Llama-3.1-8B-Instruct</c:v>
                </c:pt>
              </c:strCache>
            </c:strRef>
          </c:cat>
          <c:val>
            <c:numRef>
              <c:f>Auswertung!$B$9:$D$9</c:f>
              <c:numCache>
                <c:formatCode>General</c:formatCode>
                <c:ptCount val="3"/>
                <c:pt idx="0">
                  <c:v>15</c:v>
                </c:pt>
                <c:pt idx="1">
                  <c:v>22.5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2-4D95-ABA0-52CBC9BCF026}"/>
            </c:ext>
          </c:extLst>
        </c:ser>
        <c:ser>
          <c:idx val="2"/>
          <c:order val="2"/>
          <c:tx>
            <c:strRef>
              <c:f>Auswertung!$A$10</c:f>
              <c:strCache>
                <c:ptCount val="1"/>
                <c:pt idx="0">
                  <c:v>2. Reparatur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415654520917674"/>
                  <c:y val="3.0451498297774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936572199730096E-2"/>
                      <c:h val="6.08375724846056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2382-4D95-ABA0-52CBC9BCF026}"/>
                </c:ext>
              </c:extLst>
            </c:dLbl>
            <c:dLbl>
              <c:idx val="1"/>
              <c:layout>
                <c:manualLayout>
                  <c:x val="0.1214574898785425"/>
                  <c:y val="3.9151706182030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82-4D95-ABA0-52CBC9BCF026}"/>
                </c:ext>
              </c:extLst>
            </c:dLbl>
            <c:dLbl>
              <c:idx val="2"/>
              <c:layout>
                <c:manualLayout>
                  <c:x val="9.4466936572199733E-2"/>
                  <c:y val="-1.3050568727343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82-4D95-ABA0-52CBC9BCF0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Auswertung!$B$7:$D$7</c:f>
              <c:strCache>
                <c:ptCount val="3"/>
                <c:pt idx="0">
                  <c:v>ChatGPT-4o</c:v>
                </c:pt>
                <c:pt idx="1">
                  <c:v>Claude-3.5-Sonnet</c:v>
                </c:pt>
                <c:pt idx="2">
                  <c:v>Llama-3.1-8B-Instruct</c:v>
                </c:pt>
              </c:strCache>
            </c:strRef>
          </c:cat>
          <c:val>
            <c:numRef>
              <c:f>Auswertung!$B$10:$D$10</c:f>
              <c:numCache>
                <c:formatCode>General</c:formatCode>
                <c:ptCount val="3"/>
                <c:pt idx="0">
                  <c:v>7.5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2-4D95-ABA0-52CBC9BCF026}"/>
            </c:ext>
          </c:extLst>
        </c:ser>
        <c:ser>
          <c:idx val="3"/>
          <c:order val="3"/>
          <c:tx>
            <c:strRef>
              <c:f>Auswertung!$A$11</c:f>
              <c:strCache>
                <c:ptCount val="1"/>
                <c:pt idx="0">
                  <c:v>3. Reparatur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145748987854246"/>
                  <c:y val="4.35018957578115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82-4D95-ABA0-52CBC9BCF026}"/>
                </c:ext>
              </c:extLst>
            </c:dLbl>
            <c:dLbl>
              <c:idx val="1"/>
              <c:layout>
                <c:manualLayout>
                  <c:x val="0.1214574898785425"/>
                  <c:y val="-4.3501895757811389E-3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82-4D95-ABA0-52CBC9BCF026}"/>
                </c:ext>
              </c:extLst>
            </c:dLbl>
            <c:dLbl>
              <c:idx val="2"/>
              <c:layout>
                <c:manualLayout>
                  <c:x val="9.176788124156525E-2"/>
                  <c:y val="-6.5252843636717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82-4D95-ABA0-52CBC9BCF0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Auswertung!$B$7:$D$7</c:f>
              <c:strCache>
                <c:ptCount val="3"/>
                <c:pt idx="0">
                  <c:v>ChatGPT-4o</c:v>
                </c:pt>
                <c:pt idx="1">
                  <c:v>Claude-3.5-Sonnet</c:v>
                </c:pt>
                <c:pt idx="2">
                  <c:v>Llama-3.1-8B-Instruct</c:v>
                </c:pt>
              </c:strCache>
            </c:strRef>
          </c:cat>
          <c:val>
            <c:numRef>
              <c:f>Auswertung!$B$11:$D$11</c:f>
              <c:numCache>
                <c:formatCode>General</c:formatCode>
                <c:ptCount val="3"/>
                <c:pt idx="0">
                  <c:v>2.5</c:v>
                </c:pt>
                <c:pt idx="1">
                  <c:v>0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2-4D95-ABA0-52CBC9BCF0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6147008"/>
        <c:axId val="176146528"/>
      </c:barChart>
      <c:catAx>
        <c:axId val="1761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46528"/>
        <c:crosses val="autoZero"/>
        <c:auto val="1"/>
        <c:lblAlgn val="ctr"/>
        <c:lblOffset val="100"/>
        <c:noMultiLvlLbl val="0"/>
      </c:catAx>
      <c:valAx>
        <c:axId val="176146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Kompilierungsrate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Verbesserungen der Line- und Branch-Coverage nach Reparaturen (inkl. Durchschnittswerte pro LLM)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Auswertung!$AD$138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62C-477B-B757-F1AEB96C28C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2C-477B-B757-F1AEB96C28C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2C-477B-B757-F1AEB96C28C1}"/>
              </c:ext>
            </c:extLst>
          </c:dPt>
          <c:dLbls>
            <c:dLbl>
              <c:idx val="0"/>
              <c:layout>
                <c:manualLayout>
                  <c:x val="-1.4371257485029936E-2"/>
                  <c:y val="-1.11226960364229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62C-477B-B757-F1AEB96C28C1}"/>
                </c:ext>
              </c:extLst>
            </c:dLbl>
            <c:dLbl>
              <c:idx val="1"/>
              <c:layout>
                <c:manualLayout>
                  <c:x val="-4.7904191616766467E-3"/>
                  <c:y val="-8.34202202731716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62C-477B-B757-F1AEB96C28C1}"/>
                </c:ext>
              </c:extLst>
            </c:dLbl>
            <c:dLbl>
              <c:idx val="2"/>
              <c:layout>
                <c:manualLayout>
                  <c:x val="-1.5968063872255519E-2"/>
                  <c:y val="-1.11226960364229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62C-477B-B757-F1AEB96C28C1}"/>
                </c:ext>
              </c:extLst>
            </c:dLbl>
            <c:dLbl>
              <c:idx val="3"/>
              <c:layout>
                <c:manualLayout>
                  <c:x val="-9.5808383233533228E-3"/>
                  <c:y val="-8.34202202731726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62C-477B-B757-F1AEB96C28C1}"/>
                </c:ext>
              </c:extLst>
            </c:dLbl>
            <c:dLbl>
              <c:idx val="4"/>
              <c:layout>
                <c:manualLayout>
                  <c:x val="-6.3872255489021952E-3"/>
                  <c:y val="-1.1122696036422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62C-477B-B757-F1AEB96C28C1}"/>
                </c:ext>
              </c:extLst>
            </c:dLbl>
            <c:dLbl>
              <c:idx val="5"/>
              <c:layout>
                <c:manualLayout>
                  <c:x val="-9.5808383233533523E-3"/>
                  <c:y val="-8.34202202731716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2C-477B-B757-F1AEB96C28C1}"/>
                </c:ext>
              </c:extLst>
            </c:dLbl>
            <c:dLbl>
              <c:idx val="6"/>
              <c:layout>
                <c:manualLayout>
                  <c:x val="-9.5808383233533523E-3"/>
                  <c:y val="-1.1122696036422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62C-477B-B757-F1AEB96C28C1}"/>
                </c:ext>
              </c:extLst>
            </c:dLbl>
            <c:dLbl>
              <c:idx val="7"/>
              <c:layout>
                <c:manualLayout>
                  <c:x val="-7.9840319361278028E-3"/>
                  <c:y val="-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2C-477B-B757-F1AEB96C28C1}"/>
                </c:ext>
              </c:extLst>
            </c:dLbl>
            <c:dLbl>
              <c:idx val="8"/>
              <c:layout>
                <c:manualLayout>
                  <c:x val="-4.7904191616766467E-3"/>
                  <c:y val="-1.3903370045528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2C-477B-B757-F1AEB96C28C1}"/>
                </c:ext>
              </c:extLst>
            </c:dLbl>
            <c:dLbl>
              <c:idx val="9"/>
              <c:layout>
                <c:manualLayout>
                  <c:x val="-9.5808383233534113E-3"/>
                  <c:y val="-1.3903370045528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2C-477B-B757-F1AEB96C28C1}"/>
                </c:ext>
              </c:extLst>
            </c:dLbl>
            <c:dLbl>
              <c:idx val="10"/>
              <c:layout>
                <c:manualLayout>
                  <c:x val="-4.7904191616766467E-3"/>
                  <c:y val="-2.5026066081951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2C-477B-B757-F1AEB96C28C1}"/>
                </c:ext>
              </c:extLst>
            </c:dLbl>
            <c:dLbl>
              <c:idx val="11"/>
              <c:layout>
                <c:manualLayout>
                  <c:x val="-1.437125748502994E-2"/>
                  <c:y val="-1.3903370045528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2C-477B-B757-F1AEB96C28C1}"/>
                </c:ext>
              </c:extLst>
            </c:dLbl>
            <c:dLbl>
              <c:idx val="12"/>
              <c:layout>
                <c:manualLayout>
                  <c:x val="-1.9161676646706705E-2"/>
                  <c:y val="-2.22453920728457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2C-477B-B757-F1AEB96C28C1}"/>
                </c:ext>
              </c:extLst>
            </c:dLbl>
            <c:dLbl>
              <c:idx val="13"/>
              <c:layout>
                <c:manualLayout>
                  <c:x val="-6.3872255489021952E-3"/>
                  <c:y val="-2.22453920728457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2C-477B-B757-F1AEB96C2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Auswertung!$AB$139:$AC$152</c:f>
              <c:multiLvlStrCache>
                <c:ptCount val="14"/>
                <c:lvl>
                  <c:pt idx="0">
                    <c:v>4</c:v>
                  </c:pt>
                  <c:pt idx="1">
                    <c:v>15</c:v>
                  </c:pt>
                  <c:pt idx="2">
                    <c:v>20</c:v>
                  </c:pt>
                  <c:pt idx="3">
                    <c:v>30</c:v>
                  </c:pt>
                  <c:pt idx="4">
                    <c:v>32</c:v>
                  </c:pt>
                  <c:pt idx="5">
                    <c:v>⌀</c:v>
                  </c:pt>
                  <c:pt idx="6">
                    <c:v>10</c:v>
                  </c:pt>
                  <c:pt idx="7">
                    <c:v>38</c:v>
                  </c:pt>
                  <c:pt idx="8">
                    <c:v>12</c:v>
                  </c:pt>
                  <c:pt idx="9">
                    <c:v>⌀</c:v>
                  </c:pt>
                  <c:pt idx="10">
                    <c:v>1</c:v>
                  </c:pt>
                  <c:pt idx="11">
                    <c:v>9</c:v>
                  </c:pt>
                  <c:pt idx="12">
                    <c:v>34</c:v>
                  </c:pt>
                  <c:pt idx="13">
                    <c:v>⌀</c:v>
                  </c:pt>
                </c:lvl>
                <c:lvl>
                  <c:pt idx="0">
                    <c:v>ChatGPT-4o</c:v>
                  </c:pt>
                  <c:pt idx="6">
                    <c:v>Claude-3.5-Sonnet</c:v>
                  </c:pt>
                  <c:pt idx="10">
                    <c:v>Llama-3.1-8B-Instruct</c:v>
                  </c:pt>
                </c:lvl>
              </c:multiLvlStrCache>
            </c:multiLvlStrRef>
          </c:cat>
          <c:val>
            <c:numRef>
              <c:f>Auswertung!$AD$139:$AD$152</c:f>
              <c:numCache>
                <c:formatCode>0.00</c:formatCode>
                <c:ptCount val="14"/>
                <c:pt idx="0">
                  <c:v>54.55</c:v>
                </c:pt>
                <c:pt idx="1">
                  <c:v>50</c:v>
                </c:pt>
                <c:pt idx="2">
                  <c:v>6.25</c:v>
                </c:pt>
                <c:pt idx="3">
                  <c:v>2.6300000000000097</c:v>
                </c:pt>
                <c:pt idx="4">
                  <c:v>56.859999999999992</c:v>
                </c:pt>
                <c:pt idx="5">
                  <c:v>34.058</c:v>
                </c:pt>
                <c:pt idx="6">
                  <c:v>33.340000000000003</c:v>
                </c:pt>
                <c:pt idx="7">
                  <c:v>20</c:v>
                </c:pt>
                <c:pt idx="8">
                  <c:v>12.5</c:v>
                </c:pt>
                <c:pt idx="9">
                  <c:v>21.946666666666669</c:v>
                </c:pt>
                <c:pt idx="10">
                  <c:v>25</c:v>
                </c:pt>
                <c:pt idx="11">
                  <c:v>48.15</c:v>
                </c:pt>
                <c:pt idx="12">
                  <c:v>68.66</c:v>
                </c:pt>
                <c:pt idx="13">
                  <c:v>47.27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77B-B757-F1AEB96C28C1}"/>
            </c:ext>
          </c:extLst>
        </c:ser>
        <c:ser>
          <c:idx val="1"/>
          <c:order val="1"/>
          <c:tx>
            <c:strRef>
              <c:f>Auswertung!$AE$138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2C-477B-B757-F1AEB96C28C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62C-477B-B757-F1AEB96C28C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2C-477B-B757-F1AEB96C28C1}"/>
              </c:ext>
            </c:extLst>
          </c:dPt>
          <c:dLbls>
            <c:dLbl>
              <c:idx val="0"/>
              <c:layout>
                <c:manualLayout>
                  <c:x val="1.5968063872255488E-2"/>
                  <c:y val="-8.34202202731716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62C-477B-B757-F1AEB96C28C1}"/>
                </c:ext>
              </c:extLst>
            </c:dLbl>
            <c:dLbl>
              <c:idx val="1"/>
              <c:layout>
                <c:manualLayout>
                  <c:x val="2.2355289421157654E-2"/>
                  <c:y val="-8.34202202731716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62C-477B-B757-F1AEB96C28C1}"/>
                </c:ext>
              </c:extLst>
            </c:dLbl>
            <c:dLbl>
              <c:idx val="2"/>
              <c:layout>
                <c:manualLayout>
                  <c:x val="1.437125748502991E-2"/>
                  <c:y val="-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62C-477B-B757-F1AEB96C28C1}"/>
                </c:ext>
              </c:extLst>
            </c:dLbl>
            <c:dLbl>
              <c:idx val="3"/>
              <c:layout>
                <c:manualLayout>
                  <c:x val="4.7904191616765885E-3"/>
                  <c:y val="-1.66840440546344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62C-477B-B757-F1AEB96C28C1}"/>
                </c:ext>
              </c:extLst>
            </c:dLbl>
            <c:dLbl>
              <c:idx val="4"/>
              <c:layout>
                <c:manualLayout>
                  <c:x val="9.5808383233532933E-3"/>
                  <c:y val="-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62C-477B-B757-F1AEB96C28C1}"/>
                </c:ext>
              </c:extLst>
            </c:dLbl>
            <c:dLbl>
              <c:idx val="5"/>
              <c:layout>
                <c:manualLayout>
                  <c:x val="7.9840319361276866E-3"/>
                  <c:y val="-1.94647180637401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2C-477B-B757-F1AEB96C28C1}"/>
                </c:ext>
              </c:extLst>
            </c:dLbl>
            <c:dLbl>
              <c:idx val="6"/>
              <c:layout>
                <c:manualLayout>
                  <c:x val="9.5808383233532343E-3"/>
                  <c:y val="-1.11226960364229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2C-477B-B757-F1AEB96C28C1}"/>
                </c:ext>
              </c:extLst>
            </c:dLbl>
            <c:dLbl>
              <c:idx val="7"/>
              <c:layout>
                <c:manualLayout>
                  <c:x val="4.7904191616766467E-3"/>
                  <c:y val="-1.1122696036422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2C-477B-B757-F1AEB96C28C1}"/>
                </c:ext>
              </c:extLst>
            </c:dLbl>
            <c:dLbl>
              <c:idx val="8"/>
              <c:layout>
                <c:manualLayout>
                  <c:x val="3.1936127744509805E-3"/>
                  <c:y val="-1.3903370045528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2C-477B-B757-F1AEB96C28C1}"/>
                </c:ext>
              </c:extLst>
            </c:dLbl>
            <c:dLbl>
              <c:idx val="9"/>
              <c:layout>
                <c:manualLayout>
                  <c:x val="4.7904191616766467E-3"/>
                  <c:y val="-2.22453920728457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2C-477B-B757-F1AEB96C28C1}"/>
                </c:ext>
              </c:extLst>
            </c:dLbl>
            <c:dLbl>
              <c:idx val="10"/>
              <c:layout>
                <c:manualLayout>
                  <c:x val="9.5808383233532933E-3"/>
                  <c:y val="-1.66840440546343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2C-477B-B757-F1AEB96C28C1}"/>
                </c:ext>
              </c:extLst>
            </c:dLbl>
            <c:dLbl>
              <c:idx val="11"/>
              <c:layout>
                <c:manualLayout>
                  <c:x val="7.9840319361276276E-3"/>
                  <c:y val="-1.3903370045528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2C-477B-B757-F1AEB96C28C1}"/>
                </c:ext>
              </c:extLst>
            </c:dLbl>
            <c:dLbl>
              <c:idx val="12"/>
              <c:layout>
                <c:manualLayout>
                  <c:x val="6.3872255489021952E-3"/>
                  <c:y val="-1.3903370045528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2C-477B-B757-F1AEB96C28C1}"/>
                </c:ext>
              </c:extLst>
            </c:dLbl>
            <c:dLbl>
              <c:idx val="13"/>
              <c:layout>
                <c:manualLayout>
                  <c:x val="1.4371257485029824E-2"/>
                  <c:y val="-5.56134801821144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2C-477B-B757-F1AEB96C2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Auswertung!$AB$139:$AC$152</c:f>
              <c:multiLvlStrCache>
                <c:ptCount val="14"/>
                <c:lvl>
                  <c:pt idx="0">
                    <c:v>4</c:v>
                  </c:pt>
                  <c:pt idx="1">
                    <c:v>15</c:v>
                  </c:pt>
                  <c:pt idx="2">
                    <c:v>20</c:v>
                  </c:pt>
                  <c:pt idx="3">
                    <c:v>30</c:v>
                  </c:pt>
                  <c:pt idx="4">
                    <c:v>32</c:v>
                  </c:pt>
                  <c:pt idx="5">
                    <c:v>⌀</c:v>
                  </c:pt>
                  <c:pt idx="6">
                    <c:v>10</c:v>
                  </c:pt>
                  <c:pt idx="7">
                    <c:v>38</c:v>
                  </c:pt>
                  <c:pt idx="8">
                    <c:v>12</c:v>
                  </c:pt>
                  <c:pt idx="9">
                    <c:v>⌀</c:v>
                  </c:pt>
                  <c:pt idx="10">
                    <c:v>1</c:v>
                  </c:pt>
                  <c:pt idx="11">
                    <c:v>9</c:v>
                  </c:pt>
                  <c:pt idx="12">
                    <c:v>34</c:v>
                  </c:pt>
                  <c:pt idx="13">
                    <c:v>⌀</c:v>
                  </c:pt>
                </c:lvl>
                <c:lvl>
                  <c:pt idx="0">
                    <c:v>ChatGPT-4o</c:v>
                  </c:pt>
                  <c:pt idx="6">
                    <c:v>Claude-3.5-Sonnet</c:v>
                  </c:pt>
                  <c:pt idx="10">
                    <c:v>Llama-3.1-8B-Instruct</c:v>
                  </c:pt>
                </c:lvl>
              </c:multiLvlStrCache>
            </c:multiLvlStrRef>
          </c:cat>
          <c:val>
            <c:numRef>
              <c:f>Auswertung!$AE$139:$AE$152</c:f>
              <c:numCache>
                <c:formatCode>0.00</c:formatCode>
                <c:ptCount val="14"/>
                <c:pt idx="0">
                  <c:v>83.34</c:v>
                </c:pt>
                <c:pt idx="1">
                  <c:v>50</c:v>
                </c:pt>
                <c:pt idx="2">
                  <c:v>16.670000000000002</c:v>
                </c:pt>
                <c:pt idx="3">
                  <c:v>4.1700000000000017</c:v>
                </c:pt>
                <c:pt idx="4">
                  <c:v>29.17</c:v>
                </c:pt>
                <c:pt idx="5">
                  <c:v>36.67</c:v>
                </c:pt>
                <c:pt idx="6">
                  <c:v>37.5</c:v>
                </c:pt>
                <c:pt idx="7">
                  <c:v>16.670000000000002</c:v>
                </c:pt>
                <c:pt idx="8">
                  <c:v>20</c:v>
                </c:pt>
                <c:pt idx="9">
                  <c:v>24.723333333333333</c:v>
                </c:pt>
                <c:pt idx="10">
                  <c:v>16.659999999999997</c:v>
                </c:pt>
                <c:pt idx="11">
                  <c:v>50</c:v>
                </c:pt>
                <c:pt idx="12">
                  <c:v>75</c:v>
                </c:pt>
                <c:pt idx="13">
                  <c:v>47.22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C-477B-B757-F1AEB96C28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988672"/>
        <c:axId val="403990112"/>
      </c:barChart>
      <c:catAx>
        <c:axId val="40398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/>
                  <a:t>Individuelle Testfälle und Durchschnittswert pro LLM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4870190328005402"/>
              <c:y val="0.87742745177720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990112"/>
        <c:crosses val="autoZero"/>
        <c:auto val="1"/>
        <c:lblAlgn val="ctr"/>
        <c:lblOffset val="100"/>
        <c:noMultiLvlLbl val="0"/>
      </c:catAx>
      <c:valAx>
        <c:axId val="4039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Verbesserung der Coverage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9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Diagrammtitel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Diagrammtitel</a:t>
          </a:r>
        </a:p>
      </cx:txPr>
    </cx:title>
    <cx:plotArea>
      <cx:plotAreaRegion>
        <cx:series layoutId="boxWhisker" uniqueId="{03E3AD03-D1A5-433C-B32E-33172C7AD716}">
          <cx:tx>
            <cx:txData>
              <cx:f/>
              <cx:v>Line-Coverage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97EE9A-759C-4026-AEFC-894E1D25B59B}">
          <cx:tx>
            <cx:txData>
              <cx:f/>
              <cx:v>Branch-Coverage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Initiale Line- und Branch-Coverage bei der ersten kompilierbaren Testklasse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Initiale Line- und Branch-Coverage bei der ersten kompilierbaren Testklasse</a:t>
          </a:r>
        </a:p>
      </cx:txPr>
    </cx:title>
    <cx:plotArea>
      <cx:plotAreaRegion>
        <cx:series layoutId="boxWhisker" uniqueId="{BFB5CF74-BDF7-4D6F-A621-969477C2F677}">
          <cx:tx>
            <cx:txData>
              <cx:f>_xlchart.v1.4</cx:f>
              <cx:v>Line-Coverage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  <cx:dataLabelHidden idx="5"/>
            <cx:dataLabelHidden idx="39"/>
            <cx:dataLabelHidden idx="40"/>
            <cx:dataLabelHidden idx="42"/>
            <cx:dataLabelHidden idx="49"/>
            <cx:dataLabelHidden idx="83"/>
            <cx:dataLabelHidden idx="84"/>
            <cx:dataLabelHidden idx="85"/>
            <cx:dataLabelHidden idx="87"/>
            <cx:dataLabelHidden idx="98"/>
            <cx:dataLabelHidden idx="99"/>
            <cx:dataLabelHidden idx="101"/>
          </cx:dataLabels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61995520-F652-4A88-95DE-94AECDE98C56}">
          <cx:tx>
            <cx:txData>
              <cx:f>_xlchart.v1.6</cx:f>
              <cx:v>Branch-Coverage</cx:v>
            </cx:txData>
          </cx:tx>
          <cx:dataLabels>
            <cx:numFmt formatCode="Standard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3"/>
            <cx:dataLabelHidden idx="39"/>
            <cx:dataLabelHidden idx="40"/>
            <cx:dataLabelHidden idx="42"/>
            <cx:dataLabelHidden idx="47"/>
            <cx:dataLabelHidden idx="82"/>
            <cx:dataLabelHidden idx="83"/>
            <cx:dataLabelHidden idx="87"/>
            <cx:dataLabelHidden idx="98"/>
            <cx:dataLabelHidden idx="99"/>
            <cx:dataLabelHidden idx="101"/>
          </cx:dataLabels>
          <cx:dataId val="1"/>
          <cx:layoutPr>
            <cx:visibility meanLine="0" meanMarker="0" nonoutliers="0" outliers="1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 max="100"/>
        <cx:title>
          <cx:tx>
            <cx:txData>
              <cx:v>Coverage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Coverage [%]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1876424</xdr:colOff>
      <xdr:row>75</xdr:row>
      <xdr:rowOff>61911</xdr:rowOff>
    </xdr:from>
    <xdr:to>
      <xdr:col>7</xdr:col>
      <xdr:colOff>3286124</xdr:colOff>
      <xdr:row>97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0C9A71-3562-240E-EBFE-CB638A92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49</xdr:row>
      <xdr:rowOff>95250</xdr:rowOff>
    </xdr:from>
    <xdr:to>
      <xdr:col>20</xdr:col>
      <xdr:colOff>542925</xdr:colOff>
      <xdr:row>66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D2D0A7E-14B2-4A4F-1862-525BFA9C62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2875" y="9953625"/>
              <a:ext cx="7505700" cy="3205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123426</xdr:colOff>
      <xdr:row>18</xdr:row>
      <xdr:rowOff>41996</xdr:rowOff>
    </xdr:from>
    <xdr:to>
      <xdr:col>18</xdr:col>
      <xdr:colOff>523476</xdr:colOff>
      <xdr:row>41</xdr:row>
      <xdr:rowOff>103909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1F48B7-2C71-18BC-150F-B6F58E51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10182</xdr:colOff>
      <xdr:row>1</xdr:row>
      <xdr:rowOff>145994</xdr:rowOff>
    </xdr:from>
    <xdr:to>
      <xdr:col>18</xdr:col>
      <xdr:colOff>143532</xdr:colOff>
      <xdr:row>17</xdr:row>
      <xdr:rowOff>17407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E5F443-1440-D008-C2D4-2D2287DDE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44825</xdr:colOff>
      <xdr:row>6</xdr:row>
      <xdr:rowOff>113179</xdr:rowOff>
    </xdr:from>
    <xdr:to>
      <xdr:col>38</xdr:col>
      <xdr:colOff>649941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18AB2A6E-5845-7D2F-2D9F-CBE5CAB03A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29950" y="1256179"/>
              <a:ext cx="7015441" cy="4649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276224</xdr:colOff>
      <xdr:row>137</xdr:row>
      <xdr:rowOff>185737</xdr:rowOff>
    </xdr:from>
    <xdr:to>
      <xdr:col>26</xdr:col>
      <xdr:colOff>1371599</xdr:colOff>
      <xdr:row>161</xdr:row>
      <xdr:rowOff>180975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F581E73-68A7-5F93-7BF9-9EEA14D40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38100</xdr:colOff>
      <xdr:row>113</xdr:row>
      <xdr:rowOff>114300</xdr:rowOff>
    </xdr:from>
    <xdr:to>
      <xdr:col>25</xdr:col>
      <xdr:colOff>144001</xdr:colOff>
      <xdr:row>125</xdr:row>
      <xdr:rowOff>19356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BF8B537C-D2AC-4045-BBC1-B511942D2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40350" y="21640800"/>
          <a:ext cx="8068801" cy="21910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5E373F-F625-4FB8-817C-4F709667E527}" name="Tabelle1345" displayName="Tabelle1345" ref="A1:Y41" totalsRowShown="0" dataDxfId="73">
  <autoFilter ref="A1:Y41" xr:uid="{1FADB8E5-A00C-42F3-892B-A1B4218635A8}"/>
  <tableColumns count="25">
    <tableColumn id="14" xr3:uid="{638C55DD-90AC-4417-8EE9-510EAAE0F06D}" name="Notizen" dataDxfId="72"/>
    <tableColumn id="1" xr3:uid="{034AD9CA-6E6D-4D1B-9AD8-A8834AF84355}" name="ID" dataDxfId="71"/>
    <tableColumn id="2" xr3:uid="{7370BE18-E502-4916-8809-65106A98BB51}" name="Project" dataDxfId="70"/>
    <tableColumn id="4" xr3:uid="{FF0F0B61-6F0B-41BF-81D8-8E1FD53FB761}" name="File/Reference" dataDxfId="69"/>
    <tableColumn id="3" xr3:uid="{0FEAE370-C9F3-4C43-B113-E4AB4D9E3179}" name="Name" dataDxfId="68"/>
    <tableColumn id="13" xr3:uid="{DA032CEF-D165-4C1B-8CF4-965FBA0BEF57}" name="Signatur" dataDxfId="67"/>
    <tableColumn id="5" xr3:uid="{7A0ECB32-42C1-4A91-B035-9FCD91FFDA2C}" name="Compiliert (ja/nein)" dataDxfId="66"/>
    <tableColumn id="6" xr3:uid="{C2D86BDB-49AE-416D-9B5F-37BB6DD5BDB2}" name="Anzahl der Kompilierungsversuche" dataDxfId="65"/>
    <tableColumn id="12" xr3:uid="{C7B740A7-B910-4A69-AA04-90E7E23BFA57}" name="Anzahl generierter Testfälle" dataDxfId="64"/>
    <tableColumn id="15" xr3:uid="{7E5C35AC-F96B-4DF2-A07A-3693E4531698}" name="Anzahl korrekt generierter Tests" dataDxfId="63"/>
    <tableColumn id="7" xr3:uid="{3AE1F706-1400-402F-91F0-90AD9684AF39}" name="Line-Coverage" dataDxfId="62"/>
    <tableColumn id="8" xr3:uid="{A5666A55-501A-4090-82DF-AF69EBC3A54C}" name="Branch-Coverage" dataDxfId="61"/>
    <tableColumn id="19" xr3:uid="{058A4B76-1C3F-4B66-8994-83F451614425}" name="Anzahl Test nach Reperatur" dataDxfId="60"/>
    <tableColumn id="16" xr3:uid="{0FA14785-BF93-432D-8802-838096617828}" name="Anzahl korrekt generierter Tests nach Reparatur" dataDxfId="59"/>
    <tableColumn id="17" xr3:uid="{65C9B266-8E44-434F-BEE5-0F1516D9A1EA}" name="Line-Coverage nach Reparatur" dataDxfId="58"/>
    <tableColumn id="18" xr3:uid="{7CBCDC7E-52B6-42D1-A660-FCF3604A32F8}" name="Branch-Coverage nach Reparatur" dataDxfId="57"/>
    <tableColumn id="25" xr3:uid="{8CDC8D0A-8016-43D6-AA8B-0335804F7392}" name="verbessert?" dataDxfId="56">
      <calculatedColumnFormula>IF(Tabelle1345[[#This Row],[Branch-Coverage nach Reparatur]]&gt;Tabelle1345[[#This Row],[Branch-Coverage]],"ja","nein")</calculatedColumnFormula>
    </tableColumn>
    <tableColumn id="9" xr3:uid="{DE25A51C-104A-4121-A4FF-5C40552301D3}" name="Fehler 1" dataDxfId="55"/>
    <tableColumn id="22" xr3:uid="{08F20DE9-B986-49D0-A3EE-C8EB27B81420}" name="Fehler 1 brauchbare Lösung?" dataDxfId="54"/>
    <tableColumn id="10" xr3:uid="{D11152B0-B3D0-4AAB-9194-396F40D3DB34}" name="Fehler  2" dataDxfId="53"/>
    <tableColumn id="23" xr3:uid="{C983AF3E-6680-4375-950A-E46445D1797A}" name="Fehler  2 brauchbare Lösung?" dataDxfId="52"/>
    <tableColumn id="11" xr3:uid="{62939EFB-AA6A-4E64-B622-4808E68E9217}" name="Fehler  3" dataDxfId="51"/>
    <tableColumn id="24" xr3:uid="{182B6D5D-DC09-41FA-84D1-A5D77703F242}" name="Fehler  3 brauchbare Lösung?" dataDxfId="50"/>
    <tableColumn id="20" xr3:uid="{62339819-923A-4780-A2FB-095FFA71ED09}" name="korrigiert" dataDxfId="49"/>
    <tableColumn id="21" xr3:uid="{E0C33A67-76B0-4316-8637-E459A7621BAE}" name="Notizen2" dataDxfId="4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F142E-587E-4AFF-B8D0-8F712A362C59}" name="Tabelle134" displayName="Tabelle134" ref="A1:V41" totalsRowShown="0" dataDxfId="47">
  <autoFilter ref="A1:V41" xr:uid="{1FADB8E5-A00C-42F3-892B-A1B4218635A8}"/>
  <sortState xmlns:xlrd2="http://schemas.microsoft.com/office/spreadsheetml/2017/richdata2" ref="A2:V41">
    <sortCondition ref="B1:B41"/>
  </sortState>
  <tableColumns count="22">
    <tableColumn id="14" xr3:uid="{567E181F-23B3-4193-90DE-F05D5BA730F4}" name="Notizen" dataDxfId="46"/>
    <tableColumn id="1" xr3:uid="{77F44551-D00A-407E-B2E5-B131AA3E3226}" name="ID" dataDxfId="45"/>
    <tableColumn id="2" xr3:uid="{16B60669-3E7E-44B8-A4E8-26F71538C6EA}" name="Project" dataDxfId="44"/>
    <tableColumn id="4" xr3:uid="{8ADE7864-E687-4569-9B9A-7439FA7432A2}" name="File/Reference" dataDxfId="43"/>
    <tableColumn id="3" xr3:uid="{66282B73-FACF-4D58-9506-D482705FD6A2}" name="Name" dataDxfId="42"/>
    <tableColumn id="13" xr3:uid="{77F49D9A-E064-4DF1-B78D-0B504265C436}" name="Signatur" dataDxfId="41"/>
    <tableColumn id="5" xr3:uid="{596BA671-F13B-4A62-AE2A-EA9BF095516A}" name="Compiliert (ja/nein)" dataDxfId="40"/>
    <tableColumn id="6" xr3:uid="{92687E3A-A76F-4526-83F4-BFF2E69B695B}" name="Anzahl der Kompilierungsversuche" dataDxfId="39"/>
    <tableColumn id="12" xr3:uid="{BF8DCF31-6939-47E8-B574-543037C44E30}" name="Anzahl generierter Testfälle" dataDxfId="38"/>
    <tableColumn id="15" xr3:uid="{4FDEEFBD-B462-434B-8219-6812F8AAB84B}" name="Anzahl korrekt generierter Tests" dataDxfId="37"/>
    <tableColumn id="7" xr3:uid="{FDD24FD3-0EC0-47FD-BDC6-F942B710B877}" name="Line-Coverage" dataDxfId="36"/>
    <tableColumn id="8" xr3:uid="{841F2F9A-0D28-4716-B7C1-6A50AE047883}" name="Branch-Coverage" dataDxfId="35"/>
    <tableColumn id="20" xr3:uid="{B0D5131C-65CC-4D27-AEA9-8CA321217202}" name="Anzahl Tests nach Reperatur" dataDxfId="34"/>
    <tableColumn id="16" xr3:uid="{B67F3E84-1501-4B01-8ACA-0A1524039E88}" name="Anzahl korrekt generierter Tests nach Reparatur" dataDxfId="33"/>
    <tableColumn id="17" xr3:uid="{3F7C2CDE-DEA6-4754-B896-AA9BF6FF9721}" name="Line-Coverage nach Reparatur" dataDxfId="32"/>
    <tableColumn id="18" xr3:uid="{6C9868C2-D182-4D3E-9E26-B2A7949CD512}" name="Branch-Coverage nach Reparatur" dataDxfId="31"/>
    <tableColumn id="22" xr3:uid="{415BB164-311C-4EA3-BFD3-C9D65D27FC9A}" name="Verbessert?" dataDxfId="30">
      <calculatedColumnFormula>IF(Tabelle134[[#This Row],[Branch-Coverage nach Reparatur]]&gt;Tabelle134[[#This Row],[Branch-Coverage]],"ja","nein")</calculatedColumnFormula>
    </tableColumn>
    <tableColumn id="9" xr3:uid="{68C50052-DE3D-4BCF-B2BF-CDA4FCBFFB64}" name="Fehler 1" dataDxfId="29"/>
    <tableColumn id="10" xr3:uid="{373C73E7-2E42-4F7E-A4BF-952DC3C9A545}" name="Fehler  2" dataDxfId="28"/>
    <tableColumn id="11" xr3:uid="{DBD596DD-4F89-4135-9A92-48036A0ACBE1}" name="Fehler  3" dataDxfId="27"/>
    <tableColumn id="19" xr3:uid="{9A7010CF-4F4D-4A17-B997-8C165562F280}" name="korrigiert?" dataDxfId="26"/>
    <tableColumn id="21" xr3:uid="{542BAA08-FDA4-49B5-A08C-F303A252F811}" name="Notizen2" dataDxfId="2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55A978-8493-49A5-848C-6A2ECF16F370}" name="Tabelle13" displayName="Tabelle13" ref="A1:X41" totalsRowShown="0" dataDxfId="24">
  <autoFilter ref="A1:X41" xr:uid="{1FADB8E5-A00C-42F3-892B-A1B4218635A8}"/>
  <tableColumns count="24">
    <tableColumn id="14" xr3:uid="{4C01CFE7-817E-4597-A818-3EF5CC84F248}" name="Notizen" dataDxfId="23"/>
    <tableColumn id="1" xr3:uid="{88C5E86D-0601-424B-ADE7-EB21BC605957}" name="ID" dataDxfId="22"/>
    <tableColumn id="2" xr3:uid="{07ABA7BD-FE95-4367-BE6A-983D4703BCC5}" name="Project" dataDxfId="21"/>
    <tableColumn id="4" xr3:uid="{1DCF0D56-F127-4E26-A33B-5EFC2480C148}" name="File/Reference" dataDxfId="20"/>
    <tableColumn id="3" xr3:uid="{16E0CA21-09FD-498B-9AD7-AA48AA320405}" name="Name" dataDxfId="19"/>
    <tableColumn id="13" xr3:uid="{2E7CA3BC-C50A-4C85-B9E3-C279922E70B0}" name="Signatur" dataDxfId="18"/>
    <tableColumn id="5" xr3:uid="{B691D040-A550-4FD1-AA01-14959E509A9E}" name="Compiliert (ja/nein)" dataDxfId="17"/>
    <tableColumn id="6" xr3:uid="{820B788F-BFC0-49FA-8CDC-908A8037C9EA}" name="Anzahl der Kompilierungsversuche" dataDxfId="16"/>
    <tableColumn id="12" xr3:uid="{5874C5DC-CAE4-40AB-A9AF-7049A07DC589}" name="Anzahl generierter Testfälle" dataDxfId="15"/>
    <tableColumn id="15" xr3:uid="{C7C81856-0E5E-414A-A8F8-7508D1F2C20C}" name="Anzahl korrekt generierter Tests" dataDxfId="14"/>
    <tableColumn id="7" xr3:uid="{D7C502B6-16A6-4A83-B295-D572463C90BF}" name="Line-Coverage" dataDxfId="13"/>
    <tableColumn id="8" xr3:uid="{41FEECEB-670A-41B9-AD34-EB803F73AAB9}" name="Branch-Coverage" dataDxfId="12"/>
    <tableColumn id="20" xr3:uid="{02F18B6E-E1DB-4226-8362-2E6AE8F8CA81}" name="Anzahl Tests nach Reperatur" dataDxfId="11"/>
    <tableColumn id="16" xr3:uid="{34B8B937-54FA-48CE-B7D4-B69813E1FD89}" name="Anzahl korrekt generierter Tests nach Reparatur" dataDxfId="10"/>
    <tableColumn id="17" xr3:uid="{B155F372-B3C7-444A-9112-213EE383141C}" name="Line-Coverage nach Reparatur" dataDxfId="9"/>
    <tableColumn id="18" xr3:uid="{E7B844DA-241F-4B6D-8C77-6EF8ADF38A2B}" name="Branch-Coverage nach Reparatur" dataDxfId="8"/>
    <tableColumn id="24" xr3:uid="{FC5F99AE-E40B-40F0-A08A-51B7E52F9C3C}" name="Verbessert?" dataDxfId="7">
      <calculatedColumnFormula>IF(Tabelle13[[#This Row],[Branch-Coverage nach Reparatur]]&gt;Tabelle13[[#This Row],[Branch-Coverage]],"ja","nein")</calculatedColumnFormula>
    </tableColumn>
    <tableColumn id="22" xr3:uid="{69F7288C-4CCE-499D-B5B9-C2AF12EA1F21}" name="Änderung Line Coverage" dataDxfId="6">
      <calculatedColumnFormula>Tabelle13[[#This Row],[Line-Coverage nach Reparatur]]-Tabelle13[[#This Row],[Line-Coverage]]</calculatedColumnFormula>
    </tableColumn>
    <tableColumn id="23" xr3:uid="{D3B9F82E-0AAD-4126-824D-04068A91E09C}" name="Änderung Branch Coverage" dataDxfId="5">
      <calculatedColumnFormula>Tabelle13[[#This Row],[Branch-Coverage nach Reparatur]]-Tabelle13[[#This Row],[Branch-Coverage]]</calculatedColumnFormula>
    </tableColumn>
    <tableColumn id="9" xr3:uid="{902CBF6F-4BB2-485D-9E85-A4BCAE314801}" name="Fehler 1" dataDxfId="4"/>
    <tableColumn id="10" xr3:uid="{2F3AE7E9-1DDE-4A9A-BCDF-229E0966D383}" name="Fehler  2" dataDxfId="3"/>
    <tableColumn id="11" xr3:uid="{CA71F53A-EE80-4408-BA72-288C12A96D99}" name="Fehler  3" dataDxfId="2"/>
    <tableColumn id="19" xr3:uid="{C11822BB-0E6F-4398-B52F-229E3D90353B}" name="korrigiert?" dataDxfId="1"/>
    <tableColumn id="21" xr3:uid="{A2DB29E6-ECC0-4066-B146-E6A6EDEE0FDB}" name="notiz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thnet/mathnet-numerics/blob/master/src/Numerics/Statistics/StreamingStatistics.cs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Humanizr/Humanizer/blob/main/src/Humanizer/RomanNumeralExtensions.cs" TargetMode="External"/><Relationship Id="rId1" Type="http://schemas.openxmlformats.org/officeDocument/2006/relationships/hyperlink" Target="https://github.com/FluentValidation/FluentValidation/blob/main/src/FluentValidation/TestHelper/ValidatorTestExtensions.cs" TargetMode="External"/><Relationship Id="rId6" Type="http://schemas.openxmlformats.org/officeDocument/2006/relationships/hyperlink" Target="https://github.com/Humanizr/Humanizer/blob/main/src/Humanizer/CasingExtensions.cs" TargetMode="External"/><Relationship Id="rId5" Type="http://schemas.openxmlformats.org/officeDocument/2006/relationships/hyperlink" Target="https://github.com/Humanizr/Humanizer/blob/main/src/Humanizer/TruncateExtensions.cs" TargetMode="External"/><Relationship Id="rId4" Type="http://schemas.openxmlformats.org/officeDocument/2006/relationships/hyperlink" Target="https://github.com/mathnet/mathnet-numerics/blob/master/src/Numerics/Statistics/Correlation.c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mathnet/mathnet-numerics/blob/master/src/Numerics/Statistics/StreamingStatistics.cs" TargetMode="External"/><Relationship Id="rId7" Type="http://schemas.openxmlformats.org/officeDocument/2006/relationships/hyperlink" Target="https://github.com/FluentValidation/FluentValidation/blob/main/src/FluentValidation/Internal/MemberNameValidatorSelector.cs" TargetMode="External"/><Relationship Id="rId2" Type="http://schemas.openxmlformats.org/officeDocument/2006/relationships/hyperlink" Target="https://github.com/Humanizr/Humanizer/blob/main/src/Humanizer/RomanNumeralExtensions.cs" TargetMode="External"/><Relationship Id="rId1" Type="http://schemas.openxmlformats.org/officeDocument/2006/relationships/hyperlink" Target="https://github.com/FluentValidation/FluentValidation/blob/main/src/FluentValidation/TestHelper/ValidatorTestExtensions.cs" TargetMode="External"/><Relationship Id="rId6" Type="http://schemas.openxmlformats.org/officeDocument/2006/relationships/hyperlink" Target="https://github.com/Humanizr/Humanizer/blob/main/src/Humanizer/CasingExtensions.cs" TargetMode="External"/><Relationship Id="rId5" Type="http://schemas.openxmlformats.org/officeDocument/2006/relationships/hyperlink" Target="https://github.com/Humanizr/Humanizer/blob/main/src/Humanizer/TruncateExtensions.cs" TargetMode="External"/><Relationship Id="rId4" Type="http://schemas.openxmlformats.org/officeDocument/2006/relationships/hyperlink" Target="https://github.com/mathnet/mathnet-numerics/blob/master/src/Numerics/Statistics/Correlation.c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ithub.com/mathnet/mathnet-numerics/blob/master/src/Numerics/Statistics/StreamingStatistics.cs" TargetMode="External"/><Relationship Id="rId7" Type="http://schemas.openxmlformats.org/officeDocument/2006/relationships/hyperlink" Target="https://github.com/FluentValidation/FluentValidation/blob/main/src/FluentValidation/Internal/MemberNameValidatorSelector.cs" TargetMode="External"/><Relationship Id="rId2" Type="http://schemas.openxmlformats.org/officeDocument/2006/relationships/hyperlink" Target="https://github.com/Humanizr/Humanizer/blob/main/src/Humanizer/RomanNumeralExtensions.cs" TargetMode="External"/><Relationship Id="rId1" Type="http://schemas.openxmlformats.org/officeDocument/2006/relationships/hyperlink" Target="https://github.com/FluentValidation/FluentValidation/blob/main/src/FluentValidation/TestHelper/ValidatorTestExtensions.cs" TargetMode="External"/><Relationship Id="rId6" Type="http://schemas.openxmlformats.org/officeDocument/2006/relationships/hyperlink" Target="https://github.com/Humanizr/Humanizer/blob/main/src/Humanizer/CasingExtensions.cs" TargetMode="External"/><Relationship Id="rId5" Type="http://schemas.openxmlformats.org/officeDocument/2006/relationships/hyperlink" Target="https://github.com/Humanizr/Humanizer/blob/main/src/Humanizer/TruncateExtensions.cs" TargetMode="External"/><Relationship Id="rId4" Type="http://schemas.openxmlformats.org/officeDocument/2006/relationships/hyperlink" Target="https://github.com/mathnet/mathnet-numerics/blob/master/src/Numerics/Statistics/Correlation.cs" TargetMode="External"/><Relationship Id="rId9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F23F-1BFC-488E-A734-391BDC167E47}">
  <dimension ref="A1:Z78"/>
  <sheetViews>
    <sheetView tabSelected="1" workbookViewId="0">
      <selection activeCell="O12" sqref="O12"/>
    </sheetView>
  </sheetViews>
  <sheetFormatPr baseColWidth="10" defaultColWidth="9.140625" defaultRowHeight="15" x14ac:dyDescent="0.25"/>
  <cols>
    <col min="2" max="2" width="57.7109375" bestFit="1" customWidth="1"/>
    <col min="3" max="3" width="17.85546875" bestFit="1" customWidth="1"/>
    <col min="4" max="4" width="18" customWidth="1"/>
    <col min="5" max="5" width="27.42578125" bestFit="1" customWidth="1"/>
    <col min="6" max="6" width="156.85546875" hidden="1" customWidth="1"/>
    <col min="7" max="7" width="28.28515625" bestFit="1" customWidth="1"/>
    <col min="8" max="8" width="18.140625" customWidth="1"/>
    <col min="9" max="10" width="23.28515625" customWidth="1"/>
    <col min="11" max="12" width="23.7109375" bestFit="1" customWidth="1"/>
    <col min="13" max="13" width="23.28515625" customWidth="1"/>
    <col min="14" max="14" width="30.140625" bestFit="1" customWidth="1"/>
    <col min="15" max="15" width="32.42578125" bestFit="1" customWidth="1"/>
    <col min="16" max="16" width="33.42578125" bestFit="1" customWidth="1"/>
    <col min="18" max="18" width="28.85546875" bestFit="1" customWidth="1"/>
    <col min="20" max="20" width="29.28515625" bestFit="1" customWidth="1"/>
    <col min="22" max="22" width="29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 t="s">
        <v>18</v>
      </c>
      <c r="T1" t="s">
        <v>19</v>
      </c>
      <c r="U1" s="5" t="s">
        <v>20</v>
      </c>
      <c r="V1" t="s">
        <v>21</v>
      </c>
      <c r="W1" s="5" t="s">
        <v>22</v>
      </c>
      <c r="X1" t="s">
        <v>23</v>
      </c>
      <c r="Y1" t="s">
        <v>24</v>
      </c>
    </row>
    <row r="2" spans="1:26" x14ac:dyDescent="0.25">
      <c r="A2" s="2"/>
      <c r="B2" s="2">
        <v>1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>
        <v>1</v>
      </c>
      <c r="I2" s="2">
        <v>14</v>
      </c>
      <c r="J2" s="2">
        <v>2</v>
      </c>
      <c r="K2" s="2">
        <v>75</v>
      </c>
      <c r="L2" s="2">
        <v>50</v>
      </c>
      <c r="M2" s="2">
        <v>12</v>
      </c>
      <c r="N2" s="2">
        <v>11</v>
      </c>
      <c r="O2" s="2">
        <v>100</v>
      </c>
      <c r="P2" s="2">
        <v>66.66</v>
      </c>
      <c r="Q2" s="2" t="str">
        <f>IF(Tabelle1345[[#This Row],[Branch-Coverage nach Reparatur]]&gt;Tabelle1345[[#This Row],[Branch-Coverage]],"ja","nein")</f>
        <v>ja</v>
      </c>
      <c r="R2" s="2" t="s">
        <v>30</v>
      </c>
      <c r="S2" s="2" t="s">
        <v>31</v>
      </c>
      <c r="T2" s="2" t="s">
        <v>32</v>
      </c>
      <c r="U2" s="2" t="s">
        <v>29</v>
      </c>
      <c r="V2" s="2" t="s">
        <v>32</v>
      </c>
      <c r="W2" s="2" t="s">
        <v>29</v>
      </c>
      <c r="X2" s="2" t="s">
        <v>31</v>
      </c>
      <c r="Y2" s="2" t="s">
        <v>33</v>
      </c>
      <c r="Z2" s="2"/>
    </row>
    <row r="3" spans="1:26" x14ac:dyDescent="0.25">
      <c r="A3" s="2"/>
      <c r="B3" s="2">
        <v>2</v>
      </c>
      <c r="C3" s="2" t="s">
        <v>25</v>
      </c>
      <c r="D3" s="2" t="s">
        <v>34</v>
      </c>
      <c r="E3" s="2" t="s">
        <v>35</v>
      </c>
      <c r="F3" s="2" t="s">
        <v>36</v>
      </c>
      <c r="G3" s="2" t="s">
        <v>31</v>
      </c>
      <c r="H3" s="2">
        <v>4</v>
      </c>
      <c r="I3" s="2"/>
      <c r="J3" s="2"/>
      <c r="K3" s="2"/>
      <c r="L3" s="2"/>
      <c r="M3" s="2"/>
      <c r="N3" s="2"/>
      <c r="O3" s="2"/>
      <c r="P3" s="2"/>
      <c r="Q3" s="2" t="str">
        <f>IF(Tabelle1345[[#This Row],[Branch-Coverage nach Reparatur]]&gt;Tabelle1345[[#This Row],[Branch-Coverage]],"ja","nein")</f>
        <v>nein</v>
      </c>
      <c r="R3" s="2" t="s">
        <v>32</v>
      </c>
      <c r="S3" s="2" t="s">
        <v>29</v>
      </c>
      <c r="T3" s="2" t="s">
        <v>32</v>
      </c>
      <c r="U3" s="2" t="s">
        <v>29</v>
      </c>
      <c r="V3" s="2" t="s">
        <v>32</v>
      </c>
      <c r="W3" s="2" t="s">
        <v>29</v>
      </c>
      <c r="X3" s="2" t="s">
        <v>31</v>
      </c>
      <c r="Y3" s="2" t="s">
        <v>37</v>
      </c>
      <c r="Z3" s="2"/>
    </row>
    <row r="4" spans="1:26" ht="15.75" customHeight="1" x14ac:dyDescent="0.25">
      <c r="A4" s="2"/>
      <c r="B4" s="2">
        <v>3</v>
      </c>
      <c r="C4" s="2" t="s">
        <v>25</v>
      </c>
      <c r="D4" s="2" t="s">
        <v>38</v>
      </c>
      <c r="E4" s="2" t="s">
        <v>39</v>
      </c>
      <c r="F4" s="3" t="s">
        <v>40</v>
      </c>
      <c r="G4" s="2" t="s">
        <v>31</v>
      </c>
      <c r="H4" s="2">
        <v>4</v>
      </c>
      <c r="I4" s="2"/>
      <c r="J4" s="2"/>
      <c r="K4" s="2"/>
      <c r="L4" s="2"/>
      <c r="M4" s="2"/>
      <c r="N4" s="2"/>
      <c r="O4" s="2"/>
      <c r="P4" s="2"/>
      <c r="Q4" s="2" t="str">
        <f>IF(Tabelle1345[[#This Row],[Branch-Coverage nach Reparatur]]&gt;Tabelle1345[[#This Row],[Branch-Coverage]],"ja","nein")</f>
        <v>nein</v>
      </c>
      <c r="R4" s="2" t="s">
        <v>32</v>
      </c>
      <c r="S4" s="2" t="s">
        <v>29</v>
      </c>
      <c r="T4" s="2" t="s">
        <v>32</v>
      </c>
      <c r="U4" s="2" t="s">
        <v>29</v>
      </c>
      <c r="V4" s="2" t="s">
        <v>32</v>
      </c>
      <c r="W4" s="2" t="s">
        <v>29</v>
      </c>
      <c r="X4" s="2" t="s">
        <v>31</v>
      </c>
      <c r="Y4" s="2" t="s">
        <v>41</v>
      </c>
      <c r="Z4" s="2"/>
    </row>
    <row r="5" spans="1:26" x14ac:dyDescent="0.25">
      <c r="A5" s="2"/>
      <c r="B5" s="2">
        <v>4</v>
      </c>
      <c r="C5" s="2" t="s">
        <v>25</v>
      </c>
      <c r="D5" s="2" t="s">
        <v>42</v>
      </c>
      <c r="E5" s="2" t="s">
        <v>27</v>
      </c>
      <c r="F5" s="2" t="s">
        <v>43</v>
      </c>
      <c r="G5" s="2" t="s">
        <v>31</v>
      </c>
      <c r="H5" s="2">
        <v>3</v>
      </c>
      <c r="I5" s="2"/>
      <c r="J5" s="2"/>
      <c r="K5" s="2"/>
      <c r="L5" s="2"/>
      <c r="M5" s="2"/>
      <c r="N5" s="2"/>
      <c r="O5" s="2"/>
      <c r="P5" s="2"/>
      <c r="Q5" s="2" t="str">
        <f>IF(Tabelle1345[[#This Row],[Branch-Coverage nach Reparatur]]&gt;Tabelle1345[[#This Row],[Branch-Coverage]],"ja","nein")</f>
        <v>nein</v>
      </c>
      <c r="R5" s="2" t="s">
        <v>32</v>
      </c>
      <c r="S5" s="2" t="s">
        <v>29</v>
      </c>
      <c r="T5" s="2" t="s">
        <v>30</v>
      </c>
      <c r="U5" s="2" t="s">
        <v>31</v>
      </c>
      <c r="V5" s="2" t="s">
        <v>32</v>
      </c>
      <c r="W5" s="2" t="s">
        <v>29</v>
      </c>
      <c r="X5" s="2" t="s">
        <v>31</v>
      </c>
      <c r="Y5" s="2"/>
      <c r="Z5" s="2"/>
    </row>
    <row r="6" spans="1:26" x14ac:dyDescent="0.25">
      <c r="A6" s="2"/>
      <c r="B6" s="2">
        <v>5</v>
      </c>
      <c r="C6" s="2" t="s">
        <v>25</v>
      </c>
      <c r="D6" s="2" t="s">
        <v>44</v>
      </c>
      <c r="E6" s="2" t="s">
        <v>27</v>
      </c>
      <c r="F6" s="2" t="s">
        <v>45</v>
      </c>
      <c r="G6" s="2" t="s">
        <v>31</v>
      </c>
      <c r="H6" s="2">
        <v>4</v>
      </c>
      <c r="I6" s="2"/>
      <c r="J6" s="2"/>
      <c r="K6" s="2"/>
      <c r="L6" s="2"/>
      <c r="M6" s="2"/>
      <c r="N6" s="2"/>
      <c r="O6" s="2"/>
      <c r="P6" s="2"/>
      <c r="Q6" s="2" t="str">
        <f>IF(Tabelle1345[[#This Row],[Branch-Coverage nach Reparatur]]&gt;Tabelle1345[[#This Row],[Branch-Coverage]],"ja","nein")</f>
        <v>nein</v>
      </c>
      <c r="R6" s="2" t="s">
        <v>32</v>
      </c>
      <c r="S6" s="2" t="s">
        <v>29</v>
      </c>
      <c r="T6" s="2" t="s">
        <v>32</v>
      </c>
      <c r="U6" s="2" t="s">
        <v>29</v>
      </c>
      <c r="V6" s="2" t="s">
        <v>32</v>
      </c>
      <c r="W6" s="2" t="s">
        <v>29</v>
      </c>
      <c r="X6" s="2" t="s">
        <v>31</v>
      </c>
      <c r="Y6" s="2" t="s">
        <v>46</v>
      </c>
      <c r="Z6" s="2"/>
    </row>
    <row r="7" spans="1:26" ht="17.25" customHeight="1" x14ac:dyDescent="0.25">
      <c r="A7" s="2"/>
      <c r="B7" s="2">
        <v>6</v>
      </c>
      <c r="C7" s="2" t="s">
        <v>25</v>
      </c>
      <c r="D7" s="2" t="s">
        <v>47</v>
      </c>
      <c r="E7" s="2" t="s">
        <v>48</v>
      </c>
      <c r="F7" s="3" t="s">
        <v>49</v>
      </c>
      <c r="G7" s="2" t="s">
        <v>31</v>
      </c>
      <c r="H7" s="2">
        <v>4</v>
      </c>
      <c r="I7" s="2"/>
      <c r="J7" s="2"/>
      <c r="K7" s="2"/>
      <c r="L7" s="2"/>
      <c r="M7" s="2"/>
      <c r="N7" s="2"/>
      <c r="O7" s="2"/>
      <c r="P7" s="2"/>
      <c r="Q7" s="2" t="str">
        <f>IF(Tabelle1345[[#This Row],[Branch-Coverage nach Reparatur]]&gt;Tabelle1345[[#This Row],[Branch-Coverage]],"ja","nein")</f>
        <v>nein</v>
      </c>
      <c r="R7" s="2" t="s">
        <v>32</v>
      </c>
      <c r="S7" s="2" t="s">
        <v>29</v>
      </c>
      <c r="T7" s="2" t="s">
        <v>32</v>
      </c>
      <c r="U7" s="2" t="s">
        <v>29</v>
      </c>
      <c r="V7" s="2" t="s">
        <v>32</v>
      </c>
      <c r="W7" s="2" t="s">
        <v>29</v>
      </c>
      <c r="X7" s="2" t="s">
        <v>31</v>
      </c>
      <c r="Y7" s="2" t="s">
        <v>50</v>
      </c>
      <c r="Z7" s="2"/>
    </row>
    <row r="8" spans="1:26" ht="15.75" customHeight="1" x14ac:dyDescent="0.25">
      <c r="A8" s="2"/>
      <c r="B8" s="2">
        <v>7</v>
      </c>
      <c r="C8" s="2" t="s">
        <v>25</v>
      </c>
      <c r="D8" s="4" t="s">
        <v>51</v>
      </c>
      <c r="E8" s="2" t="s">
        <v>52</v>
      </c>
      <c r="F8" s="3" t="s">
        <v>53</v>
      </c>
      <c r="G8" s="2" t="s">
        <v>29</v>
      </c>
      <c r="H8" s="2">
        <v>2</v>
      </c>
      <c r="I8" s="2">
        <v>8</v>
      </c>
      <c r="J8" s="2">
        <v>8</v>
      </c>
      <c r="K8" s="2">
        <v>100</v>
      </c>
      <c r="L8" s="2">
        <v>100</v>
      </c>
      <c r="M8" s="2"/>
      <c r="N8" s="2"/>
      <c r="O8" s="2"/>
      <c r="P8" s="2"/>
      <c r="Q8" s="2" t="str">
        <f>IF(Tabelle1345[[#This Row],[Branch-Coverage nach Reparatur]]&gt;Tabelle1345[[#This Row],[Branch-Coverage]],"ja","nein")</f>
        <v>nein</v>
      </c>
      <c r="R8" s="2" t="s">
        <v>32</v>
      </c>
      <c r="S8" s="2" t="s">
        <v>29</v>
      </c>
      <c r="T8" s="2"/>
      <c r="U8" s="2"/>
      <c r="V8" s="2"/>
      <c r="W8" s="2"/>
      <c r="X8" s="2" t="s">
        <v>29</v>
      </c>
      <c r="Y8" s="2"/>
      <c r="Z8" s="2"/>
    </row>
    <row r="9" spans="1:26" x14ac:dyDescent="0.25">
      <c r="A9" s="2"/>
      <c r="B9" s="2">
        <v>8</v>
      </c>
      <c r="C9" s="2" t="s">
        <v>25</v>
      </c>
      <c r="D9" s="2" t="s">
        <v>54</v>
      </c>
      <c r="E9" s="2" t="s">
        <v>55</v>
      </c>
      <c r="F9" s="2" t="s">
        <v>56</v>
      </c>
      <c r="G9" s="2" t="s">
        <v>31</v>
      </c>
      <c r="H9" s="2">
        <v>3</v>
      </c>
      <c r="I9" s="2"/>
      <c r="J9" s="2"/>
      <c r="K9" s="2"/>
      <c r="L9" s="2"/>
      <c r="M9" s="2"/>
      <c r="N9" s="2"/>
      <c r="O9" s="2"/>
      <c r="P9" s="2"/>
      <c r="Q9" s="2" t="str">
        <f>IF(Tabelle1345[[#This Row],[Branch-Coverage nach Reparatur]]&gt;Tabelle1345[[#This Row],[Branch-Coverage]],"ja","nein")</f>
        <v>nein</v>
      </c>
      <c r="R9" s="2" t="s">
        <v>30</v>
      </c>
      <c r="S9" s="2" t="s">
        <v>31</v>
      </c>
      <c r="T9" s="2" t="s">
        <v>32</v>
      </c>
      <c r="U9" s="2" t="s">
        <v>29</v>
      </c>
      <c r="V9" s="2" t="s">
        <v>32</v>
      </c>
      <c r="W9" s="2" t="s">
        <v>29</v>
      </c>
      <c r="X9" s="2" t="s">
        <v>31</v>
      </c>
      <c r="Y9" s="2" t="s">
        <v>57</v>
      </c>
      <c r="Z9" s="2"/>
    </row>
    <row r="10" spans="1:26" x14ac:dyDescent="0.25">
      <c r="A10" s="2"/>
      <c r="B10" s="2">
        <v>9</v>
      </c>
      <c r="C10" s="2" t="s">
        <v>25</v>
      </c>
      <c r="D10" s="2" t="s">
        <v>58</v>
      </c>
      <c r="E10" s="2" t="s">
        <v>59</v>
      </c>
      <c r="F10" s="2" t="s">
        <v>60</v>
      </c>
      <c r="G10" s="2" t="s">
        <v>29</v>
      </c>
      <c r="H10" s="2">
        <v>4</v>
      </c>
      <c r="I10" s="2">
        <v>6</v>
      </c>
      <c r="J10" s="2">
        <v>1</v>
      </c>
      <c r="K10" s="2">
        <v>14.81</v>
      </c>
      <c r="L10" s="2">
        <v>16.66</v>
      </c>
      <c r="M10" s="2">
        <v>9</v>
      </c>
      <c r="N10" s="2">
        <v>1</v>
      </c>
      <c r="O10" s="2">
        <v>62.96</v>
      </c>
      <c r="P10" s="2">
        <v>66.66</v>
      </c>
      <c r="Q10" s="2" t="str">
        <f>IF(Tabelle1345[[#This Row],[Branch-Coverage nach Reparatur]]&gt;Tabelle1345[[#This Row],[Branch-Coverage]],"ja","nein")</f>
        <v>ja</v>
      </c>
      <c r="R10" s="2" t="s">
        <v>32</v>
      </c>
      <c r="S10" s="2" t="s">
        <v>29</v>
      </c>
      <c r="T10" s="2" t="s">
        <v>32</v>
      </c>
      <c r="U10" s="2" t="s">
        <v>29</v>
      </c>
      <c r="V10" s="2" t="s">
        <v>32</v>
      </c>
      <c r="W10" s="2" t="s">
        <v>29</v>
      </c>
      <c r="X10" s="2" t="s">
        <v>31</v>
      </c>
      <c r="Y10" s="2" t="s">
        <v>61</v>
      </c>
      <c r="Z10" s="2"/>
    </row>
    <row r="11" spans="1:26" x14ac:dyDescent="0.25">
      <c r="A11" s="2"/>
      <c r="B11" s="2">
        <v>10</v>
      </c>
      <c r="C11" s="2" t="s">
        <v>25</v>
      </c>
      <c r="D11" s="2" t="s">
        <v>62</v>
      </c>
      <c r="E11" s="2" t="s">
        <v>63</v>
      </c>
      <c r="F11" s="2" t="s">
        <v>64</v>
      </c>
      <c r="G11" s="2" t="s">
        <v>29</v>
      </c>
      <c r="H11" s="2">
        <v>3</v>
      </c>
      <c r="I11" s="2">
        <v>6</v>
      </c>
      <c r="J11" s="2">
        <v>4</v>
      </c>
      <c r="K11" s="2">
        <v>66.66</v>
      </c>
      <c r="L11" s="2">
        <v>62.5</v>
      </c>
      <c r="M11" s="2">
        <v>6</v>
      </c>
      <c r="N11" s="2">
        <v>4</v>
      </c>
      <c r="O11" s="2">
        <v>66.66</v>
      </c>
      <c r="P11" s="2">
        <v>62.5</v>
      </c>
      <c r="Q11" s="2" t="str">
        <f>IF(Tabelle1345[[#This Row],[Branch-Coverage nach Reparatur]]&gt;Tabelle1345[[#This Row],[Branch-Coverage]],"ja","nein")</f>
        <v>nein</v>
      </c>
      <c r="R11" s="2" t="s">
        <v>32</v>
      </c>
      <c r="S11" s="2" t="s">
        <v>29</v>
      </c>
      <c r="T11" s="2" t="s">
        <v>32</v>
      </c>
      <c r="U11" s="2" t="s">
        <v>29</v>
      </c>
      <c r="V11" s="2" t="s">
        <v>32</v>
      </c>
      <c r="W11" s="2" t="s">
        <v>29</v>
      </c>
      <c r="X11" s="2" t="s">
        <v>31</v>
      </c>
      <c r="Y11" s="2" t="s">
        <v>65</v>
      </c>
      <c r="Z11" s="2"/>
    </row>
    <row r="12" spans="1:26" x14ac:dyDescent="0.25">
      <c r="A12" s="2"/>
      <c r="B12" s="2">
        <v>11</v>
      </c>
      <c r="C12" s="2" t="s">
        <v>25</v>
      </c>
      <c r="D12" s="1" t="s">
        <v>66</v>
      </c>
      <c r="E12" s="2" t="s">
        <v>67</v>
      </c>
      <c r="F12" s="2" t="s">
        <v>68</v>
      </c>
      <c r="G12" s="2" t="s">
        <v>31</v>
      </c>
      <c r="H12" s="2">
        <v>4</v>
      </c>
      <c r="I12" s="2"/>
      <c r="J12" s="2"/>
      <c r="K12" s="2"/>
      <c r="L12" s="2"/>
      <c r="M12" s="2"/>
      <c r="N12" s="2"/>
      <c r="O12" s="2"/>
      <c r="P12" s="2"/>
      <c r="Q12" s="2" t="str">
        <f>IF(Tabelle1345[[#This Row],[Branch-Coverage nach Reparatur]]&gt;Tabelle1345[[#This Row],[Branch-Coverage]],"ja","nein")</f>
        <v>nein</v>
      </c>
      <c r="R12" s="2" t="s">
        <v>32</v>
      </c>
      <c r="S12" s="2" t="s">
        <v>29</v>
      </c>
      <c r="T12" s="2" t="s">
        <v>32</v>
      </c>
      <c r="U12" s="2" t="s">
        <v>29</v>
      </c>
      <c r="V12" s="2" t="s">
        <v>32</v>
      </c>
      <c r="W12" s="2" t="s">
        <v>29</v>
      </c>
      <c r="X12" s="2" t="s">
        <v>31</v>
      </c>
      <c r="Y12" s="2" t="s">
        <v>69</v>
      </c>
      <c r="Z12" s="2"/>
    </row>
    <row r="13" spans="1:26" x14ac:dyDescent="0.25">
      <c r="A13" s="2"/>
      <c r="B13" s="2">
        <v>12</v>
      </c>
      <c r="C13" s="2" t="s">
        <v>25</v>
      </c>
      <c r="D13" s="1" t="s">
        <v>70</v>
      </c>
      <c r="E13" s="2" t="s">
        <v>71</v>
      </c>
      <c r="F13" s="2" t="s">
        <v>72</v>
      </c>
      <c r="G13" s="2" t="s">
        <v>31</v>
      </c>
      <c r="H13" s="2">
        <v>4</v>
      </c>
      <c r="I13" s="2"/>
      <c r="J13" s="2"/>
      <c r="K13" s="2"/>
      <c r="L13" s="2"/>
      <c r="M13" s="2"/>
      <c r="N13" s="2"/>
      <c r="O13" s="2"/>
      <c r="P13" s="2"/>
      <c r="Q13" s="2" t="str">
        <f>IF(Tabelle1345[[#This Row],[Branch-Coverage nach Reparatur]]&gt;Tabelle1345[[#This Row],[Branch-Coverage]],"ja","nein")</f>
        <v>nein</v>
      </c>
      <c r="R13" s="2" t="s">
        <v>32</v>
      </c>
      <c r="S13" s="2" t="s">
        <v>29</v>
      </c>
      <c r="T13" s="2" t="s">
        <v>32</v>
      </c>
      <c r="U13" s="2" t="s">
        <v>29</v>
      </c>
      <c r="V13" s="2" t="s">
        <v>32</v>
      </c>
      <c r="W13" s="2" t="s">
        <v>29</v>
      </c>
      <c r="X13" s="2" t="s">
        <v>31</v>
      </c>
      <c r="Y13" s="2" t="s">
        <v>73</v>
      </c>
      <c r="Z13" s="2"/>
    </row>
    <row r="14" spans="1:26" x14ac:dyDescent="0.25">
      <c r="A14" s="2"/>
      <c r="B14" s="2">
        <v>13</v>
      </c>
      <c r="C14" s="2" t="s">
        <v>74</v>
      </c>
      <c r="D14" s="2" t="s">
        <v>75</v>
      </c>
      <c r="E14" s="2" t="s">
        <v>76</v>
      </c>
      <c r="F14" s="2" t="s">
        <v>77</v>
      </c>
      <c r="G14" s="2" t="s">
        <v>31</v>
      </c>
      <c r="H14" s="2">
        <v>4</v>
      </c>
      <c r="I14" s="2"/>
      <c r="J14" s="2"/>
      <c r="K14" s="2"/>
      <c r="L14" s="2"/>
      <c r="M14" s="2"/>
      <c r="N14" s="2"/>
      <c r="O14" s="2"/>
      <c r="P14" s="2"/>
      <c r="Q14" s="2" t="str">
        <f>IF(Tabelle1345[[#This Row],[Branch-Coverage nach Reparatur]]&gt;Tabelle1345[[#This Row],[Branch-Coverage]],"ja","nein")</f>
        <v>nein</v>
      </c>
      <c r="R14" s="2" t="s">
        <v>32</v>
      </c>
      <c r="S14" s="2" t="s">
        <v>29</v>
      </c>
      <c r="T14" s="2" t="s">
        <v>32</v>
      </c>
      <c r="U14" s="2" t="s">
        <v>29</v>
      </c>
      <c r="V14" s="2" t="s">
        <v>32</v>
      </c>
      <c r="W14" s="2" t="s">
        <v>29</v>
      </c>
      <c r="X14" s="2" t="s">
        <v>31</v>
      </c>
      <c r="Y14" s="2" t="s">
        <v>78</v>
      </c>
      <c r="Z14" s="2"/>
    </row>
    <row r="15" spans="1:26" x14ac:dyDescent="0.25">
      <c r="A15" s="2"/>
      <c r="B15" s="2">
        <v>14</v>
      </c>
      <c r="C15" s="2" t="s">
        <v>74</v>
      </c>
      <c r="D15" s="2" t="s">
        <v>79</v>
      </c>
      <c r="E15" s="2" t="s">
        <v>76</v>
      </c>
      <c r="F15" s="2" t="s">
        <v>80</v>
      </c>
      <c r="G15" s="2" t="s">
        <v>31</v>
      </c>
      <c r="H15" s="2">
        <v>4</v>
      </c>
      <c r="I15" s="2"/>
      <c r="J15" s="2"/>
      <c r="K15" s="2"/>
      <c r="L15" s="2"/>
      <c r="M15" s="2"/>
      <c r="N15" s="2"/>
      <c r="O15" s="2"/>
      <c r="P15" s="2"/>
      <c r="Q15" s="2" t="str">
        <f>IF(Tabelle1345[[#This Row],[Branch-Coverage nach Reparatur]]&gt;Tabelle1345[[#This Row],[Branch-Coverage]],"ja","nein")</f>
        <v>nein</v>
      </c>
      <c r="R15" s="2" t="s">
        <v>32</v>
      </c>
      <c r="S15" s="2" t="s">
        <v>29</v>
      </c>
      <c r="T15" s="2" t="s">
        <v>32</v>
      </c>
      <c r="U15" s="2" t="s">
        <v>29</v>
      </c>
      <c r="V15" s="2" t="s">
        <v>32</v>
      </c>
      <c r="W15" s="2" t="s">
        <v>29</v>
      </c>
      <c r="X15" s="2" t="s">
        <v>31</v>
      </c>
      <c r="Y15" s="2" t="s">
        <v>81</v>
      </c>
      <c r="Z15" s="2"/>
    </row>
    <row r="16" spans="1:26" ht="24.75" customHeight="1" x14ac:dyDescent="0.25">
      <c r="A16" s="2"/>
      <c r="B16" s="2">
        <v>15</v>
      </c>
      <c r="C16" s="2" t="s">
        <v>74</v>
      </c>
      <c r="D16" s="2" t="s">
        <v>82</v>
      </c>
      <c r="E16" s="2" t="s">
        <v>76</v>
      </c>
      <c r="F16" s="2" t="s">
        <v>83</v>
      </c>
      <c r="G16" s="2" t="s">
        <v>31</v>
      </c>
      <c r="H16" s="2">
        <v>4</v>
      </c>
      <c r="I16" s="2"/>
      <c r="J16" s="2"/>
      <c r="K16" s="2"/>
      <c r="L16" s="2"/>
      <c r="M16" s="2"/>
      <c r="N16" s="2"/>
      <c r="O16" s="2"/>
      <c r="P16" s="2"/>
      <c r="Q16" s="2" t="str">
        <f>IF(Tabelle1345[[#This Row],[Branch-Coverage nach Reparatur]]&gt;Tabelle1345[[#This Row],[Branch-Coverage]],"ja","nein")</f>
        <v>nein</v>
      </c>
      <c r="R16" s="2" t="s">
        <v>32</v>
      </c>
      <c r="S16" s="2" t="s">
        <v>29</v>
      </c>
      <c r="T16" s="2" t="s">
        <v>32</v>
      </c>
      <c r="U16" s="2" t="s">
        <v>29</v>
      </c>
      <c r="V16" s="2" t="s">
        <v>32</v>
      </c>
      <c r="W16" s="2" t="s">
        <v>29</v>
      </c>
      <c r="X16" s="2" t="s">
        <v>31</v>
      </c>
      <c r="Y16" s="2" t="s">
        <v>84</v>
      </c>
      <c r="Z16" s="2"/>
    </row>
    <row r="17" spans="1:26" ht="16.5" customHeight="1" x14ac:dyDescent="0.25">
      <c r="A17" s="2"/>
      <c r="B17" s="2">
        <v>16</v>
      </c>
      <c r="C17" s="2" t="s">
        <v>74</v>
      </c>
      <c r="D17" s="2" t="s">
        <v>85</v>
      </c>
      <c r="E17" s="2" t="s">
        <v>76</v>
      </c>
      <c r="F17" s="2" t="s">
        <v>77</v>
      </c>
      <c r="G17" s="2" t="s">
        <v>31</v>
      </c>
      <c r="H17" s="2">
        <v>4</v>
      </c>
      <c r="I17" s="2"/>
      <c r="J17" s="2"/>
      <c r="K17" s="2"/>
      <c r="L17" s="2"/>
      <c r="M17" s="2"/>
      <c r="N17" s="2"/>
      <c r="O17" s="2"/>
      <c r="P17" s="2"/>
      <c r="Q17" s="2" t="str">
        <f>IF(Tabelle1345[[#This Row],[Branch-Coverage nach Reparatur]]&gt;Tabelle1345[[#This Row],[Branch-Coverage]],"ja","nein")</f>
        <v>nein</v>
      </c>
      <c r="R17" s="2" t="s">
        <v>32</v>
      </c>
      <c r="S17" s="2" t="s">
        <v>29</v>
      </c>
      <c r="T17" s="2" t="s">
        <v>32</v>
      </c>
      <c r="U17" s="2" t="s">
        <v>29</v>
      </c>
      <c r="V17" s="2" t="s">
        <v>32</v>
      </c>
      <c r="W17" s="2" t="s">
        <v>29</v>
      </c>
      <c r="X17" s="2" t="s">
        <v>31</v>
      </c>
      <c r="Y17" s="2" t="s">
        <v>86</v>
      </c>
      <c r="Z17" s="2"/>
    </row>
    <row r="18" spans="1:26" ht="18" customHeight="1" x14ac:dyDescent="0.25">
      <c r="A18" s="2"/>
      <c r="B18" s="2">
        <v>17</v>
      </c>
      <c r="C18" s="2" t="s">
        <v>74</v>
      </c>
      <c r="D18" s="2" t="s">
        <v>87</v>
      </c>
      <c r="E18" s="2" t="s">
        <v>88</v>
      </c>
      <c r="F18" s="3" t="s">
        <v>89</v>
      </c>
      <c r="G18" s="2" t="s">
        <v>31</v>
      </c>
      <c r="H18" s="2">
        <v>4</v>
      </c>
      <c r="I18" s="2"/>
      <c r="J18" s="2"/>
      <c r="K18" s="2"/>
      <c r="L18" s="2"/>
      <c r="M18" s="2"/>
      <c r="N18" s="2"/>
      <c r="O18" s="2"/>
      <c r="P18" s="2"/>
      <c r="Q18" s="2" t="str">
        <f>IF(Tabelle1345[[#This Row],[Branch-Coverage nach Reparatur]]&gt;Tabelle1345[[#This Row],[Branch-Coverage]],"ja","nein")</f>
        <v>nein</v>
      </c>
      <c r="R18" s="2" t="s">
        <v>90</v>
      </c>
      <c r="S18" s="2" t="s">
        <v>29</v>
      </c>
      <c r="T18" s="2" t="s">
        <v>32</v>
      </c>
      <c r="U18" s="2" t="s">
        <v>29</v>
      </c>
      <c r="V18" s="2" t="s">
        <v>32</v>
      </c>
      <c r="W18" s="2" t="s">
        <v>29</v>
      </c>
      <c r="X18" s="2" t="s">
        <v>31</v>
      </c>
      <c r="Y18" s="2" t="s">
        <v>91</v>
      </c>
      <c r="Z18" s="2"/>
    </row>
    <row r="19" spans="1:26" ht="18" customHeight="1" x14ac:dyDescent="0.25">
      <c r="A19" s="2"/>
      <c r="B19" s="2">
        <v>18</v>
      </c>
      <c r="C19" s="2" t="s">
        <v>74</v>
      </c>
      <c r="D19" s="2" t="s">
        <v>92</v>
      </c>
      <c r="E19" s="2" t="s">
        <v>93</v>
      </c>
      <c r="F19" s="3" t="s">
        <v>94</v>
      </c>
      <c r="G19" s="2" t="s">
        <v>31</v>
      </c>
      <c r="H19" s="2">
        <v>4</v>
      </c>
      <c r="I19" s="2"/>
      <c r="J19" s="2"/>
      <c r="K19" s="2"/>
      <c r="L19" s="2"/>
      <c r="M19" s="2"/>
      <c r="N19" s="2"/>
      <c r="O19" s="2"/>
      <c r="P19" s="2"/>
      <c r="Q19" s="2" t="str">
        <f>IF(Tabelle1345[[#This Row],[Branch-Coverage nach Reparatur]]&gt;Tabelle1345[[#This Row],[Branch-Coverage]],"ja","nein")</f>
        <v>nein</v>
      </c>
      <c r="R19" s="2" t="s">
        <v>32</v>
      </c>
      <c r="S19" s="2" t="s">
        <v>29</v>
      </c>
      <c r="T19" s="2" t="s">
        <v>32</v>
      </c>
      <c r="U19" s="2" t="s">
        <v>29</v>
      </c>
      <c r="V19" s="2" t="s">
        <v>32</v>
      </c>
      <c r="W19" s="2" t="s">
        <v>29</v>
      </c>
      <c r="X19" s="2" t="s">
        <v>31</v>
      </c>
      <c r="Y19" s="2" t="s">
        <v>95</v>
      </c>
      <c r="Z19" s="2"/>
    </row>
    <row r="20" spans="1:26" ht="14.25" customHeight="1" x14ac:dyDescent="0.25">
      <c r="A20" s="2"/>
      <c r="B20" s="2">
        <v>19</v>
      </c>
      <c r="C20" s="2" t="s">
        <v>74</v>
      </c>
      <c r="D20" s="2" t="s">
        <v>96</v>
      </c>
      <c r="E20" s="2" t="s">
        <v>97</v>
      </c>
      <c r="F20" s="3" t="s">
        <v>98</v>
      </c>
      <c r="G20" s="2" t="s">
        <v>31</v>
      </c>
      <c r="H20" s="2">
        <v>3</v>
      </c>
      <c r="I20" s="2"/>
      <c r="J20" s="2"/>
      <c r="K20" s="2"/>
      <c r="L20" s="2"/>
      <c r="M20" s="2"/>
      <c r="N20" s="2"/>
      <c r="O20" s="2"/>
      <c r="P20" s="2"/>
      <c r="Q20" s="2" t="str">
        <f>IF(Tabelle1345[[#This Row],[Branch-Coverage nach Reparatur]]&gt;Tabelle1345[[#This Row],[Branch-Coverage]],"ja","nein")</f>
        <v>nein</v>
      </c>
      <c r="R20" s="2" t="s">
        <v>30</v>
      </c>
      <c r="S20" s="2" t="s">
        <v>31</v>
      </c>
      <c r="T20" s="2" t="s">
        <v>32</v>
      </c>
      <c r="U20" s="2" t="s">
        <v>29</v>
      </c>
      <c r="V20" s="2" t="s">
        <v>32</v>
      </c>
      <c r="W20" s="2" t="s">
        <v>29</v>
      </c>
      <c r="X20" s="2" t="s">
        <v>31</v>
      </c>
      <c r="Y20" s="2" t="s">
        <v>99</v>
      </c>
      <c r="Z20" s="2"/>
    </row>
    <row r="21" spans="1:26" ht="27.75" customHeight="1" x14ac:dyDescent="0.25">
      <c r="A21" s="3"/>
      <c r="B21" s="2">
        <v>20</v>
      </c>
      <c r="C21" s="2" t="s">
        <v>74</v>
      </c>
      <c r="D21" s="4" t="s">
        <v>100</v>
      </c>
      <c r="E21" s="2" t="s">
        <v>101</v>
      </c>
      <c r="F21" s="2" t="s">
        <v>102</v>
      </c>
      <c r="G21" s="2" t="s">
        <v>31</v>
      </c>
      <c r="H21" s="2">
        <v>4</v>
      </c>
      <c r="I21" s="2"/>
      <c r="J21" s="2"/>
      <c r="K21" s="2"/>
      <c r="L21" s="2"/>
      <c r="M21" s="2"/>
      <c r="N21" s="2"/>
      <c r="O21" s="2"/>
      <c r="P21" s="2"/>
      <c r="Q21" s="2" t="str">
        <f>IF(Tabelle1345[[#This Row],[Branch-Coverage nach Reparatur]]&gt;Tabelle1345[[#This Row],[Branch-Coverage]],"ja","nein")</f>
        <v>nein</v>
      </c>
      <c r="R21" s="2" t="s">
        <v>32</v>
      </c>
      <c r="S21" s="2" t="s">
        <v>29</v>
      </c>
      <c r="T21" s="2" t="s">
        <v>32</v>
      </c>
      <c r="U21" s="2" t="s">
        <v>29</v>
      </c>
      <c r="V21" s="2" t="s">
        <v>32</v>
      </c>
      <c r="W21" s="2" t="s">
        <v>29</v>
      </c>
      <c r="X21" s="2" t="s">
        <v>31</v>
      </c>
      <c r="Y21" s="2" t="s">
        <v>103</v>
      </c>
      <c r="Z21" s="2"/>
    </row>
    <row r="22" spans="1:26" ht="23.25" customHeight="1" x14ac:dyDescent="0.25">
      <c r="A22" s="3"/>
      <c r="B22" s="2">
        <v>21</v>
      </c>
      <c r="C22" s="2" t="s">
        <v>74</v>
      </c>
      <c r="D22" s="2" t="s">
        <v>104</v>
      </c>
      <c r="E22" s="2" t="s">
        <v>105</v>
      </c>
      <c r="F22" s="2" t="s">
        <v>106</v>
      </c>
      <c r="G22" s="2" t="s">
        <v>31</v>
      </c>
      <c r="H22" s="2">
        <v>4</v>
      </c>
      <c r="I22" s="2"/>
      <c r="J22" s="2"/>
      <c r="K22" s="2"/>
      <c r="L22" s="2"/>
      <c r="M22" s="2"/>
      <c r="N22" s="2"/>
      <c r="O22" s="2"/>
      <c r="P22" s="2"/>
      <c r="Q22" s="2" t="str">
        <f>IF(Tabelle1345[[#This Row],[Branch-Coverage nach Reparatur]]&gt;Tabelle1345[[#This Row],[Branch-Coverage]],"ja","nein")</f>
        <v>nein</v>
      </c>
      <c r="R22" s="2" t="s">
        <v>32</v>
      </c>
      <c r="S22" s="2" t="s">
        <v>29</v>
      </c>
      <c r="T22" s="2" t="s">
        <v>32</v>
      </c>
      <c r="U22" s="2" t="s">
        <v>29</v>
      </c>
      <c r="V22" s="2" t="s">
        <v>32</v>
      </c>
      <c r="W22" s="2" t="s">
        <v>29</v>
      </c>
      <c r="X22" s="2" t="s">
        <v>31</v>
      </c>
      <c r="Y22" s="2" t="s">
        <v>107</v>
      </c>
      <c r="Z22" s="2"/>
    </row>
    <row r="23" spans="1:26" x14ac:dyDescent="0.25">
      <c r="A23" s="2"/>
      <c r="B23" s="2">
        <v>22</v>
      </c>
      <c r="C23" s="2" t="s">
        <v>74</v>
      </c>
      <c r="D23" s="2" t="s">
        <v>108</v>
      </c>
      <c r="E23" s="2" t="s">
        <v>109</v>
      </c>
      <c r="F23" s="2" t="s">
        <v>110</v>
      </c>
      <c r="G23" s="2" t="s">
        <v>31</v>
      </c>
      <c r="H23" s="2">
        <v>4</v>
      </c>
      <c r="I23" s="2"/>
      <c r="J23" s="2"/>
      <c r="K23" s="2"/>
      <c r="L23" s="2"/>
      <c r="M23" s="2"/>
      <c r="N23" s="2"/>
      <c r="O23" s="2"/>
      <c r="P23" s="2"/>
      <c r="Q23" s="2" t="str">
        <f>IF(Tabelle1345[[#This Row],[Branch-Coverage nach Reparatur]]&gt;Tabelle1345[[#This Row],[Branch-Coverage]],"ja","nein")</f>
        <v>nein</v>
      </c>
      <c r="R23" s="2" t="s">
        <v>32</v>
      </c>
      <c r="S23" s="2" t="s">
        <v>29</v>
      </c>
      <c r="T23" s="2" t="s">
        <v>32</v>
      </c>
      <c r="U23" s="2" t="s">
        <v>29</v>
      </c>
      <c r="V23" s="2" t="s">
        <v>32</v>
      </c>
      <c r="W23" s="2" t="s">
        <v>29</v>
      </c>
      <c r="X23" s="2" t="s">
        <v>31</v>
      </c>
      <c r="Y23" s="2" t="s">
        <v>111</v>
      </c>
      <c r="Z23" s="2"/>
    </row>
    <row r="24" spans="1:26" x14ac:dyDescent="0.25">
      <c r="A24" s="2"/>
      <c r="B24" s="2">
        <v>23</v>
      </c>
      <c r="C24" s="2" t="s">
        <v>74</v>
      </c>
      <c r="D24" s="2" t="s">
        <v>112</v>
      </c>
      <c r="E24" s="2" t="s">
        <v>113</v>
      </c>
      <c r="F24" s="2" t="s">
        <v>114</v>
      </c>
      <c r="G24" s="2" t="s">
        <v>31</v>
      </c>
      <c r="H24" s="2">
        <v>4</v>
      </c>
      <c r="I24" s="2"/>
      <c r="J24" s="2"/>
      <c r="K24" s="2"/>
      <c r="L24" s="2"/>
      <c r="M24" s="2"/>
      <c r="N24" s="2"/>
      <c r="O24" s="2"/>
      <c r="P24" s="2"/>
      <c r="Q24" s="2" t="str">
        <f>IF(Tabelle1345[[#This Row],[Branch-Coverage nach Reparatur]]&gt;Tabelle1345[[#This Row],[Branch-Coverage]],"ja","nein")</f>
        <v>nein</v>
      </c>
      <c r="R24" s="2" t="s">
        <v>32</v>
      </c>
      <c r="S24" s="2" t="s">
        <v>29</v>
      </c>
      <c r="T24" s="2" t="s">
        <v>32</v>
      </c>
      <c r="U24" s="2" t="s">
        <v>29</v>
      </c>
      <c r="V24" s="2" t="s">
        <v>32</v>
      </c>
      <c r="W24" s="2" t="s">
        <v>29</v>
      </c>
      <c r="X24" s="2" t="s">
        <v>31</v>
      </c>
      <c r="Y24" s="2" t="s">
        <v>115</v>
      </c>
      <c r="Z24" s="2"/>
    </row>
    <row r="25" spans="1:26" x14ac:dyDescent="0.25">
      <c r="A25" s="2"/>
      <c r="B25" s="2">
        <v>24</v>
      </c>
      <c r="C25" s="2" t="s">
        <v>74</v>
      </c>
      <c r="D25" s="2" t="s">
        <v>116</v>
      </c>
      <c r="E25" s="2" t="s">
        <v>117</v>
      </c>
      <c r="F25" s="2" t="s">
        <v>118</v>
      </c>
      <c r="G25" s="2" t="s">
        <v>31</v>
      </c>
      <c r="H25" s="2">
        <v>4</v>
      </c>
      <c r="I25" s="2"/>
      <c r="J25" s="2"/>
      <c r="K25" s="2"/>
      <c r="L25" s="2"/>
      <c r="M25" s="2"/>
      <c r="N25" s="2"/>
      <c r="O25" s="2"/>
      <c r="P25" s="2"/>
      <c r="Q25" s="2" t="str">
        <f>IF(Tabelle1345[[#This Row],[Branch-Coverage nach Reparatur]]&gt;Tabelle1345[[#This Row],[Branch-Coverage]],"ja","nein")</f>
        <v>nein</v>
      </c>
      <c r="R25" s="2" t="s">
        <v>32</v>
      </c>
      <c r="S25" s="2" t="s">
        <v>29</v>
      </c>
      <c r="T25" s="2" t="s">
        <v>32</v>
      </c>
      <c r="U25" s="2" t="s">
        <v>29</v>
      </c>
      <c r="V25" s="2" t="s">
        <v>32</v>
      </c>
      <c r="W25" s="2" t="s">
        <v>29</v>
      </c>
      <c r="X25" s="2" t="s">
        <v>31</v>
      </c>
      <c r="Y25" s="2" t="s">
        <v>119</v>
      </c>
      <c r="Z25" s="2"/>
    </row>
    <row r="26" spans="1:26" x14ac:dyDescent="0.25">
      <c r="A26" s="2"/>
      <c r="B26" s="2">
        <v>25</v>
      </c>
      <c r="C26" s="2" t="s">
        <v>74</v>
      </c>
      <c r="D26" s="2" t="s">
        <v>120</v>
      </c>
      <c r="E26" s="2" t="s">
        <v>121</v>
      </c>
      <c r="F26" s="2" t="s">
        <v>122</v>
      </c>
      <c r="G26" s="2" t="s">
        <v>31</v>
      </c>
      <c r="H26" s="2">
        <v>4</v>
      </c>
      <c r="I26" s="2"/>
      <c r="J26" s="2"/>
      <c r="K26" s="2"/>
      <c r="L26" s="2"/>
      <c r="M26" s="2"/>
      <c r="N26" s="2"/>
      <c r="O26" s="2"/>
      <c r="P26" s="2"/>
      <c r="Q26" s="2" t="str">
        <f>IF(Tabelle1345[[#This Row],[Branch-Coverage nach Reparatur]]&gt;Tabelle1345[[#This Row],[Branch-Coverage]],"ja","nein")</f>
        <v>nein</v>
      </c>
      <c r="R26" s="2" t="s">
        <v>32</v>
      </c>
      <c r="S26" s="2" t="s">
        <v>29</v>
      </c>
      <c r="T26" s="2" t="s">
        <v>32</v>
      </c>
      <c r="U26" s="2" t="s">
        <v>29</v>
      </c>
      <c r="V26" s="2" t="s">
        <v>32</v>
      </c>
      <c r="W26" s="2" t="s">
        <v>29</v>
      </c>
      <c r="X26" s="2" t="s">
        <v>31</v>
      </c>
      <c r="Y26" s="2" t="s">
        <v>123</v>
      </c>
      <c r="Z26" s="2"/>
    </row>
    <row r="27" spans="1:26" x14ac:dyDescent="0.25">
      <c r="A27" s="2"/>
      <c r="B27" s="2">
        <v>26</v>
      </c>
      <c r="C27" s="2" t="s">
        <v>74</v>
      </c>
      <c r="D27" s="2" t="s">
        <v>124</v>
      </c>
      <c r="E27" s="2" t="s">
        <v>125</v>
      </c>
      <c r="F27" s="2" t="s">
        <v>126</v>
      </c>
      <c r="G27" s="2" t="s">
        <v>31</v>
      </c>
      <c r="H27" s="2">
        <v>4</v>
      </c>
      <c r="I27" s="2"/>
      <c r="J27" s="2"/>
      <c r="K27" s="2"/>
      <c r="L27" s="2"/>
      <c r="M27" s="2"/>
      <c r="N27" s="2"/>
      <c r="O27" s="2"/>
      <c r="P27" s="2"/>
      <c r="Q27" s="2" t="str">
        <f>IF(Tabelle1345[[#This Row],[Branch-Coverage nach Reparatur]]&gt;Tabelle1345[[#This Row],[Branch-Coverage]],"ja","nein")</f>
        <v>nein</v>
      </c>
      <c r="R27" s="2" t="s">
        <v>30</v>
      </c>
      <c r="S27" s="2" t="s">
        <v>31</v>
      </c>
      <c r="T27" s="2" t="s">
        <v>30</v>
      </c>
      <c r="U27" s="2" t="s">
        <v>31</v>
      </c>
      <c r="V27" s="2" t="s">
        <v>30</v>
      </c>
      <c r="W27" s="2" t="s">
        <v>31</v>
      </c>
      <c r="X27" s="2" t="s">
        <v>31</v>
      </c>
      <c r="Y27" s="2" t="s">
        <v>127</v>
      </c>
      <c r="Z27" s="2"/>
    </row>
    <row r="28" spans="1:26" x14ac:dyDescent="0.25">
      <c r="A28" s="2"/>
      <c r="B28" s="2">
        <v>27</v>
      </c>
      <c r="C28" s="2" t="s">
        <v>128</v>
      </c>
      <c r="D28" s="1" t="s">
        <v>129</v>
      </c>
      <c r="E28" s="2" t="s">
        <v>130</v>
      </c>
      <c r="F28" s="2" t="s">
        <v>131</v>
      </c>
      <c r="G28" s="2" t="s">
        <v>29</v>
      </c>
      <c r="H28" s="2">
        <v>2</v>
      </c>
      <c r="I28" s="2">
        <v>7</v>
      </c>
      <c r="J28" s="2">
        <v>5</v>
      </c>
      <c r="K28" s="2">
        <v>97.05</v>
      </c>
      <c r="L28" s="2">
        <v>90</v>
      </c>
      <c r="M28" s="2">
        <v>7</v>
      </c>
      <c r="N28" s="2">
        <v>7</v>
      </c>
      <c r="O28" s="2">
        <v>97.05</v>
      </c>
      <c r="P28" s="2">
        <v>90</v>
      </c>
      <c r="Q28" s="2" t="str">
        <f>IF(Tabelle1345[[#This Row],[Branch-Coverage nach Reparatur]]&gt;Tabelle1345[[#This Row],[Branch-Coverage]],"ja","nein")</f>
        <v>nein</v>
      </c>
      <c r="R28" s="2" t="s">
        <v>32</v>
      </c>
      <c r="S28" s="2" t="s">
        <v>29</v>
      </c>
      <c r="T28" s="2" t="s">
        <v>32</v>
      </c>
      <c r="U28" s="2" t="s">
        <v>29</v>
      </c>
      <c r="V28" s="2"/>
      <c r="W28" s="2"/>
      <c r="X28" s="2" t="s">
        <v>29</v>
      </c>
      <c r="Y28" s="2"/>
      <c r="Z28" s="2"/>
    </row>
    <row r="29" spans="1:26" x14ac:dyDescent="0.25">
      <c r="A29" s="2"/>
      <c r="B29" s="2">
        <v>28</v>
      </c>
      <c r="C29" s="2" t="s">
        <v>128</v>
      </c>
      <c r="D29" s="4" t="s">
        <v>132</v>
      </c>
      <c r="E29" s="2" t="s">
        <v>133</v>
      </c>
      <c r="F29" s="2" t="s">
        <v>134</v>
      </c>
      <c r="G29" s="2" t="s">
        <v>29</v>
      </c>
      <c r="H29" s="2">
        <v>1</v>
      </c>
      <c r="I29" s="2">
        <v>5</v>
      </c>
      <c r="J29" s="2">
        <v>4</v>
      </c>
      <c r="K29" s="2">
        <v>94.44</v>
      </c>
      <c r="L29" s="2">
        <v>87.5</v>
      </c>
      <c r="M29" s="2">
        <v>7</v>
      </c>
      <c r="N29" s="2">
        <v>6</v>
      </c>
      <c r="O29" s="2">
        <v>94.44</v>
      </c>
      <c r="P29" s="2">
        <v>87.5</v>
      </c>
      <c r="Q29" s="2" t="str">
        <f>IF(Tabelle1345[[#This Row],[Branch-Coverage nach Reparatur]]&gt;Tabelle1345[[#This Row],[Branch-Coverage]],"ja","nein")</f>
        <v>nein</v>
      </c>
      <c r="R29" s="2" t="s">
        <v>90</v>
      </c>
      <c r="S29" s="2" t="s">
        <v>29</v>
      </c>
      <c r="T29" s="2" t="s">
        <v>32</v>
      </c>
      <c r="U29" s="2" t="s">
        <v>29</v>
      </c>
      <c r="V29" s="2" t="s">
        <v>32</v>
      </c>
      <c r="W29" s="2" t="s">
        <v>29</v>
      </c>
      <c r="X29" s="2" t="s">
        <v>31</v>
      </c>
      <c r="Y29" s="2" t="s">
        <v>135</v>
      </c>
      <c r="Z29" s="2"/>
    </row>
    <row r="30" spans="1:26" x14ac:dyDescent="0.25">
      <c r="A30" s="2"/>
      <c r="B30" s="2">
        <v>29</v>
      </c>
      <c r="C30" s="2" t="s">
        <v>128</v>
      </c>
      <c r="D30" s="2" t="s">
        <v>136</v>
      </c>
      <c r="E30" s="2" t="s">
        <v>137</v>
      </c>
      <c r="F30" s="2" t="s">
        <v>138</v>
      </c>
      <c r="G30" s="2" t="s">
        <v>29</v>
      </c>
      <c r="H30" s="2">
        <v>2</v>
      </c>
      <c r="I30" s="2">
        <v>6</v>
      </c>
      <c r="J30" s="2">
        <v>6</v>
      </c>
      <c r="K30" s="2">
        <v>100</v>
      </c>
      <c r="L30" s="2">
        <v>91.66</v>
      </c>
      <c r="M30" s="2"/>
      <c r="N30" s="2"/>
      <c r="O30" s="2"/>
      <c r="P30" s="2"/>
      <c r="Q30" s="2" t="str">
        <f>IF(Tabelle1345[[#This Row],[Branch-Coverage nach Reparatur]]&gt;Tabelle1345[[#This Row],[Branch-Coverage]],"ja","nein")</f>
        <v>nein</v>
      </c>
      <c r="R30" s="2" t="s">
        <v>90</v>
      </c>
      <c r="S30" s="2" t="s">
        <v>29</v>
      </c>
      <c r="T30" s="2"/>
      <c r="U30" s="2"/>
      <c r="V30" s="2"/>
      <c r="W30" s="2"/>
      <c r="X30" s="2" t="s">
        <v>29</v>
      </c>
      <c r="Y30" s="2"/>
      <c r="Z30" s="2"/>
    </row>
    <row r="31" spans="1:26" x14ac:dyDescent="0.25">
      <c r="A31" s="2"/>
      <c r="B31" s="2">
        <v>30</v>
      </c>
      <c r="C31" s="2" t="s">
        <v>128</v>
      </c>
      <c r="D31" s="2" t="s">
        <v>139</v>
      </c>
      <c r="E31" s="2" t="s">
        <v>140</v>
      </c>
      <c r="F31" s="2" t="s">
        <v>141</v>
      </c>
      <c r="G31" s="2" t="s">
        <v>29</v>
      </c>
      <c r="H31" s="2">
        <v>1</v>
      </c>
      <c r="I31" s="2">
        <v>5</v>
      </c>
      <c r="J31" s="2">
        <v>1</v>
      </c>
      <c r="K31" s="2">
        <v>5.26</v>
      </c>
      <c r="L31" s="2">
        <v>12.5</v>
      </c>
      <c r="M31" s="2">
        <v>4</v>
      </c>
      <c r="N31" s="2">
        <v>0</v>
      </c>
      <c r="O31" s="2">
        <v>0</v>
      </c>
      <c r="P31" s="2">
        <v>0</v>
      </c>
      <c r="Q31" s="2" t="str">
        <f>IF(Tabelle1345[[#This Row],[Branch-Coverage nach Reparatur]]&gt;Tabelle1345[[#This Row],[Branch-Coverage]],"ja","nein")</f>
        <v>nein</v>
      </c>
      <c r="R31" s="2" t="s">
        <v>90</v>
      </c>
      <c r="S31" s="2" t="s">
        <v>29</v>
      </c>
      <c r="T31" s="2" t="s">
        <v>30</v>
      </c>
      <c r="U31" s="2" t="s">
        <v>31</v>
      </c>
      <c r="V31" s="2" t="s">
        <v>32</v>
      </c>
      <c r="W31" s="2" t="s">
        <v>29</v>
      </c>
      <c r="X31" s="2" t="s">
        <v>31</v>
      </c>
      <c r="Y31" s="2"/>
      <c r="Z31" s="2"/>
    </row>
    <row r="32" spans="1:26" x14ac:dyDescent="0.25">
      <c r="A32" s="2"/>
      <c r="B32" s="2">
        <v>31</v>
      </c>
      <c r="C32" s="2" t="s">
        <v>128</v>
      </c>
      <c r="D32" s="2" t="s">
        <v>142</v>
      </c>
      <c r="E32" s="2" t="s">
        <v>143</v>
      </c>
      <c r="F32" s="2" t="s">
        <v>144</v>
      </c>
      <c r="G32" s="2" t="s">
        <v>29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 t="str">
        <f>IF(Tabelle1345[[#This Row],[Branch-Coverage nach Reparatur]]&gt;Tabelle1345[[#This Row],[Branch-Coverage]],"ja","nein")</f>
        <v>nein</v>
      </c>
      <c r="R32" s="2" t="s">
        <v>90</v>
      </c>
      <c r="S32" s="2" t="s">
        <v>29</v>
      </c>
      <c r="T32" s="2" t="s">
        <v>32</v>
      </c>
      <c r="U32" s="2" t="s">
        <v>29</v>
      </c>
      <c r="V32" s="2" t="s">
        <v>32</v>
      </c>
      <c r="W32" s="2" t="s">
        <v>29</v>
      </c>
      <c r="X32" s="2" t="s">
        <v>31</v>
      </c>
      <c r="Y32" s="2" t="s">
        <v>145</v>
      </c>
      <c r="Z32" s="2"/>
    </row>
    <row r="33" spans="1:26" x14ac:dyDescent="0.25">
      <c r="A33" s="2"/>
      <c r="B33" s="2">
        <v>32</v>
      </c>
      <c r="C33" s="2" t="s">
        <v>128</v>
      </c>
      <c r="D33" s="2" t="s">
        <v>146</v>
      </c>
      <c r="E33" s="2" t="s">
        <v>147</v>
      </c>
      <c r="F33" s="2" t="s">
        <v>148</v>
      </c>
      <c r="G33" s="2" t="s">
        <v>31</v>
      </c>
      <c r="H33" s="2">
        <v>4</v>
      </c>
      <c r="I33" s="2"/>
      <c r="J33" s="2"/>
      <c r="K33" s="2"/>
      <c r="L33" s="2"/>
      <c r="M33" s="2"/>
      <c r="N33" s="2"/>
      <c r="O33" s="2"/>
      <c r="P33" s="2"/>
      <c r="Q33" s="2" t="str">
        <f>IF(Tabelle1345[[#This Row],[Branch-Coverage nach Reparatur]]&gt;Tabelle1345[[#This Row],[Branch-Coverage]],"ja","nein")</f>
        <v>nein</v>
      </c>
      <c r="R33" s="2" t="s">
        <v>90</v>
      </c>
      <c r="S33" s="2" t="s">
        <v>29</v>
      </c>
      <c r="T33" s="2" t="s">
        <v>32</v>
      </c>
      <c r="U33" s="2" t="s">
        <v>29</v>
      </c>
      <c r="V33" s="2" t="s">
        <v>32</v>
      </c>
      <c r="W33" s="2" t="s">
        <v>29</v>
      </c>
      <c r="X33" s="2" t="s">
        <v>31</v>
      </c>
      <c r="Y33" s="2" t="s">
        <v>149</v>
      </c>
      <c r="Z33" s="2"/>
    </row>
    <row r="34" spans="1:26" x14ac:dyDescent="0.25">
      <c r="A34" s="2"/>
      <c r="B34" s="2">
        <v>33</v>
      </c>
      <c r="C34" s="2" t="s">
        <v>128</v>
      </c>
      <c r="D34" s="2" t="s">
        <v>150</v>
      </c>
      <c r="E34" s="2" t="s">
        <v>151</v>
      </c>
      <c r="F34" s="2" t="s">
        <v>152</v>
      </c>
      <c r="G34" s="2" t="s">
        <v>31</v>
      </c>
      <c r="H34" s="2">
        <v>4</v>
      </c>
      <c r="I34" s="2"/>
      <c r="J34" s="2"/>
      <c r="K34" s="2"/>
      <c r="L34" s="2"/>
      <c r="M34" s="2"/>
      <c r="N34" s="2"/>
      <c r="O34" s="2"/>
      <c r="P34" s="2"/>
      <c r="Q34" s="2" t="str">
        <f>IF(Tabelle1345[[#This Row],[Branch-Coverage nach Reparatur]]&gt;Tabelle1345[[#This Row],[Branch-Coverage]],"ja","nein")</f>
        <v>nein</v>
      </c>
      <c r="R34" s="2" t="s">
        <v>90</v>
      </c>
      <c r="S34" s="2" t="s">
        <v>29</v>
      </c>
      <c r="T34" s="2" t="s">
        <v>32</v>
      </c>
      <c r="U34" s="2" t="s">
        <v>29</v>
      </c>
      <c r="V34" s="2" t="s">
        <v>32</v>
      </c>
      <c r="W34" s="2" t="s">
        <v>29</v>
      </c>
      <c r="X34" s="2" t="s">
        <v>31</v>
      </c>
      <c r="Y34" s="2" t="s">
        <v>153</v>
      </c>
      <c r="Z34" s="2"/>
    </row>
    <row r="35" spans="1:26" x14ac:dyDescent="0.25">
      <c r="A35" s="2"/>
      <c r="B35" s="2">
        <v>34</v>
      </c>
      <c r="C35" s="2" t="s">
        <v>128</v>
      </c>
      <c r="D35" s="2" t="s">
        <v>154</v>
      </c>
      <c r="E35" s="2" t="s">
        <v>155</v>
      </c>
      <c r="F35" s="2" t="s">
        <v>156</v>
      </c>
      <c r="G35" s="2" t="s">
        <v>29</v>
      </c>
      <c r="H35" s="2">
        <v>3</v>
      </c>
      <c r="I35" s="2">
        <v>5</v>
      </c>
      <c r="J35" s="2">
        <v>0</v>
      </c>
      <c r="K35" s="2">
        <v>0</v>
      </c>
      <c r="L35" s="2">
        <v>0</v>
      </c>
      <c r="M35" s="2">
        <v>5</v>
      </c>
      <c r="N35" s="2">
        <v>4</v>
      </c>
      <c r="O35" s="2">
        <v>68.66</v>
      </c>
      <c r="P35" s="2">
        <v>75</v>
      </c>
      <c r="Q35" s="2" t="str">
        <f>IF(Tabelle1345[[#This Row],[Branch-Coverage nach Reparatur]]&gt;Tabelle1345[[#This Row],[Branch-Coverage]],"ja","nein")</f>
        <v>ja</v>
      </c>
      <c r="R35" s="2" t="s">
        <v>90</v>
      </c>
      <c r="S35" s="2" t="s">
        <v>29</v>
      </c>
      <c r="T35" s="2" t="s">
        <v>32</v>
      </c>
      <c r="U35" s="2" t="s">
        <v>29</v>
      </c>
      <c r="V35" s="2" t="s">
        <v>32</v>
      </c>
      <c r="W35" s="2" t="s">
        <v>29</v>
      </c>
      <c r="X35" s="2" t="s">
        <v>31</v>
      </c>
      <c r="Y35" s="2" t="s">
        <v>157</v>
      </c>
      <c r="Z35" s="2"/>
    </row>
    <row r="36" spans="1:26" x14ac:dyDescent="0.25">
      <c r="A36" s="2"/>
      <c r="B36" s="2">
        <v>35</v>
      </c>
      <c r="C36" s="2" t="s">
        <v>128</v>
      </c>
      <c r="D36" s="2" t="s">
        <v>158</v>
      </c>
      <c r="E36" s="2" t="s">
        <v>159</v>
      </c>
      <c r="F36" s="2" t="s">
        <v>160</v>
      </c>
      <c r="G36" s="2" t="s">
        <v>29</v>
      </c>
      <c r="H36" s="2">
        <v>1</v>
      </c>
      <c r="I36" s="2">
        <v>6</v>
      </c>
      <c r="J36" s="2">
        <v>6</v>
      </c>
      <c r="K36" s="2">
        <v>100</v>
      </c>
      <c r="L36" s="2">
        <v>100</v>
      </c>
      <c r="M36" s="2"/>
      <c r="N36" s="2"/>
      <c r="O36" s="2"/>
      <c r="P36" s="2"/>
      <c r="Q36" s="2" t="str">
        <f>IF(Tabelle1345[[#This Row],[Branch-Coverage nach Reparatur]]&gt;Tabelle1345[[#This Row],[Branch-Coverage]],"ja","nein")</f>
        <v>nein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>
        <v>36</v>
      </c>
      <c r="C37" s="2" t="s">
        <v>128</v>
      </c>
      <c r="D37" s="2" t="s">
        <v>161</v>
      </c>
      <c r="E37" s="2" t="s">
        <v>162</v>
      </c>
      <c r="F37" s="2" t="s">
        <v>163</v>
      </c>
      <c r="G37" s="2" t="s">
        <v>29</v>
      </c>
      <c r="H37" s="2">
        <v>2</v>
      </c>
      <c r="I37" s="2">
        <v>7</v>
      </c>
      <c r="J37" s="2">
        <v>6</v>
      </c>
      <c r="K37" s="2">
        <v>100</v>
      </c>
      <c r="L37" s="2">
        <v>100</v>
      </c>
      <c r="M37" s="2">
        <v>7</v>
      </c>
      <c r="N37" s="2">
        <v>7</v>
      </c>
      <c r="O37" s="2">
        <v>100</v>
      </c>
      <c r="P37" s="2">
        <v>100</v>
      </c>
      <c r="Q37" s="2" t="str">
        <f>IF(Tabelle1345[[#This Row],[Branch-Coverage nach Reparatur]]&gt;Tabelle1345[[#This Row],[Branch-Coverage]],"ja","nein")</f>
        <v>nein</v>
      </c>
      <c r="R37" s="2" t="s">
        <v>90</v>
      </c>
      <c r="S37" s="2" t="s">
        <v>29</v>
      </c>
      <c r="T37" s="2" t="s">
        <v>32</v>
      </c>
      <c r="U37" s="2" t="s">
        <v>29</v>
      </c>
      <c r="V37" s="2"/>
      <c r="W37" s="2"/>
      <c r="X37" s="2" t="s">
        <v>29</v>
      </c>
      <c r="Y37" s="2"/>
      <c r="Z37" s="2"/>
    </row>
    <row r="38" spans="1:26" x14ac:dyDescent="0.25">
      <c r="A38" s="2"/>
      <c r="B38" s="2">
        <v>37</v>
      </c>
      <c r="C38" s="2" t="s">
        <v>128</v>
      </c>
      <c r="D38" s="2" t="s">
        <v>164</v>
      </c>
      <c r="E38" s="2" t="s">
        <v>165</v>
      </c>
      <c r="F38" s="2" t="s">
        <v>166</v>
      </c>
      <c r="G38" s="2" t="s">
        <v>31</v>
      </c>
      <c r="H38" s="2">
        <v>4</v>
      </c>
      <c r="I38" s="2"/>
      <c r="J38" s="2"/>
      <c r="K38" s="2"/>
      <c r="L38" s="2"/>
      <c r="M38" s="2"/>
      <c r="N38" s="2"/>
      <c r="O38" s="2"/>
      <c r="P38" s="2"/>
      <c r="Q38" s="2" t="str">
        <f>IF(Tabelle1345[[#This Row],[Branch-Coverage nach Reparatur]]&gt;Tabelle1345[[#This Row],[Branch-Coverage]],"ja","nein")</f>
        <v>nein</v>
      </c>
      <c r="R38" s="2" t="s">
        <v>90</v>
      </c>
      <c r="S38" s="2" t="s">
        <v>29</v>
      </c>
      <c r="T38" s="2" t="s">
        <v>32</v>
      </c>
      <c r="U38" s="2" t="s">
        <v>29</v>
      </c>
      <c r="V38" s="2" t="s">
        <v>32</v>
      </c>
      <c r="W38" s="2" t="s">
        <v>29</v>
      </c>
      <c r="X38" s="2" t="s">
        <v>31</v>
      </c>
      <c r="Y38" s="2" t="s">
        <v>167</v>
      </c>
      <c r="Z38" s="2"/>
    </row>
    <row r="39" spans="1:26" x14ac:dyDescent="0.25">
      <c r="A39" s="2"/>
      <c r="B39" s="2">
        <v>38</v>
      </c>
      <c r="C39" s="2" t="s">
        <v>128</v>
      </c>
      <c r="D39" s="2" t="s">
        <v>168</v>
      </c>
      <c r="E39" s="2" t="s">
        <v>169</v>
      </c>
      <c r="F39" s="2" t="s">
        <v>170</v>
      </c>
      <c r="G39" s="2" t="s">
        <v>31</v>
      </c>
      <c r="H39" s="2">
        <v>4</v>
      </c>
      <c r="I39" s="2"/>
      <c r="J39" s="2"/>
      <c r="K39" s="2"/>
      <c r="L39" s="2"/>
      <c r="M39" s="2"/>
      <c r="N39" s="2"/>
      <c r="O39" s="2"/>
      <c r="P39" s="2"/>
      <c r="Q39" s="2" t="str">
        <f>IF(Tabelle1345[[#This Row],[Branch-Coverage nach Reparatur]]&gt;Tabelle1345[[#This Row],[Branch-Coverage]],"ja","nein")</f>
        <v>nein</v>
      </c>
      <c r="R39" s="2" t="s">
        <v>90</v>
      </c>
      <c r="S39" s="2" t="s">
        <v>29</v>
      </c>
      <c r="T39" s="2" t="s">
        <v>32</v>
      </c>
      <c r="U39" s="2" t="s">
        <v>29</v>
      </c>
      <c r="V39" s="2" t="s">
        <v>32</v>
      </c>
      <c r="W39" s="2" t="s">
        <v>29</v>
      </c>
      <c r="X39" s="2" t="s">
        <v>31</v>
      </c>
      <c r="Y39" s="2"/>
      <c r="Z39" s="2"/>
    </row>
    <row r="40" spans="1:26" x14ac:dyDescent="0.25">
      <c r="A40" s="2"/>
      <c r="B40" s="2">
        <v>39</v>
      </c>
      <c r="C40" s="2" t="s">
        <v>128</v>
      </c>
      <c r="D40" s="2" t="s">
        <v>171</v>
      </c>
      <c r="E40" s="2" t="s">
        <v>172</v>
      </c>
      <c r="F40" s="2" t="s">
        <v>173</v>
      </c>
      <c r="G40" s="2" t="s">
        <v>31</v>
      </c>
      <c r="H40" s="2">
        <v>4</v>
      </c>
      <c r="I40" s="2"/>
      <c r="J40" s="2"/>
      <c r="K40" s="2"/>
      <c r="L40" s="2"/>
      <c r="M40" s="2"/>
      <c r="N40" s="2"/>
      <c r="O40" s="2"/>
      <c r="P40" s="2"/>
      <c r="Q40" s="2" t="str">
        <f>IF(Tabelle1345[[#This Row],[Branch-Coverage nach Reparatur]]&gt;Tabelle1345[[#This Row],[Branch-Coverage]],"ja","nein")</f>
        <v>nein</v>
      </c>
      <c r="R40" s="2" t="s">
        <v>90</v>
      </c>
      <c r="S40" s="2" t="s">
        <v>29</v>
      </c>
      <c r="T40" s="2" t="s">
        <v>32</v>
      </c>
      <c r="U40" s="2" t="s">
        <v>29</v>
      </c>
      <c r="V40" s="2" t="s">
        <v>32</v>
      </c>
      <c r="W40" s="2" t="s">
        <v>29</v>
      </c>
      <c r="X40" s="2" t="s">
        <v>31</v>
      </c>
      <c r="Y40" s="2" t="s">
        <v>174</v>
      </c>
      <c r="Z40" s="2"/>
    </row>
    <row r="41" spans="1:26" x14ac:dyDescent="0.25">
      <c r="A41" s="2"/>
      <c r="B41" s="2">
        <v>40</v>
      </c>
      <c r="C41" s="2" t="s">
        <v>128</v>
      </c>
      <c r="D41" s="2" t="s">
        <v>175</v>
      </c>
      <c r="E41" s="2" t="s">
        <v>176</v>
      </c>
      <c r="F41" s="2" t="s">
        <v>177</v>
      </c>
      <c r="G41" s="2" t="s">
        <v>31</v>
      </c>
      <c r="H41" s="2">
        <v>4</v>
      </c>
      <c r="I41" s="2"/>
      <c r="J41" s="2"/>
      <c r="K41" s="2"/>
      <c r="L41" s="2"/>
      <c r="M41" s="2"/>
      <c r="N41" s="2"/>
      <c r="O41" s="2"/>
      <c r="P41" s="2"/>
      <c r="Q41" s="2" t="str">
        <f>IF(Tabelle1345[[#This Row],[Branch-Coverage nach Reparatur]]&gt;Tabelle1345[[#This Row],[Branch-Coverage]],"ja","nein")</f>
        <v>nein</v>
      </c>
      <c r="R41" s="2" t="s">
        <v>90</v>
      </c>
      <c r="S41" s="2" t="s">
        <v>29</v>
      </c>
      <c r="T41" s="2" t="s">
        <v>32</v>
      </c>
      <c r="U41" s="2" t="s">
        <v>29</v>
      </c>
      <c r="V41" s="2" t="s">
        <v>32</v>
      </c>
      <c r="W41" s="2" t="s">
        <v>29</v>
      </c>
      <c r="X41" s="2" t="s">
        <v>31</v>
      </c>
      <c r="Y41" s="2" t="s">
        <v>178</v>
      </c>
      <c r="Z41" s="2"/>
    </row>
    <row r="47" spans="1:26" x14ac:dyDescent="0.25">
      <c r="B47" t="s">
        <v>179</v>
      </c>
      <c r="J47" t="s">
        <v>180</v>
      </c>
    </row>
    <row r="48" spans="1:26" x14ac:dyDescent="0.25">
      <c r="D48" t="s">
        <v>181</v>
      </c>
    </row>
    <row r="49" spans="2:14" x14ac:dyDescent="0.25">
      <c r="B49" t="s">
        <v>182</v>
      </c>
      <c r="C49">
        <v>40</v>
      </c>
      <c r="J49" t="s">
        <v>183</v>
      </c>
      <c r="K49">
        <v>3</v>
      </c>
    </row>
    <row r="50" spans="2:14" x14ac:dyDescent="0.25">
      <c r="B50" t="s">
        <v>184</v>
      </c>
      <c r="C50">
        <f>COUNTIFS(Tabelle1345[Anzahl der Kompilierungsversuche],1,Tabelle1345[Compiliert (ja/nein)],"ja")</f>
        <v>5</v>
      </c>
      <c r="D50">
        <f>C50/C49*100</f>
        <v>12.5</v>
      </c>
      <c r="J50" t="s">
        <v>185</v>
      </c>
      <c r="K50">
        <v>3</v>
      </c>
    </row>
    <row r="51" spans="2:14" x14ac:dyDescent="0.25">
      <c r="B51" t="s">
        <v>186</v>
      </c>
      <c r="C51">
        <f>COUNTIFS(Tabelle1345[Anzahl der Kompilierungsversuche],2,Tabelle1345[Compiliert (ja/nein)],"ja")</f>
        <v>4</v>
      </c>
      <c r="D51">
        <f>C51/C49*100</f>
        <v>10</v>
      </c>
      <c r="J51" t="s">
        <v>187</v>
      </c>
      <c r="K51">
        <v>5</v>
      </c>
    </row>
    <row r="52" spans="2:14" x14ac:dyDescent="0.25">
      <c r="B52" t="s">
        <v>188</v>
      </c>
      <c r="C52">
        <f>COUNTIFS(Tabelle1345[Anzahl der Kompilierungsversuche],3,Tabelle1345[Compiliert (ja/nein)],"ja")</f>
        <v>2</v>
      </c>
      <c r="D52">
        <f>C52/C49*100</f>
        <v>5</v>
      </c>
      <c r="J52" t="s">
        <v>189</v>
      </c>
      <c r="K52">
        <v>1</v>
      </c>
    </row>
    <row r="53" spans="2:14" x14ac:dyDescent="0.25">
      <c r="B53" t="s">
        <v>190</v>
      </c>
      <c r="C53">
        <f>COUNTIFS(Tabelle1345[Anzahl der Kompilierungsversuche],4,Tabelle1345[Compiliert (ja/nein)],"ja")</f>
        <v>1</v>
      </c>
      <c r="D53">
        <f>C53/C49*100</f>
        <v>2.5</v>
      </c>
      <c r="J53" t="s">
        <v>191</v>
      </c>
      <c r="K53">
        <f>SUM(K49:K52)</f>
        <v>12</v>
      </c>
    </row>
    <row r="54" spans="2:14" x14ac:dyDescent="0.25">
      <c r="B54" t="s">
        <v>192</v>
      </c>
      <c r="C54">
        <f>COUNTIF(Tabelle1345[Compiliert (ja/nein)],"ja")</f>
        <v>12</v>
      </c>
    </row>
    <row r="57" spans="2:14" x14ac:dyDescent="0.25">
      <c r="B57" t="s">
        <v>193</v>
      </c>
    </row>
    <row r="58" spans="2:14" x14ac:dyDescent="0.25">
      <c r="C58" t="s">
        <v>194</v>
      </c>
      <c r="J58" t="s">
        <v>195</v>
      </c>
    </row>
    <row r="59" spans="2:14" x14ac:dyDescent="0.25">
      <c r="B59" t="s">
        <v>196</v>
      </c>
      <c r="C59">
        <v>12.5</v>
      </c>
      <c r="J59" t="s">
        <v>1</v>
      </c>
      <c r="K59" t="s">
        <v>197</v>
      </c>
      <c r="L59" t="s">
        <v>198</v>
      </c>
      <c r="M59" t="s">
        <v>199</v>
      </c>
      <c r="N59" t="s">
        <v>200</v>
      </c>
    </row>
    <row r="60" spans="2:14" x14ac:dyDescent="0.25">
      <c r="B60" t="s">
        <v>201</v>
      </c>
      <c r="C60">
        <v>10</v>
      </c>
      <c r="J60">
        <v>1</v>
      </c>
      <c r="K60">
        <v>75</v>
      </c>
      <c r="L60">
        <v>50</v>
      </c>
      <c r="M60">
        <v>100</v>
      </c>
      <c r="N60">
        <v>66.66</v>
      </c>
    </row>
    <row r="61" spans="2:14" x14ac:dyDescent="0.25">
      <c r="B61" t="s">
        <v>202</v>
      </c>
      <c r="C61">
        <v>5</v>
      </c>
      <c r="J61">
        <v>9</v>
      </c>
      <c r="K61">
        <v>14.81</v>
      </c>
      <c r="L61">
        <v>16.66</v>
      </c>
      <c r="M61">
        <v>62.96</v>
      </c>
      <c r="N61">
        <v>66.66</v>
      </c>
    </row>
    <row r="62" spans="2:14" x14ac:dyDescent="0.25">
      <c r="B62" t="s">
        <v>203</v>
      </c>
      <c r="C62">
        <v>2.5</v>
      </c>
      <c r="J62">
        <v>34</v>
      </c>
      <c r="K62">
        <v>0</v>
      </c>
      <c r="L62">
        <v>0</v>
      </c>
      <c r="M62">
        <v>68.66</v>
      </c>
      <c r="N62">
        <v>75</v>
      </c>
    </row>
    <row r="64" spans="2:14" x14ac:dyDescent="0.25">
      <c r="B64" t="s">
        <v>204</v>
      </c>
    </row>
    <row r="65" spans="2:5" x14ac:dyDescent="0.25">
      <c r="C65" t="s">
        <v>25</v>
      </c>
      <c r="D65" t="s">
        <v>74</v>
      </c>
      <c r="E65" t="s">
        <v>128</v>
      </c>
    </row>
    <row r="66" spans="2:5" x14ac:dyDescent="0.25">
      <c r="B66" t="s">
        <v>205</v>
      </c>
      <c r="C66">
        <f>COUNTIFS(Tabelle1345[Project],"Humanizer")</f>
        <v>12</v>
      </c>
      <c r="D66">
        <f>COUNTIFS(Tabelle1345[Project],"FluentValidation")</f>
        <v>14</v>
      </c>
      <c r="E66">
        <f>COUNTIFS(Tabelle1345[Project],"MathNet Numerics")</f>
        <v>14</v>
      </c>
    </row>
    <row r="67" spans="2:5" x14ac:dyDescent="0.25">
      <c r="B67" t="s">
        <v>184</v>
      </c>
      <c r="C67">
        <f>COUNTIFS(Tabelle1345[Project],"Humanizer",Tabelle1345[Compiliert (ja/nein)],"ja",Tabelle1345[Anzahl der Kompilierungsversuche],1)</f>
        <v>1</v>
      </c>
      <c r="D67">
        <f>COUNTIFS(Tabelle1345[Project],"FluentValidation",Tabelle1345[Compiliert (ja/nein)],"ja",Tabelle1345[Anzahl der Kompilierungsversuche],1)</f>
        <v>0</v>
      </c>
      <c r="E67">
        <f>COUNTIFS(Tabelle1345[Project],"MathNet Numerics",Tabelle1345[Compiliert (ja/nein)],"ja",Tabelle1345[Anzahl der Kompilierungsversuche],1)</f>
        <v>4</v>
      </c>
    </row>
    <row r="68" spans="2:5" x14ac:dyDescent="0.25">
      <c r="B68" t="s">
        <v>186</v>
      </c>
      <c r="C68">
        <f>COUNTIFS(Tabelle1345[Project],"Humanizer",Tabelle1345[Compiliert (ja/nein)],"ja",Tabelle1345[Anzahl der Kompilierungsversuche],2)</f>
        <v>1</v>
      </c>
      <c r="D68">
        <f>COUNTIFS(Tabelle1345[Project],"FluentValidation",Tabelle1345[Compiliert (ja/nein)],"ja",Tabelle1345[Anzahl der Kompilierungsversuche],2)</f>
        <v>0</v>
      </c>
      <c r="E68">
        <f>COUNTIFS(Tabelle1345[Project],"MathNet Numerics",Tabelle1345[Compiliert (ja/nein)],"ja",Tabelle1345[Anzahl der Kompilierungsversuche],2)</f>
        <v>3</v>
      </c>
    </row>
    <row r="69" spans="2:5" x14ac:dyDescent="0.25">
      <c r="B69" t="s">
        <v>188</v>
      </c>
      <c r="C69">
        <f>COUNTIFS(Tabelle1345[Project],"Humanizer",Tabelle1345[Compiliert (ja/nein)],"ja",Tabelle1345[Anzahl der Kompilierungsversuche],3)</f>
        <v>1</v>
      </c>
      <c r="D69">
        <f>COUNTIFS(Tabelle1345[Project],"FluentValidation",Tabelle1345[Compiliert (ja/nein)],"ja",Tabelle1345[Anzahl der Kompilierungsversuche],3)</f>
        <v>0</v>
      </c>
      <c r="E69">
        <f>COUNTIFS(Tabelle1345[Project],"MathNet Numerics",Tabelle1345[Compiliert (ja/nein)],"ja",Tabelle1345[Anzahl der Kompilierungsversuche],3)</f>
        <v>1</v>
      </c>
    </row>
    <row r="70" spans="2:5" x14ac:dyDescent="0.25">
      <c r="B70" t="s">
        <v>190</v>
      </c>
      <c r="C70">
        <f>COUNTIFS(Tabelle1345[Project],"Humanizer",Tabelle1345[Compiliert (ja/nein)],"ja",Tabelle1345[Anzahl der Kompilierungsversuche],4)</f>
        <v>1</v>
      </c>
      <c r="D70">
        <f>COUNTIFS(Tabelle1345[Project],"FluentValidation",Tabelle1345[Compiliert (ja/nein)],"ja",Tabelle1345[Anzahl der Kompilierungsversuche],4)</f>
        <v>0</v>
      </c>
      <c r="E70">
        <f>COUNTIFS(Tabelle1345[Project],"MathNet Numerics",Tabelle1345[Compiliert (ja/nein)],"ja",Tabelle1345[Anzahl der Kompilierungsversuche],4)</f>
        <v>0</v>
      </c>
    </row>
    <row r="72" spans="2:5" x14ac:dyDescent="0.25">
      <c r="B72" t="s">
        <v>206</v>
      </c>
    </row>
    <row r="73" spans="2:5" x14ac:dyDescent="0.25">
      <c r="C73" t="s">
        <v>25</v>
      </c>
      <c r="D73" t="s">
        <v>74</v>
      </c>
      <c r="E73" t="s">
        <v>128</v>
      </c>
    </row>
    <row r="74" spans="2:5" x14ac:dyDescent="0.25">
      <c r="B74" t="s">
        <v>207</v>
      </c>
      <c r="C74">
        <f>C67/C66*100</f>
        <v>8.3333333333333321</v>
      </c>
      <c r="D74">
        <f t="shared" ref="D74:E74" si="0">D67/D66*100</f>
        <v>0</v>
      </c>
      <c r="E74">
        <f t="shared" si="0"/>
        <v>28.571428571428569</v>
      </c>
    </row>
    <row r="75" spans="2:5" x14ac:dyDescent="0.25">
      <c r="B75" t="s">
        <v>208</v>
      </c>
      <c r="C75">
        <f>C67/C66*100</f>
        <v>8.3333333333333321</v>
      </c>
      <c r="D75">
        <f t="shared" ref="D75" si="1">D67/D66*100</f>
        <v>0</v>
      </c>
      <c r="E75">
        <f>E68/E66*100</f>
        <v>21.428571428571427</v>
      </c>
    </row>
    <row r="76" spans="2:5" x14ac:dyDescent="0.25">
      <c r="B76" t="s">
        <v>209</v>
      </c>
      <c r="C76">
        <f>C69/C66*100</f>
        <v>8.3333333333333321</v>
      </c>
      <c r="D76">
        <f t="shared" ref="D76:E76" si="2">D69/D66*100</f>
        <v>0</v>
      </c>
      <c r="E76">
        <f t="shared" si="2"/>
        <v>7.1428571428571423</v>
      </c>
    </row>
    <row r="77" spans="2:5" x14ac:dyDescent="0.25">
      <c r="B77" t="s">
        <v>210</v>
      </c>
      <c r="C77">
        <f>C70/C66*100</f>
        <v>8.3333333333333321</v>
      </c>
      <c r="D77">
        <f t="shared" ref="D77:E77" si="3">D70/D66*100</f>
        <v>0</v>
      </c>
      <c r="E77">
        <f t="shared" si="3"/>
        <v>0</v>
      </c>
    </row>
    <row r="78" spans="2:5" x14ac:dyDescent="0.25">
      <c r="B78" t="s">
        <v>191</v>
      </c>
      <c r="C78">
        <f>SUM(C74:C77)</f>
        <v>33.333333333333329</v>
      </c>
      <c r="D78">
        <f t="shared" ref="D78:E78" si="4">SUM(D74:D77)</f>
        <v>0</v>
      </c>
      <c r="E78">
        <f t="shared" si="4"/>
        <v>57.142857142857139</v>
      </c>
    </row>
  </sheetData>
  <phoneticPr fontId="2" type="noConversion"/>
  <hyperlinks>
    <hyperlink ref="D21" r:id="rId1" location="L38" display="https://github.com/FluentValidation/FluentValidation/blob/main/src/FluentValidation/TestHelper/ValidatorTestExtensions.cs - L38" xr:uid="{4FB8E84F-453F-4A25-9AA0-BDEEE71B8EA5}"/>
    <hyperlink ref="D8" r:id="rId2" location="L108" display="https://github.com/Humanizr/Humanizer/blob/main/src/Humanizer/RomanNumeralExtensions.cs - L108" xr:uid="{DF11234A-9C70-4A46-845C-42DF5C638EF3}"/>
    <hyperlink ref="D29" r:id="rId3" location="L646" display="https://github.com/mathnet/mathnet-numerics/blob/master/src/Numerics/Statistics/StreamingStatistics.cs - L646" xr:uid="{6F446C92-1A92-49FB-80DA-87CDAFD123B4}"/>
    <hyperlink ref="D28" r:id="rId4" location="L221" xr:uid="{7B696BAE-1D52-4561-BEDC-097A93FC5AA1}"/>
    <hyperlink ref="D12" r:id="rId5" location="L52" display="https://github.com/Humanizr/Humanizer/blob/main/src/Humanizer/TruncateExtensions.cs - L52" xr:uid="{462B8A17-D032-4518-BCF5-40EB2B806715}"/>
    <hyperlink ref="D13" r:id="rId6" location="L11" display="https://github.com/Humanizr/Humanizer/blob/main/src/Humanizer/CasingExtensions.cs - L11" xr:uid="{25888235-7CCD-45F6-9165-8882705680C8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9C8D-4646-465F-9D5B-5BEA8C1E50AE}">
  <dimension ref="A1:X77"/>
  <sheetViews>
    <sheetView workbookViewId="0">
      <selection activeCell="B2" sqref="B1:B2"/>
    </sheetView>
  </sheetViews>
  <sheetFormatPr baseColWidth="10" defaultColWidth="9.140625" defaultRowHeight="15" x14ac:dyDescent="0.25"/>
  <cols>
    <col min="2" max="2" width="9.42578125" customWidth="1"/>
    <col min="3" max="3" width="57.7109375" bestFit="1" customWidth="1"/>
    <col min="4" max="4" width="32.7109375" customWidth="1"/>
    <col min="5" max="5" width="27.42578125" bestFit="1" customWidth="1"/>
    <col min="6" max="6" width="40.140625" customWidth="1"/>
    <col min="7" max="7" width="28.28515625" bestFit="1" customWidth="1"/>
    <col min="8" max="8" width="18.140625" customWidth="1"/>
    <col min="9" max="9" width="28.28515625" bestFit="1" customWidth="1"/>
    <col min="10" max="10" width="31.5703125" customWidth="1"/>
    <col min="11" max="12" width="23.7109375" bestFit="1" customWidth="1"/>
    <col min="13" max="13" width="28.42578125" bestFit="1" customWidth="1"/>
    <col min="14" max="14" width="23.28515625" customWidth="1"/>
    <col min="15" max="15" width="30.140625" bestFit="1" customWidth="1"/>
    <col min="16" max="16" width="32.42578125" bestFit="1" customWidth="1"/>
    <col min="17" max="17" width="10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211</v>
      </c>
      <c r="N1" t="s">
        <v>13</v>
      </c>
      <c r="O1" t="s">
        <v>14</v>
      </c>
      <c r="P1" t="s">
        <v>15</v>
      </c>
      <c r="Q1" t="s">
        <v>212</v>
      </c>
      <c r="R1" t="s">
        <v>17</v>
      </c>
      <c r="S1" t="s">
        <v>19</v>
      </c>
      <c r="T1" t="s">
        <v>21</v>
      </c>
      <c r="U1" t="s">
        <v>213</v>
      </c>
      <c r="V1" t="s">
        <v>24</v>
      </c>
    </row>
    <row r="2" spans="1:24" x14ac:dyDescent="0.25">
      <c r="A2" s="2"/>
      <c r="B2" s="2">
        <v>1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>
        <v>1</v>
      </c>
      <c r="I2" s="2">
        <v>13</v>
      </c>
      <c r="J2" s="2">
        <v>1</v>
      </c>
      <c r="K2" s="2">
        <v>75</v>
      </c>
      <c r="L2" s="2">
        <v>50</v>
      </c>
      <c r="M2" s="2">
        <v>12</v>
      </c>
      <c r="N2" s="2">
        <v>12</v>
      </c>
      <c r="O2" s="2">
        <v>75</v>
      </c>
      <c r="P2" s="2">
        <v>50</v>
      </c>
      <c r="Q2" s="2" t="str">
        <f>IF(Tabelle134[[#This Row],[Branch-Coverage nach Reparatur]]&gt;Tabelle134[[#This Row],[Branch-Coverage]],"ja","nein")</f>
        <v>nein</v>
      </c>
      <c r="R2" s="2" t="s">
        <v>32</v>
      </c>
      <c r="S2" s="2" t="s">
        <v>32</v>
      </c>
      <c r="T2" s="2" t="s">
        <v>32</v>
      </c>
      <c r="U2" s="2" t="s">
        <v>29</v>
      </c>
      <c r="V2" s="2"/>
      <c r="W2" s="2"/>
      <c r="X2" s="2"/>
    </row>
    <row r="3" spans="1:24" x14ac:dyDescent="0.25">
      <c r="A3" s="2"/>
      <c r="B3" s="2">
        <v>2</v>
      </c>
      <c r="C3" s="2" t="s">
        <v>25</v>
      </c>
      <c r="D3" s="2" t="s">
        <v>34</v>
      </c>
      <c r="E3" s="2" t="s">
        <v>35</v>
      </c>
      <c r="F3" s="2" t="s">
        <v>36</v>
      </c>
      <c r="G3" s="2" t="s">
        <v>29</v>
      </c>
      <c r="H3" s="2">
        <v>1</v>
      </c>
      <c r="I3" s="2">
        <v>9</v>
      </c>
      <c r="J3" s="2">
        <v>7</v>
      </c>
      <c r="K3" s="2">
        <v>100</v>
      </c>
      <c r="L3" s="2">
        <v>100</v>
      </c>
      <c r="M3" s="2">
        <v>9</v>
      </c>
      <c r="N3" s="2">
        <v>9</v>
      </c>
      <c r="O3" s="2">
        <v>100</v>
      </c>
      <c r="P3" s="2">
        <v>100</v>
      </c>
      <c r="Q3" s="2" t="str">
        <f>IF(Tabelle134[[#This Row],[Branch-Coverage nach Reparatur]]&gt;Tabelle134[[#This Row],[Branch-Coverage]],"ja","nein")</f>
        <v>nein</v>
      </c>
      <c r="R3" s="2" t="s">
        <v>32</v>
      </c>
      <c r="S3" s="2" t="s">
        <v>32</v>
      </c>
      <c r="T3" s="2" t="s">
        <v>32</v>
      </c>
      <c r="U3" s="2" t="s">
        <v>29</v>
      </c>
      <c r="V3" s="2"/>
      <c r="W3" s="2"/>
      <c r="X3" s="2"/>
    </row>
    <row r="4" spans="1:24" ht="15.75" customHeight="1" x14ac:dyDescent="0.25">
      <c r="A4" s="2"/>
      <c r="B4" s="2">
        <v>3</v>
      </c>
      <c r="C4" s="2" t="s">
        <v>25</v>
      </c>
      <c r="D4" s="2" t="s">
        <v>38</v>
      </c>
      <c r="E4" s="2" t="s">
        <v>39</v>
      </c>
      <c r="F4" s="3" t="s">
        <v>40</v>
      </c>
      <c r="G4" s="2" t="s">
        <v>29</v>
      </c>
      <c r="H4" s="2">
        <v>2</v>
      </c>
      <c r="I4" s="2">
        <v>11</v>
      </c>
      <c r="J4" s="2">
        <v>8</v>
      </c>
      <c r="K4" s="2">
        <v>100</v>
      </c>
      <c r="L4" s="2">
        <v>100</v>
      </c>
      <c r="M4" s="2">
        <v>9</v>
      </c>
      <c r="N4" s="2">
        <v>6</v>
      </c>
      <c r="O4" s="2">
        <v>75</v>
      </c>
      <c r="P4" s="2">
        <v>66.66</v>
      </c>
      <c r="Q4" s="2" t="str">
        <f>IF(Tabelle134[[#This Row],[Branch-Coverage nach Reparatur]]&gt;Tabelle134[[#This Row],[Branch-Coverage]],"ja","nein")</f>
        <v>nein</v>
      </c>
      <c r="R4" s="2" t="s">
        <v>32</v>
      </c>
      <c r="S4" s="2" t="s">
        <v>32</v>
      </c>
      <c r="T4" s="2" t="s">
        <v>32</v>
      </c>
      <c r="U4" s="2" t="s">
        <v>31</v>
      </c>
      <c r="V4" s="2"/>
      <c r="W4" s="2"/>
      <c r="X4" s="2"/>
    </row>
    <row r="5" spans="1:24" x14ac:dyDescent="0.25">
      <c r="A5" s="2"/>
      <c r="B5" s="2">
        <v>4</v>
      </c>
      <c r="C5" s="2" t="s">
        <v>25</v>
      </c>
      <c r="D5" s="2" t="s">
        <v>42</v>
      </c>
      <c r="E5" s="2" t="s">
        <v>27</v>
      </c>
      <c r="F5" s="2" t="s">
        <v>43</v>
      </c>
      <c r="G5" s="2" t="s">
        <v>29</v>
      </c>
      <c r="H5" s="2">
        <v>2</v>
      </c>
      <c r="I5" s="2">
        <v>10</v>
      </c>
      <c r="J5" s="2">
        <v>9</v>
      </c>
      <c r="K5" s="2">
        <v>100</v>
      </c>
      <c r="L5" s="2">
        <v>100</v>
      </c>
      <c r="M5" s="2">
        <v>9</v>
      </c>
      <c r="N5" s="2">
        <v>7</v>
      </c>
      <c r="O5" s="2">
        <v>100</v>
      </c>
      <c r="P5" s="2">
        <v>100</v>
      </c>
      <c r="Q5" s="2" t="str">
        <f>IF(Tabelle134[[#This Row],[Branch-Coverage nach Reparatur]]&gt;Tabelle134[[#This Row],[Branch-Coverage]],"ja","nein")</f>
        <v>nein</v>
      </c>
      <c r="R5" s="2" t="s">
        <v>32</v>
      </c>
      <c r="S5" s="2" t="s">
        <v>32</v>
      </c>
      <c r="T5" s="2" t="s">
        <v>32</v>
      </c>
      <c r="U5" s="2" t="s">
        <v>31</v>
      </c>
      <c r="V5" s="2"/>
      <c r="W5" s="2"/>
      <c r="X5" s="2"/>
    </row>
    <row r="6" spans="1:24" x14ac:dyDescent="0.25">
      <c r="A6" s="2"/>
      <c r="B6" s="2">
        <v>5</v>
      </c>
      <c r="C6" s="2" t="s">
        <v>25</v>
      </c>
      <c r="D6" s="2" t="s">
        <v>44</v>
      </c>
      <c r="E6" s="2" t="s">
        <v>27</v>
      </c>
      <c r="F6" s="2" t="s">
        <v>45</v>
      </c>
      <c r="G6" s="2" t="s">
        <v>29</v>
      </c>
      <c r="H6" s="2">
        <v>1</v>
      </c>
      <c r="I6" s="2">
        <v>10</v>
      </c>
      <c r="J6" s="2">
        <v>8</v>
      </c>
      <c r="K6" s="2">
        <v>100</v>
      </c>
      <c r="L6" s="2">
        <v>100</v>
      </c>
      <c r="M6" s="2">
        <v>10</v>
      </c>
      <c r="N6" s="2">
        <v>10</v>
      </c>
      <c r="O6" s="2">
        <v>100</v>
      </c>
      <c r="P6" s="2">
        <v>100</v>
      </c>
      <c r="Q6" s="2" t="str">
        <f>IF(Tabelle134[[#This Row],[Branch-Coverage nach Reparatur]]&gt;Tabelle134[[#This Row],[Branch-Coverage]],"ja","nein")</f>
        <v>nein</v>
      </c>
      <c r="R6" s="2" t="s">
        <v>32</v>
      </c>
      <c r="S6" s="2"/>
      <c r="T6" s="2"/>
      <c r="U6" s="2" t="s">
        <v>29</v>
      </c>
      <c r="V6" s="2"/>
      <c r="W6" s="2"/>
      <c r="X6" s="2"/>
    </row>
    <row r="7" spans="1:24" ht="17.25" customHeight="1" x14ac:dyDescent="0.25">
      <c r="A7" s="2"/>
      <c r="B7" s="2">
        <v>6</v>
      </c>
      <c r="C7" s="2" t="s">
        <v>25</v>
      </c>
      <c r="D7" s="2" t="s">
        <v>47</v>
      </c>
      <c r="E7" s="2" t="s">
        <v>48</v>
      </c>
      <c r="F7" s="3" t="s">
        <v>49</v>
      </c>
      <c r="G7" s="2" t="s">
        <v>29</v>
      </c>
      <c r="H7" s="2">
        <v>1</v>
      </c>
      <c r="I7" s="2">
        <v>32</v>
      </c>
      <c r="J7" s="2">
        <v>32</v>
      </c>
      <c r="K7" s="2">
        <v>100</v>
      </c>
      <c r="L7" s="2">
        <v>100</v>
      </c>
      <c r="M7" s="2"/>
      <c r="N7" s="2"/>
      <c r="O7" s="2"/>
      <c r="P7" s="2"/>
      <c r="Q7" s="2" t="str">
        <f>IF(Tabelle134[[#This Row],[Branch-Coverage nach Reparatur]]&gt;Tabelle134[[#This Row],[Branch-Coverage]],"ja","nein")</f>
        <v>nein</v>
      </c>
      <c r="R7" s="2"/>
      <c r="S7" s="2"/>
      <c r="T7" s="2"/>
      <c r="U7" s="2"/>
      <c r="V7" s="2"/>
      <c r="W7" s="2"/>
      <c r="X7" s="2"/>
    </row>
    <row r="8" spans="1:24" ht="15.75" customHeight="1" x14ac:dyDescent="0.25">
      <c r="A8" s="2"/>
      <c r="B8" s="2">
        <v>7</v>
      </c>
      <c r="C8" s="2" t="s">
        <v>25</v>
      </c>
      <c r="D8" s="4" t="s">
        <v>51</v>
      </c>
      <c r="E8" s="2" t="s">
        <v>52</v>
      </c>
      <c r="F8" s="3" t="s">
        <v>53</v>
      </c>
      <c r="G8" s="2" t="s">
        <v>29</v>
      </c>
      <c r="H8" s="2">
        <v>1</v>
      </c>
      <c r="I8" s="2">
        <v>32</v>
      </c>
      <c r="J8" s="2">
        <v>32</v>
      </c>
      <c r="K8" s="2">
        <v>100</v>
      </c>
      <c r="L8" s="2">
        <v>100</v>
      </c>
      <c r="M8" s="2"/>
      <c r="N8" s="2"/>
      <c r="O8" s="2"/>
      <c r="P8" s="2"/>
      <c r="Q8" s="2" t="str">
        <f>IF(Tabelle134[[#This Row],[Branch-Coverage nach Reparatur]]&gt;Tabelle134[[#This Row],[Branch-Coverage]],"ja","nein")</f>
        <v>nein</v>
      </c>
      <c r="R8" s="2"/>
      <c r="S8" s="2"/>
      <c r="T8" s="2"/>
      <c r="U8" s="2"/>
      <c r="V8" s="2"/>
      <c r="W8" s="2"/>
      <c r="X8" s="2"/>
    </row>
    <row r="9" spans="1:24" x14ac:dyDescent="0.25">
      <c r="A9" s="2"/>
      <c r="B9" s="2">
        <v>8</v>
      </c>
      <c r="C9" s="2" t="s">
        <v>25</v>
      </c>
      <c r="D9" s="2" t="s">
        <v>54</v>
      </c>
      <c r="E9" s="2" t="s">
        <v>55</v>
      </c>
      <c r="F9" s="2" t="s">
        <v>56</v>
      </c>
      <c r="G9" s="2" t="s">
        <v>29</v>
      </c>
      <c r="H9" s="2">
        <v>1</v>
      </c>
      <c r="I9" s="2">
        <v>7</v>
      </c>
      <c r="J9" s="2">
        <v>7</v>
      </c>
      <c r="K9" s="2">
        <v>100</v>
      </c>
      <c r="L9" s="2">
        <v>100</v>
      </c>
      <c r="M9" s="2"/>
      <c r="N9" s="2"/>
      <c r="O9" s="2"/>
      <c r="P9" s="2"/>
      <c r="Q9" s="2" t="str">
        <f>IF(Tabelle134[[#This Row],[Branch-Coverage nach Reparatur]]&gt;Tabelle134[[#This Row],[Branch-Coverage]],"ja","nein")</f>
        <v>nein</v>
      </c>
      <c r="R9" s="2"/>
      <c r="S9" s="2"/>
      <c r="T9" s="2"/>
      <c r="U9" s="2"/>
      <c r="V9" s="2"/>
      <c r="W9" s="2"/>
      <c r="X9" s="2"/>
    </row>
    <row r="10" spans="1:24" x14ac:dyDescent="0.25">
      <c r="A10" s="2"/>
      <c r="B10" s="2">
        <v>9</v>
      </c>
      <c r="C10" s="2" t="s">
        <v>25</v>
      </c>
      <c r="D10" s="2" t="s">
        <v>58</v>
      </c>
      <c r="E10" s="2" t="s">
        <v>59</v>
      </c>
      <c r="F10" s="2" t="s">
        <v>60</v>
      </c>
      <c r="G10" s="2" t="s">
        <v>29</v>
      </c>
      <c r="H10" s="2">
        <v>1</v>
      </c>
      <c r="I10" s="2">
        <v>7</v>
      </c>
      <c r="J10" s="2">
        <v>4</v>
      </c>
      <c r="K10" s="2">
        <v>100</v>
      </c>
      <c r="L10" s="2">
        <v>100</v>
      </c>
      <c r="M10" s="2">
        <v>4</v>
      </c>
      <c r="N10" s="2">
        <v>2</v>
      </c>
      <c r="O10" s="2">
        <v>81.48</v>
      </c>
      <c r="P10" s="2">
        <v>83.33</v>
      </c>
      <c r="Q10" s="2" t="str">
        <f>IF(Tabelle134[[#This Row],[Branch-Coverage nach Reparatur]]&gt;Tabelle134[[#This Row],[Branch-Coverage]],"ja","nein")</f>
        <v>nein</v>
      </c>
      <c r="R10" s="2" t="s">
        <v>32</v>
      </c>
      <c r="S10" s="2" t="s">
        <v>32</v>
      </c>
      <c r="T10" s="2" t="s">
        <v>32</v>
      </c>
      <c r="U10" s="2" t="s">
        <v>31</v>
      </c>
      <c r="V10" s="2"/>
      <c r="W10" s="2"/>
      <c r="X10" s="2"/>
    </row>
    <row r="11" spans="1:24" x14ac:dyDescent="0.25">
      <c r="A11" s="2"/>
      <c r="B11" s="2">
        <v>10</v>
      </c>
      <c r="C11" s="2" t="s">
        <v>25</v>
      </c>
      <c r="D11" s="2" t="s">
        <v>62</v>
      </c>
      <c r="E11" s="2" t="s">
        <v>63</v>
      </c>
      <c r="F11" s="2" t="s">
        <v>64</v>
      </c>
      <c r="G11" s="2" t="s">
        <v>29</v>
      </c>
      <c r="H11" s="2">
        <v>1</v>
      </c>
      <c r="I11" s="2">
        <v>9</v>
      </c>
      <c r="J11" s="2">
        <v>3</v>
      </c>
      <c r="K11" s="2">
        <v>66.66</v>
      </c>
      <c r="L11" s="2">
        <v>62.5</v>
      </c>
      <c r="M11" s="2">
        <v>9</v>
      </c>
      <c r="N11" s="2">
        <v>9</v>
      </c>
      <c r="O11" s="2">
        <v>100</v>
      </c>
      <c r="P11" s="2">
        <v>100</v>
      </c>
      <c r="Q11" s="2" t="str">
        <f>IF(Tabelle134[[#This Row],[Branch-Coverage nach Reparatur]]&gt;Tabelle134[[#This Row],[Branch-Coverage]],"ja","nein")</f>
        <v>ja</v>
      </c>
      <c r="R11" s="2" t="s">
        <v>32</v>
      </c>
      <c r="S11" s="2"/>
      <c r="T11" s="2"/>
      <c r="U11" s="2" t="s">
        <v>29</v>
      </c>
      <c r="V11" s="2"/>
      <c r="W11" s="2"/>
      <c r="X11" s="2"/>
    </row>
    <row r="12" spans="1:24" x14ac:dyDescent="0.25">
      <c r="A12" s="2"/>
      <c r="B12" s="2">
        <v>11</v>
      </c>
      <c r="C12" s="2" t="s">
        <v>25</v>
      </c>
      <c r="D12" s="1" t="s">
        <v>66</v>
      </c>
      <c r="E12" s="2" t="s">
        <v>67</v>
      </c>
      <c r="F12" s="2" t="s">
        <v>68</v>
      </c>
      <c r="G12" s="2" t="s">
        <v>29</v>
      </c>
      <c r="H12" s="2">
        <v>1</v>
      </c>
      <c r="I12" s="2">
        <v>7</v>
      </c>
      <c r="J12" s="2">
        <v>7</v>
      </c>
      <c r="K12" s="2">
        <v>100</v>
      </c>
      <c r="L12" s="2">
        <v>100</v>
      </c>
      <c r="M12" s="2"/>
      <c r="N12" s="2"/>
      <c r="O12" s="2"/>
      <c r="P12" s="2"/>
      <c r="Q12" s="2" t="str">
        <f>IF(Tabelle134[[#This Row],[Branch-Coverage nach Reparatur]]&gt;Tabelle134[[#This Row],[Branch-Coverage]],"ja","nein")</f>
        <v>nein</v>
      </c>
      <c r="R12" s="2"/>
      <c r="S12" s="2"/>
      <c r="T12" s="2"/>
      <c r="U12" s="2"/>
      <c r="V12" s="2"/>
      <c r="W12" s="2"/>
      <c r="X12" s="2"/>
    </row>
    <row r="13" spans="1:24" x14ac:dyDescent="0.25">
      <c r="A13" s="2"/>
      <c r="B13" s="2">
        <v>12</v>
      </c>
      <c r="C13" s="2" t="s">
        <v>25</v>
      </c>
      <c r="D13" s="1" t="s">
        <v>70</v>
      </c>
      <c r="E13" s="2" t="s">
        <v>71</v>
      </c>
      <c r="F13" s="2" t="s">
        <v>72</v>
      </c>
      <c r="G13" s="2" t="s">
        <v>29</v>
      </c>
      <c r="H13" s="2">
        <v>1</v>
      </c>
      <c r="I13" s="2">
        <v>10</v>
      </c>
      <c r="J13" s="2">
        <v>7</v>
      </c>
      <c r="K13" s="2">
        <v>87.5</v>
      </c>
      <c r="L13" s="2">
        <v>80</v>
      </c>
      <c r="M13" s="2">
        <v>8</v>
      </c>
      <c r="N13" s="2">
        <v>8</v>
      </c>
      <c r="O13" s="2">
        <v>100</v>
      </c>
      <c r="P13" s="2">
        <v>100</v>
      </c>
      <c r="Q13" s="2" t="str">
        <f>IF(Tabelle134[[#This Row],[Branch-Coverage nach Reparatur]]&gt;Tabelle134[[#This Row],[Branch-Coverage]],"ja","nein")</f>
        <v>ja</v>
      </c>
      <c r="R13" s="2" t="s">
        <v>32</v>
      </c>
      <c r="S13" s="2" t="s">
        <v>32</v>
      </c>
      <c r="T13" s="2" t="s">
        <v>32</v>
      </c>
      <c r="U13" s="2" t="s">
        <v>29</v>
      </c>
      <c r="V13" s="2"/>
      <c r="W13" s="2"/>
      <c r="X13" s="2"/>
    </row>
    <row r="14" spans="1:24" x14ac:dyDescent="0.25">
      <c r="A14" s="2"/>
      <c r="B14" s="2">
        <v>13</v>
      </c>
      <c r="C14" s="2" t="s">
        <v>74</v>
      </c>
      <c r="D14" s="2" t="s">
        <v>75</v>
      </c>
      <c r="E14" s="2" t="s">
        <v>76</v>
      </c>
      <c r="F14" s="2" t="s">
        <v>77</v>
      </c>
      <c r="G14" s="2" t="s">
        <v>29</v>
      </c>
      <c r="H14" s="2">
        <v>1</v>
      </c>
      <c r="I14" s="2">
        <v>8</v>
      </c>
      <c r="J14" s="2">
        <v>6</v>
      </c>
      <c r="K14" s="2">
        <v>100</v>
      </c>
      <c r="L14" s="2">
        <v>100</v>
      </c>
      <c r="M14" s="2">
        <v>6</v>
      </c>
      <c r="N14" s="2">
        <v>6</v>
      </c>
      <c r="O14" s="2">
        <v>100</v>
      </c>
      <c r="P14" s="2">
        <v>100</v>
      </c>
      <c r="Q14" s="2" t="str">
        <f>IF(Tabelle134[[#This Row],[Branch-Coverage nach Reparatur]]&gt;Tabelle134[[#This Row],[Branch-Coverage]],"ja","nein")</f>
        <v>nein</v>
      </c>
      <c r="R14" s="2" t="s">
        <v>32</v>
      </c>
      <c r="S14" s="2" t="s">
        <v>32</v>
      </c>
      <c r="T14" s="2"/>
      <c r="U14" s="2" t="s">
        <v>29</v>
      </c>
      <c r="V14" s="2"/>
      <c r="W14" s="2"/>
      <c r="X14" s="2"/>
    </row>
    <row r="15" spans="1:24" x14ac:dyDescent="0.25">
      <c r="A15" s="2"/>
      <c r="B15" s="2">
        <v>14</v>
      </c>
      <c r="C15" s="2" t="s">
        <v>74</v>
      </c>
      <c r="D15" s="2" t="s">
        <v>79</v>
      </c>
      <c r="E15" s="2" t="s">
        <v>76</v>
      </c>
      <c r="F15" s="2" t="s">
        <v>80</v>
      </c>
      <c r="G15" s="2" t="s">
        <v>29</v>
      </c>
      <c r="H15" s="2">
        <v>1</v>
      </c>
      <c r="I15" s="2">
        <v>10</v>
      </c>
      <c r="J15" s="2">
        <v>10</v>
      </c>
      <c r="K15" s="2">
        <v>90.9</v>
      </c>
      <c r="L15" s="2">
        <v>92.85</v>
      </c>
      <c r="M15" s="2"/>
      <c r="N15" s="2"/>
      <c r="O15" s="2"/>
      <c r="P15" s="2"/>
      <c r="Q15" s="2" t="str">
        <f>IF(Tabelle134[[#This Row],[Branch-Coverage nach Reparatur]]&gt;Tabelle134[[#This Row],[Branch-Coverage]],"ja","nein")</f>
        <v>nein</v>
      </c>
      <c r="R15" s="2"/>
      <c r="S15" s="2"/>
      <c r="T15" s="2"/>
      <c r="U15" s="2"/>
      <c r="V15" s="2"/>
      <c r="W15" s="2"/>
      <c r="X15" s="2"/>
    </row>
    <row r="16" spans="1:24" ht="24.75" customHeight="1" x14ac:dyDescent="0.25">
      <c r="A16" s="2"/>
      <c r="B16" s="2">
        <v>15</v>
      </c>
      <c r="C16" s="2" t="s">
        <v>74</v>
      </c>
      <c r="D16" s="2" t="s">
        <v>82</v>
      </c>
      <c r="E16" s="2" t="s">
        <v>76</v>
      </c>
      <c r="F16" s="2" t="s">
        <v>83</v>
      </c>
      <c r="G16" s="2" t="s">
        <v>29</v>
      </c>
      <c r="H16" s="2">
        <v>1</v>
      </c>
      <c r="I16" s="2">
        <v>8</v>
      </c>
      <c r="J16" s="2">
        <v>7</v>
      </c>
      <c r="K16" s="2">
        <v>100</v>
      </c>
      <c r="L16" s="2">
        <v>100</v>
      </c>
      <c r="M16" s="2">
        <v>8</v>
      </c>
      <c r="N16" s="2">
        <v>8</v>
      </c>
      <c r="O16" s="2">
        <v>100</v>
      </c>
      <c r="P16" s="2">
        <v>100</v>
      </c>
      <c r="Q16" s="2" t="str">
        <f>IF(Tabelle134[[#This Row],[Branch-Coverage nach Reparatur]]&gt;Tabelle134[[#This Row],[Branch-Coverage]],"ja","nein")</f>
        <v>nein</v>
      </c>
      <c r="R16" s="2" t="s">
        <v>32</v>
      </c>
      <c r="S16" s="2"/>
      <c r="T16" s="2"/>
      <c r="U16" s="2" t="s">
        <v>29</v>
      </c>
      <c r="V16" s="2"/>
      <c r="W16" s="2"/>
      <c r="X16" s="2"/>
    </row>
    <row r="17" spans="1:24" ht="16.5" customHeight="1" x14ac:dyDescent="0.25">
      <c r="A17" s="2"/>
      <c r="B17" s="2">
        <v>16</v>
      </c>
      <c r="C17" s="2" t="s">
        <v>74</v>
      </c>
      <c r="D17" s="2" t="s">
        <v>85</v>
      </c>
      <c r="E17" s="2" t="s">
        <v>76</v>
      </c>
      <c r="F17" s="2" t="s">
        <v>77</v>
      </c>
      <c r="G17" s="2" t="s">
        <v>29</v>
      </c>
      <c r="H17" s="2">
        <v>1</v>
      </c>
      <c r="I17" s="2">
        <v>7</v>
      </c>
      <c r="J17" s="2">
        <v>7</v>
      </c>
      <c r="K17" s="2">
        <v>100</v>
      </c>
      <c r="L17" s="2">
        <v>100</v>
      </c>
      <c r="M17" s="2"/>
      <c r="N17" s="2"/>
      <c r="O17" s="2"/>
      <c r="P17" s="2"/>
      <c r="Q17" s="2" t="str">
        <f>IF(Tabelle134[[#This Row],[Branch-Coverage nach Reparatur]]&gt;Tabelle134[[#This Row],[Branch-Coverage]],"ja","nein")</f>
        <v>nein</v>
      </c>
      <c r="R17" s="2"/>
      <c r="S17" s="2"/>
      <c r="T17" s="2"/>
      <c r="U17" s="2"/>
      <c r="V17" s="2"/>
      <c r="W17" s="2"/>
      <c r="X17" s="2"/>
    </row>
    <row r="18" spans="1:24" ht="18" customHeight="1" x14ac:dyDescent="0.25">
      <c r="A18" s="2"/>
      <c r="B18" s="2">
        <v>17</v>
      </c>
      <c r="C18" s="2" t="s">
        <v>74</v>
      </c>
      <c r="D18" s="2" t="s">
        <v>87</v>
      </c>
      <c r="E18" s="2" t="s">
        <v>88</v>
      </c>
      <c r="F18" s="3" t="s">
        <v>89</v>
      </c>
      <c r="G18" s="2" t="s">
        <v>29</v>
      </c>
      <c r="H18" s="2">
        <v>2</v>
      </c>
      <c r="I18" s="2">
        <v>10</v>
      </c>
      <c r="J18" s="2">
        <v>10</v>
      </c>
      <c r="K18" s="2">
        <v>100</v>
      </c>
      <c r="L18" s="2">
        <v>100</v>
      </c>
      <c r="M18" s="2"/>
      <c r="N18" s="2"/>
      <c r="O18" s="2"/>
      <c r="P18" s="2"/>
      <c r="Q18" s="2" t="str">
        <f>IF(Tabelle134[[#This Row],[Branch-Coverage nach Reparatur]]&gt;Tabelle134[[#This Row],[Branch-Coverage]],"ja","nein")</f>
        <v>nein</v>
      </c>
      <c r="R18" s="2" t="s">
        <v>32</v>
      </c>
      <c r="S18" s="2"/>
      <c r="T18" s="2"/>
      <c r="U18" s="2" t="s">
        <v>29</v>
      </c>
      <c r="V18" s="2"/>
      <c r="W18" s="2"/>
      <c r="X18" s="2"/>
    </row>
    <row r="19" spans="1:24" ht="18" customHeight="1" x14ac:dyDescent="0.25">
      <c r="A19" s="2" t="s">
        <v>214</v>
      </c>
      <c r="B19" s="2">
        <v>18</v>
      </c>
      <c r="C19" s="2" t="s">
        <v>74</v>
      </c>
      <c r="D19" s="2" t="s">
        <v>92</v>
      </c>
      <c r="E19" s="2" t="s">
        <v>93</v>
      </c>
      <c r="F19" s="3" t="s">
        <v>94</v>
      </c>
      <c r="G19" s="2" t="s">
        <v>31</v>
      </c>
      <c r="H19" s="2">
        <v>4</v>
      </c>
      <c r="I19" s="2">
        <v>6</v>
      </c>
      <c r="J19" s="2">
        <v>0</v>
      </c>
      <c r="K19" s="2">
        <v>0</v>
      </c>
      <c r="L19" s="2">
        <v>0</v>
      </c>
      <c r="M19" s="2">
        <v>8</v>
      </c>
      <c r="N19" s="2">
        <v>0</v>
      </c>
      <c r="O19" s="2">
        <v>0</v>
      </c>
      <c r="P19" s="2">
        <v>0</v>
      </c>
      <c r="Q19" s="2" t="str">
        <f>IF(Tabelle134[[#This Row],[Branch-Coverage nach Reparatur]]&gt;Tabelle134[[#This Row],[Branch-Coverage]],"ja","nein")</f>
        <v>nein</v>
      </c>
      <c r="R19" s="2" t="s">
        <v>32</v>
      </c>
      <c r="S19" s="2" t="s">
        <v>32</v>
      </c>
      <c r="T19" s="2" t="s">
        <v>32</v>
      </c>
      <c r="U19" s="2" t="s">
        <v>31</v>
      </c>
      <c r="V19" s="2" t="s">
        <v>215</v>
      </c>
      <c r="W19" s="2"/>
      <c r="X19" s="2"/>
    </row>
    <row r="20" spans="1:24" ht="14.25" customHeight="1" x14ac:dyDescent="0.25">
      <c r="A20" s="2"/>
      <c r="B20" s="2">
        <v>19</v>
      </c>
      <c r="C20" s="2" t="s">
        <v>74</v>
      </c>
      <c r="D20" s="2" t="s">
        <v>96</v>
      </c>
      <c r="E20" s="2" t="s">
        <v>97</v>
      </c>
      <c r="F20" s="3" t="s">
        <v>98</v>
      </c>
      <c r="G20" s="2" t="s">
        <v>29</v>
      </c>
      <c r="H20" s="2">
        <v>2</v>
      </c>
      <c r="I20" s="2">
        <v>5</v>
      </c>
      <c r="J20" s="2">
        <v>0</v>
      </c>
      <c r="K20" s="2">
        <v>0</v>
      </c>
      <c r="L20" s="2">
        <v>0</v>
      </c>
      <c r="M20" s="2">
        <v>7</v>
      </c>
      <c r="N20" s="2">
        <v>0</v>
      </c>
      <c r="O20" s="2">
        <v>0</v>
      </c>
      <c r="P20" s="2">
        <v>0</v>
      </c>
      <c r="Q20" s="2" t="str">
        <f>IF(Tabelle134[[#This Row],[Branch-Coverage nach Reparatur]]&gt;Tabelle134[[#This Row],[Branch-Coverage]],"ja","nein")</f>
        <v>nein</v>
      </c>
      <c r="R20" s="2" t="s">
        <v>32</v>
      </c>
      <c r="S20" s="2" t="s">
        <v>32</v>
      </c>
      <c r="T20" s="2" t="s">
        <v>32</v>
      </c>
      <c r="U20" s="2" t="s">
        <v>31</v>
      </c>
      <c r="V20" s="2" t="s">
        <v>216</v>
      </c>
      <c r="W20" s="2"/>
      <c r="X20" s="2"/>
    </row>
    <row r="21" spans="1:24" ht="27.75" customHeight="1" x14ac:dyDescent="0.25">
      <c r="A21" s="3"/>
      <c r="B21" s="2">
        <v>20</v>
      </c>
      <c r="C21" s="2" t="s">
        <v>74</v>
      </c>
      <c r="D21" s="4" t="s">
        <v>100</v>
      </c>
      <c r="E21" s="2" t="s">
        <v>101</v>
      </c>
      <c r="F21" s="2" t="s">
        <v>102</v>
      </c>
      <c r="G21" s="2" t="s">
        <v>29</v>
      </c>
      <c r="H21" s="2">
        <v>3</v>
      </c>
      <c r="I21" s="2">
        <v>6</v>
      </c>
      <c r="J21" s="2">
        <v>6</v>
      </c>
      <c r="K21" s="2">
        <v>100</v>
      </c>
      <c r="L21" s="2">
        <v>94.44</v>
      </c>
      <c r="M21" s="2"/>
      <c r="N21" s="2"/>
      <c r="O21" s="2"/>
      <c r="P21" s="2"/>
      <c r="Q21" s="2" t="str">
        <f>IF(Tabelle134[[#This Row],[Branch-Coverage nach Reparatur]]&gt;Tabelle134[[#This Row],[Branch-Coverage]],"ja","nein")</f>
        <v>nein</v>
      </c>
      <c r="R21" s="2" t="s">
        <v>32</v>
      </c>
      <c r="S21" s="2" t="s">
        <v>32</v>
      </c>
      <c r="T21" s="2"/>
      <c r="U21" s="2" t="s">
        <v>29</v>
      </c>
      <c r="V21" s="2"/>
      <c r="W21" s="2"/>
      <c r="X21" s="2"/>
    </row>
    <row r="22" spans="1:24" ht="23.25" customHeight="1" x14ac:dyDescent="0.25">
      <c r="A22" s="3"/>
      <c r="B22" s="2">
        <v>21</v>
      </c>
      <c r="C22" s="2" t="s">
        <v>74</v>
      </c>
      <c r="D22" s="2" t="s">
        <v>104</v>
      </c>
      <c r="E22" s="2" t="s">
        <v>105</v>
      </c>
      <c r="F22" s="2" t="s">
        <v>106</v>
      </c>
      <c r="G22" s="2" t="s">
        <v>29</v>
      </c>
      <c r="H22" s="2">
        <v>1</v>
      </c>
      <c r="I22" s="2">
        <v>8</v>
      </c>
      <c r="J22" s="2">
        <v>8</v>
      </c>
      <c r="K22" s="2">
        <v>100</v>
      </c>
      <c r="L22" s="2">
        <v>95.45</v>
      </c>
      <c r="M22" s="2"/>
      <c r="N22" s="2"/>
      <c r="O22" s="2"/>
      <c r="P22" s="2"/>
      <c r="Q22" s="2" t="str">
        <f>IF(Tabelle134[[#This Row],[Branch-Coverage nach Reparatur]]&gt;Tabelle134[[#This Row],[Branch-Coverage]],"ja","nein")</f>
        <v>nein</v>
      </c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>
        <v>22</v>
      </c>
      <c r="C23" s="2" t="s">
        <v>74</v>
      </c>
      <c r="D23" s="2" t="s">
        <v>108</v>
      </c>
      <c r="E23" s="2" t="s">
        <v>109</v>
      </c>
      <c r="F23" s="2" t="s">
        <v>110</v>
      </c>
      <c r="G23" s="2" t="s">
        <v>29</v>
      </c>
      <c r="H23" s="2">
        <v>1</v>
      </c>
      <c r="I23" s="2">
        <v>7</v>
      </c>
      <c r="J23" s="2">
        <v>7</v>
      </c>
      <c r="K23" s="2">
        <v>100</v>
      </c>
      <c r="L23" s="2">
        <v>100</v>
      </c>
      <c r="M23" s="2"/>
      <c r="N23" s="2"/>
      <c r="O23" s="2"/>
      <c r="P23" s="2"/>
      <c r="Q23" s="2" t="str">
        <f>IF(Tabelle134[[#This Row],[Branch-Coverage nach Reparatur]]&gt;Tabelle134[[#This Row],[Branch-Coverage]],"ja","nein")</f>
        <v>nein</v>
      </c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>
        <v>23</v>
      </c>
      <c r="C24" s="2" t="s">
        <v>74</v>
      </c>
      <c r="D24" s="1" t="s">
        <v>217</v>
      </c>
      <c r="E24" s="2" t="s">
        <v>125</v>
      </c>
      <c r="F24" s="2" t="s">
        <v>114</v>
      </c>
      <c r="G24" s="2" t="s">
        <v>29</v>
      </c>
      <c r="H24" s="2">
        <v>2</v>
      </c>
      <c r="I24" s="2">
        <v>13</v>
      </c>
      <c r="J24" s="2">
        <v>13</v>
      </c>
      <c r="K24" s="2">
        <v>83.87</v>
      </c>
      <c r="L24" s="2">
        <v>80.760000000000005</v>
      </c>
      <c r="M24" s="2"/>
      <c r="N24" s="2"/>
      <c r="O24" s="2"/>
      <c r="P24" s="2"/>
      <c r="Q24" s="2" t="str">
        <f>IF(Tabelle134[[#This Row],[Branch-Coverage nach Reparatur]]&gt;Tabelle134[[#This Row],[Branch-Coverage]],"ja","nein")</f>
        <v>nein</v>
      </c>
      <c r="R24" s="2" t="s">
        <v>32</v>
      </c>
      <c r="S24" s="2"/>
      <c r="T24" s="2"/>
      <c r="U24" s="2" t="s">
        <v>29</v>
      </c>
      <c r="V24" s="2" t="s">
        <v>218</v>
      </c>
      <c r="W24" s="2"/>
      <c r="X24" s="2"/>
    </row>
    <row r="25" spans="1:24" x14ac:dyDescent="0.25">
      <c r="A25" s="2"/>
      <c r="B25" s="2">
        <v>24</v>
      </c>
      <c r="C25" s="2" t="s">
        <v>74</v>
      </c>
      <c r="D25" s="2" t="s">
        <v>116</v>
      </c>
      <c r="E25" s="2" t="s">
        <v>117</v>
      </c>
      <c r="F25" s="2" t="s">
        <v>118</v>
      </c>
      <c r="G25" s="2" t="s">
        <v>29</v>
      </c>
      <c r="H25" s="2">
        <v>1</v>
      </c>
      <c r="I25" s="2">
        <v>8</v>
      </c>
      <c r="J25" s="2">
        <v>6</v>
      </c>
      <c r="K25" s="2">
        <v>100</v>
      </c>
      <c r="L25" s="2">
        <v>100</v>
      </c>
      <c r="M25" s="2">
        <v>8</v>
      </c>
      <c r="N25" s="2">
        <v>8</v>
      </c>
      <c r="O25" s="2">
        <v>100</v>
      </c>
      <c r="P25" s="2">
        <v>100</v>
      </c>
      <c r="Q25" s="2" t="str">
        <f>IF(Tabelle134[[#This Row],[Branch-Coverage nach Reparatur]]&gt;Tabelle134[[#This Row],[Branch-Coverage]],"ja","nein")</f>
        <v>nein</v>
      </c>
      <c r="R25" s="2" t="s">
        <v>32</v>
      </c>
      <c r="S25" s="2"/>
      <c r="T25" s="2"/>
      <c r="U25" s="2" t="s">
        <v>29</v>
      </c>
      <c r="V25" s="2"/>
      <c r="W25" s="2"/>
      <c r="X25" s="2"/>
    </row>
    <row r="26" spans="1:24" x14ac:dyDescent="0.25">
      <c r="A26" s="2"/>
      <c r="B26" s="2">
        <v>25</v>
      </c>
      <c r="C26" s="2" t="s">
        <v>74</v>
      </c>
      <c r="D26" s="2" t="s">
        <v>120</v>
      </c>
      <c r="E26" s="2" t="s">
        <v>121</v>
      </c>
      <c r="F26" s="2" t="s">
        <v>122</v>
      </c>
      <c r="G26" s="2" t="s">
        <v>29</v>
      </c>
      <c r="H26" s="2">
        <v>1</v>
      </c>
      <c r="I26" s="2">
        <v>8</v>
      </c>
      <c r="J26" s="2">
        <v>7</v>
      </c>
      <c r="K26" s="2">
        <v>93.75</v>
      </c>
      <c r="L26" s="2">
        <v>75</v>
      </c>
      <c r="M26" s="2">
        <v>6</v>
      </c>
      <c r="N26" s="2">
        <v>6</v>
      </c>
      <c r="O26" s="2">
        <v>93.75</v>
      </c>
      <c r="P26" s="2">
        <v>75</v>
      </c>
      <c r="Q26" s="2" t="str">
        <f>IF(Tabelle134[[#This Row],[Branch-Coverage nach Reparatur]]&gt;Tabelle134[[#This Row],[Branch-Coverage]],"ja","nein")</f>
        <v>nein</v>
      </c>
      <c r="R26" s="2" t="s">
        <v>32</v>
      </c>
      <c r="S26" s="2" t="s">
        <v>32</v>
      </c>
      <c r="T26" s="2"/>
      <c r="U26" s="2" t="s">
        <v>29</v>
      </c>
      <c r="V26" s="2"/>
      <c r="W26" s="2"/>
      <c r="X26" s="2"/>
    </row>
    <row r="27" spans="1:24" x14ac:dyDescent="0.25">
      <c r="A27" s="2"/>
      <c r="B27" s="2">
        <v>26</v>
      </c>
      <c r="C27" s="2" t="s">
        <v>74</v>
      </c>
      <c r="D27" s="2" t="s">
        <v>124</v>
      </c>
      <c r="E27" s="2" t="s">
        <v>125</v>
      </c>
      <c r="F27" s="2" t="s">
        <v>126</v>
      </c>
      <c r="G27" s="2" t="s">
        <v>29</v>
      </c>
      <c r="H27" s="2">
        <v>1</v>
      </c>
      <c r="I27" s="2">
        <v>9</v>
      </c>
      <c r="J27" s="2">
        <v>8</v>
      </c>
      <c r="K27" s="2">
        <v>93.75</v>
      </c>
      <c r="L27" s="2">
        <v>86.84</v>
      </c>
      <c r="M27" s="2">
        <v>7</v>
      </c>
      <c r="N27" s="2">
        <v>7</v>
      </c>
      <c r="O27" s="2">
        <v>87.5</v>
      </c>
      <c r="P27" s="2">
        <v>84.21</v>
      </c>
      <c r="Q27" s="2" t="str">
        <f>IF(Tabelle134[[#This Row],[Branch-Coverage nach Reparatur]]&gt;Tabelle134[[#This Row],[Branch-Coverage]],"ja","nein")</f>
        <v>nein</v>
      </c>
      <c r="R27" s="2" t="s">
        <v>32</v>
      </c>
      <c r="S27" s="2" t="s">
        <v>32</v>
      </c>
      <c r="T27" s="2" t="s">
        <v>32</v>
      </c>
      <c r="U27" s="2" t="s">
        <v>29</v>
      </c>
      <c r="V27" s="2"/>
      <c r="W27" s="2"/>
      <c r="X27" s="2"/>
    </row>
    <row r="28" spans="1:24" x14ac:dyDescent="0.25">
      <c r="A28" s="2"/>
      <c r="B28" s="2">
        <v>27</v>
      </c>
      <c r="C28" s="2" t="s">
        <v>128</v>
      </c>
      <c r="D28" s="1" t="s">
        <v>129</v>
      </c>
      <c r="E28" s="2" t="s">
        <v>130</v>
      </c>
      <c r="F28" s="2" t="s">
        <v>131</v>
      </c>
      <c r="G28" s="2" t="s">
        <v>29</v>
      </c>
      <c r="H28" s="2">
        <v>1</v>
      </c>
      <c r="I28" s="2">
        <v>10</v>
      </c>
      <c r="J28" s="2">
        <v>8</v>
      </c>
      <c r="K28" s="2">
        <v>94.11</v>
      </c>
      <c r="L28" s="2">
        <v>80</v>
      </c>
      <c r="M28" s="2">
        <v>6</v>
      </c>
      <c r="N28" s="2">
        <v>6</v>
      </c>
      <c r="O28" s="2">
        <v>91.17</v>
      </c>
      <c r="P28" s="2">
        <v>70</v>
      </c>
      <c r="Q28" s="2" t="str">
        <f>IF(Tabelle134[[#This Row],[Branch-Coverage nach Reparatur]]&gt;Tabelle134[[#This Row],[Branch-Coverage]],"ja","nein")</f>
        <v>nein</v>
      </c>
      <c r="R28" s="2" t="s">
        <v>32</v>
      </c>
      <c r="S28" s="2" t="s">
        <v>32</v>
      </c>
      <c r="T28" s="2" t="s">
        <v>32</v>
      </c>
      <c r="U28" s="2" t="s">
        <v>29</v>
      </c>
      <c r="V28" s="2"/>
      <c r="W28" s="2"/>
      <c r="X28" s="2"/>
    </row>
    <row r="29" spans="1:24" x14ac:dyDescent="0.25">
      <c r="A29" s="2"/>
      <c r="B29" s="2">
        <v>28</v>
      </c>
      <c r="C29" s="2" t="s">
        <v>128</v>
      </c>
      <c r="D29" s="4" t="s">
        <v>132</v>
      </c>
      <c r="E29" s="2" t="s">
        <v>133</v>
      </c>
      <c r="F29" s="2" t="s">
        <v>134</v>
      </c>
      <c r="G29" s="2" t="s">
        <v>29</v>
      </c>
      <c r="H29" s="2">
        <v>1</v>
      </c>
      <c r="I29" s="2">
        <v>11</v>
      </c>
      <c r="J29" s="2">
        <v>10</v>
      </c>
      <c r="K29" s="2">
        <v>100</v>
      </c>
      <c r="L29" s="2">
        <v>100</v>
      </c>
      <c r="M29" s="2">
        <v>8</v>
      </c>
      <c r="N29" s="2">
        <v>8</v>
      </c>
      <c r="O29" s="2">
        <v>94.44</v>
      </c>
      <c r="P29" s="2">
        <v>87.5</v>
      </c>
      <c r="Q29" s="2" t="str">
        <f>IF(Tabelle134[[#This Row],[Branch-Coverage nach Reparatur]]&gt;Tabelle134[[#This Row],[Branch-Coverage]],"ja","nein")</f>
        <v>nein</v>
      </c>
      <c r="R29" s="2" t="s">
        <v>32</v>
      </c>
      <c r="S29" s="2"/>
      <c r="T29" s="2"/>
      <c r="U29" s="2" t="s">
        <v>29</v>
      </c>
      <c r="V29" s="2"/>
      <c r="W29" s="2"/>
      <c r="X29" s="2"/>
    </row>
    <row r="30" spans="1:24" x14ac:dyDescent="0.25">
      <c r="A30" s="2"/>
      <c r="B30" s="2">
        <v>29</v>
      </c>
      <c r="C30" s="2" t="s">
        <v>128</v>
      </c>
      <c r="D30" s="2" t="s">
        <v>136</v>
      </c>
      <c r="E30" s="2" t="s">
        <v>137</v>
      </c>
      <c r="F30" s="2" t="s">
        <v>138</v>
      </c>
      <c r="G30" s="2" t="s">
        <v>29</v>
      </c>
      <c r="H30" s="2">
        <v>1</v>
      </c>
      <c r="I30" s="2">
        <v>8</v>
      </c>
      <c r="J30" s="2">
        <v>8</v>
      </c>
      <c r="K30" s="2">
        <v>100</v>
      </c>
      <c r="L30" s="2">
        <v>100</v>
      </c>
      <c r="M30" s="2"/>
      <c r="N30" s="2"/>
      <c r="O30" s="2"/>
      <c r="P30" s="2"/>
      <c r="Q30" s="2" t="str">
        <f>IF(Tabelle134[[#This Row],[Branch-Coverage nach Reparatur]]&gt;Tabelle134[[#This Row],[Branch-Coverage]],"ja","nein")</f>
        <v>nein</v>
      </c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>
        <v>30</v>
      </c>
      <c r="C31" s="2" t="s">
        <v>128</v>
      </c>
      <c r="D31" s="2" t="s">
        <v>139</v>
      </c>
      <c r="E31" s="2" t="s">
        <v>140</v>
      </c>
      <c r="F31" s="2" t="s">
        <v>141</v>
      </c>
      <c r="G31" s="2" t="s">
        <v>29</v>
      </c>
      <c r="H31" s="2">
        <v>2</v>
      </c>
      <c r="I31" s="2">
        <v>15</v>
      </c>
      <c r="J31" s="2">
        <v>14</v>
      </c>
      <c r="K31" s="2">
        <v>94.73</v>
      </c>
      <c r="L31" s="2">
        <v>91.66</v>
      </c>
      <c r="M31" s="2">
        <v>11</v>
      </c>
      <c r="N31" s="2">
        <v>11</v>
      </c>
      <c r="O31" s="2">
        <v>94.73</v>
      </c>
      <c r="P31" s="2">
        <v>91.66</v>
      </c>
      <c r="Q31" s="2" t="str">
        <f>IF(Tabelle134[[#This Row],[Branch-Coverage nach Reparatur]]&gt;Tabelle134[[#This Row],[Branch-Coverage]],"ja","nein")</f>
        <v>nein</v>
      </c>
      <c r="R31" s="2" t="s">
        <v>32</v>
      </c>
      <c r="S31" s="2" t="s">
        <v>32</v>
      </c>
      <c r="T31" s="2" t="s">
        <v>32</v>
      </c>
      <c r="U31" s="2" t="s">
        <v>29</v>
      </c>
      <c r="V31" s="2"/>
      <c r="W31" s="2"/>
      <c r="X31" s="2"/>
    </row>
    <row r="32" spans="1:24" x14ac:dyDescent="0.25">
      <c r="A32" s="2"/>
      <c r="B32" s="2">
        <v>31</v>
      </c>
      <c r="C32" s="2" t="s">
        <v>128</v>
      </c>
      <c r="D32" s="2" t="s">
        <v>142</v>
      </c>
      <c r="E32" s="2" t="s">
        <v>143</v>
      </c>
      <c r="F32" s="2" t="s">
        <v>144</v>
      </c>
      <c r="G32" s="2" t="s">
        <v>29</v>
      </c>
      <c r="H32" s="2">
        <v>1</v>
      </c>
      <c r="I32" s="2">
        <v>13</v>
      </c>
      <c r="J32" s="2">
        <v>11</v>
      </c>
      <c r="K32" s="2">
        <v>89.65</v>
      </c>
      <c r="L32" s="2">
        <v>85.48</v>
      </c>
      <c r="M32" s="2">
        <v>9</v>
      </c>
      <c r="N32" s="2">
        <v>9</v>
      </c>
      <c r="O32" s="2">
        <v>89.65</v>
      </c>
      <c r="P32" s="2">
        <v>85.48</v>
      </c>
      <c r="Q32" s="2" t="str">
        <f>IF(Tabelle134[[#This Row],[Branch-Coverage nach Reparatur]]&gt;Tabelle134[[#This Row],[Branch-Coverage]],"ja","nein")</f>
        <v>nein</v>
      </c>
      <c r="R32" s="2" t="s">
        <v>32</v>
      </c>
      <c r="S32" s="2" t="s">
        <v>32</v>
      </c>
      <c r="T32" s="2"/>
      <c r="U32" s="2" t="s">
        <v>29</v>
      </c>
      <c r="V32" s="2"/>
      <c r="W32" s="2"/>
      <c r="X32" s="2"/>
    </row>
    <row r="33" spans="1:24" x14ac:dyDescent="0.25">
      <c r="A33" s="2"/>
      <c r="B33" s="2">
        <v>32</v>
      </c>
      <c r="C33" s="2" t="s">
        <v>128</v>
      </c>
      <c r="D33" s="2" t="s">
        <v>146</v>
      </c>
      <c r="E33" s="2" t="s">
        <v>147</v>
      </c>
      <c r="F33" s="2" t="s">
        <v>148</v>
      </c>
      <c r="G33" s="2" t="s">
        <v>29</v>
      </c>
      <c r="H33" s="2">
        <v>1</v>
      </c>
      <c r="I33" s="2">
        <v>8</v>
      </c>
      <c r="J33" s="2">
        <v>7</v>
      </c>
      <c r="K33" s="2">
        <v>96.07</v>
      </c>
      <c r="L33" s="2">
        <v>83.33</v>
      </c>
      <c r="M33" s="2">
        <v>8</v>
      </c>
      <c r="N33" s="2">
        <v>8</v>
      </c>
      <c r="O33" s="2">
        <v>96.07</v>
      </c>
      <c r="P33" s="2">
        <v>83.33</v>
      </c>
      <c r="Q33" s="2" t="str">
        <f>IF(Tabelle134[[#This Row],[Branch-Coverage nach Reparatur]]&gt;Tabelle134[[#This Row],[Branch-Coverage]],"ja","nein")</f>
        <v>nein</v>
      </c>
      <c r="R33" s="2" t="s">
        <v>32</v>
      </c>
      <c r="S33" s="2" t="s">
        <v>32</v>
      </c>
      <c r="T33" s="2"/>
      <c r="U33" s="2" t="s">
        <v>29</v>
      </c>
      <c r="V33" s="2"/>
      <c r="W33" s="2"/>
      <c r="X33" s="2"/>
    </row>
    <row r="34" spans="1:24" x14ac:dyDescent="0.25">
      <c r="A34" s="2"/>
      <c r="B34" s="2">
        <v>33</v>
      </c>
      <c r="C34" s="2" t="s">
        <v>128</v>
      </c>
      <c r="D34" s="2" t="s">
        <v>150</v>
      </c>
      <c r="E34" s="2" t="s">
        <v>151</v>
      </c>
      <c r="F34" s="2" t="s">
        <v>152</v>
      </c>
      <c r="G34" s="2" t="s">
        <v>29</v>
      </c>
      <c r="H34" s="2">
        <v>1</v>
      </c>
      <c r="I34" s="2">
        <v>14</v>
      </c>
      <c r="J34" s="2">
        <v>14</v>
      </c>
      <c r="K34" s="2">
        <v>100</v>
      </c>
      <c r="L34" s="2">
        <v>100</v>
      </c>
      <c r="M34" s="2"/>
      <c r="N34" s="2"/>
      <c r="O34" s="2"/>
      <c r="P34" s="2"/>
      <c r="Q34" s="2" t="str">
        <f>IF(Tabelle134[[#This Row],[Branch-Coverage nach Reparatur]]&gt;Tabelle134[[#This Row],[Branch-Coverage]],"ja","nein")</f>
        <v>nein</v>
      </c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>
        <v>34</v>
      </c>
      <c r="C35" s="2" t="s">
        <v>128</v>
      </c>
      <c r="D35" s="2" t="s">
        <v>154</v>
      </c>
      <c r="E35" s="2" t="s">
        <v>155</v>
      </c>
      <c r="F35" s="2" t="s">
        <v>156</v>
      </c>
      <c r="G35" s="2" t="s">
        <v>29</v>
      </c>
      <c r="H35" s="2">
        <v>1</v>
      </c>
      <c r="I35" s="2">
        <v>8</v>
      </c>
      <c r="J35" s="2">
        <v>5</v>
      </c>
      <c r="K35" s="2">
        <v>93.33</v>
      </c>
      <c r="L35" s="2">
        <v>87.5</v>
      </c>
      <c r="M35" s="2">
        <v>8</v>
      </c>
      <c r="N35" s="2">
        <v>8</v>
      </c>
      <c r="O35" s="2">
        <v>93.33</v>
      </c>
      <c r="P35" s="2">
        <v>87.5</v>
      </c>
      <c r="Q35" s="2" t="str">
        <f>IF(Tabelle134[[#This Row],[Branch-Coverage nach Reparatur]]&gt;Tabelle134[[#This Row],[Branch-Coverage]],"ja","nein")</f>
        <v>nein</v>
      </c>
      <c r="R35" s="2" t="s">
        <v>32</v>
      </c>
      <c r="S35" s="2"/>
      <c r="T35" s="2"/>
      <c r="U35" s="2" t="s">
        <v>29</v>
      </c>
      <c r="V35" s="2"/>
      <c r="W35" s="2"/>
      <c r="X35" s="2"/>
    </row>
    <row r="36" spans="1:24" x14ac:dyDescent="0.25">
      <c r="A36" s="2"/>
      <c r="B36" s="2">
        <v>35</v>
      </c>
      <c r="C36" s="2" t="s">
        <v>128</v>
      </c>
      <c r="D36" s="2" t="s">
        <v>158</v>
      </c>
      <c r="E36" s="2" t="s">
        <v>159</v>
      </c>
      <c r="F36" s="2" t="s">
        <v>160</v>
      </c>
      <c r="G36" s="2" t="s">
        <v>29</v>
      </c>
      <c r="H36" s="2">
        <v>1</v>
      </c>
      <c r="I36" s="2">
        <v>9</v>
      </c>
      <c r="J36" s="2">
        <v>7</v>
      </c>
      <c r="K36" s="2">
        <v>100</v>
      </c>
      <c r="L36" s="2">
        <v>100</v>
      </c>
      <c r="M36" s="2">
        <v>9</v>
      </c>
      <c r="N36" s="2">
        <v>9</v>
      </c>
      <c r="O36" s="2">
        <v>100</v>
      </c>
      <c r="P36" s="2">
        <v>100</v>
      </c>
      <c r="Q36" s="2" t="str">
        <f>IF(Tabelle134[[#This Row],[Branch-Coverage nach Reparatur]]&gt;Tabelle134[[#This Row],[Branch-Coverage]],"ja","nein")</f>
        <v>nein</v>
      </c>
      <c r="R36" s="2" t="s">
        <v>32</v>
      </c>
      <c r="S36" s="2" t="s">
        <v>32</v>
      </c>
      <c r="T36" s="2"/>
      <c r="U36" s="2" t="s">
        <v>29</v>
      </c>
      <c r="V36" s="2"/>
      <c r="W36" s="2"/>
      <c r="X36" s="2"/>
    </row>
    <row r="37" spans="1:24" x14ac:dyDescent="0.25">
      <c r="A37" s="2"/>
      <c r="B37" s="2">
        <v>36</v>
      </c>
      <c r="C37" s="2" t="s">
        <v>128</v>
      </c>
      <c r="D37" s="2" t="s">
        <v>161</v>
      </c>
      <c r="E37" s="2" t="s">
        <v>162</v>
      </c>
      <c r="F37" s="2" t="s">
        <v>163</v>
      </c>
      <c r="G37" s="2" t="s">
        <v>29</v>
      </c>
      <c r="H37" s="2">
        <v>2</v>
      </c>
      <c r="I37" s="2">
        <v>11</v>
      </c>
      <c r="J37" s="2">
        <v>9</v>
      </c>
      <c r="K37" s="2">
        <v>100</v>
      </c>
      <c r="L37" s="2">
        <v>100</v>
      </c>
      <c r="M37" s="2">
        <v>10</v>
      </c>
      <c r="N37" s="2">
        <v>10</v>
      </c>
      <c r="O37" s="2">
        <v>100</v>
      </c>
      <c r="P37" s="2">
        <v>100</v>
      </c>
      <c r="Q37" s="2" t="str">
        <f>IF(Tabelle134[[#This Row],[Branch-Coverage nach Reparatur]]&gt;Tabelle134[[#This Row],[Branch-Coverage]],"ja","nein")</f>
        <v>nein</v>
      </c>
      <c r="R37" s="2" t="s">
        <v>32</v>
      </c>
      <c r="S37" s="2" t="s">
        <v>32</v>
      </c>
      <c r="T37" s="2"/>
      <c r="U37" s="2" t="s">
        <v>29</v>
      </c>
      <c r="V37" s="2"/>
      <c r="W37" s="2"/>
      <c r="X37" s="2"/>
    </row>
    <row r="38" spans="1:24" x14ac:dyDescent="0.25">
      <c r="A38" s="2"/>
      <c r="B38" s="2">
        <v>37</v>
      </c>
      <c r="C38" s="2" t="s">
        <v>128</v>
      </c>
      <c r="D38" s="2" t="s">
        <v>164</v>
      </c>
      <c r="E38" s="2" t="s">
        <v>165</v>
      </c>
      <c r="F38" s="2" t="s">
        <v>166</v>
      </c>
      <c r="G38" s="2" t="s">
        <v>29</v>
      </c>
      <c r="H38" s="2">
        <v>3</v>
      </c>
      <c r="I38" s="2">
        <v>10</v>
      </c>
      <c r="J38" s="2">
        <v>9</v>
      </c>
      <c r="K38" s="2">
        <v>100</v>
      </c>
      <c r="L38" s="2">
        <v>100</v>
      </c>
      <c r="M38" s="2">
        <v>7</v>
      </c>
      <c r="N38" s="2">
        <v>7</v>
      </c>
      <c r="O38" s="2">
        <v>100</v>
      </c>
      <c r="P38" s="2">
        <v>100</v>
      </c>
      <c r="Q38" s="2" t="str">
        <f>IF(Tabelle134[[#This Row],[Branch-Coverage nach Reparatur]]&gt;Tabelle134[[#This Row],[Branch-Coverage]],"ja","nein")</f>
        <v>nein</v>
      </c>
      <c r="R38" s="2" t="s">
        <v>32</v>
      </c>
      <c r="S38" s="2" t="s">
        <v>32</v>
      </c>
      <c r="T38" s="2" t="s">
        <v>32</v>
      </c>
      <c r="U38" s="2" t="s">
        <v>29</v>
      </c>
      <c r="V38" s="2"/>
      <c r="W38" s="2"/>
      <c r="X38" s="2"/>
    </row>
    <row r="39" spans="1:24" x14ac:dyDescent="0.25">
      <c r="A39" s="2"/>
      <c r="B39" s="2">
        <v>38</v>
      </c>
      <c r="C39" s="2" t="s">
        <v>128</v>
      </c>
      <c r="D39" s="2" t="s">
        <v>168</v>
      </c>
      <c r="E39" s="2" t="s">
        <v>169</v>
      </c>
      <c r="F39" s="2" t="s">
        <v>170</v>
      </c>
      <c r="G39" s="2" t="s">
        <v>29</v>
      </c>
      <c r="H39" s="2">
        <v>1</v>
      </c>
      <c r="I39" s="2">
        <v>7</v>
      </c>
      <c r="J39" s="2">
        <v>3</v>
      </c>
      <c r="K39" s="2">
        <v>80</v>
      </c>
      <c r="L39" s="2">
        <v>66.66</v>
      </c>
      <c r="M39" s="2">
        <v>7</v>
      </c>
      <c r="N39" s="2">
        <v>5</v>
      </c>
      <c r="O39" s="2">
        <v>100</v>
      </c>
      <c r="P39" s="2">
        <v>83.33</v>
      </c>
      <c r="Q39" s="2" t="str">
        <f>IF(Tabelle134[[#This Row],[Branch-Coverage nach Reparatur]]&gt;Tabelle134[[#This Row],[Branch-Coverage]],"ja","nein")</f>
        <v>ja</v>
      </c>
      <c r="R39" s="2" t="s">
        <v>32</v>
      </c>
      <c r="S39" s="2" t="s">
        <v>32</v>
      </c>
      <c r="T39" s="2" t="s">
        <v>32</v>
      </c>
      <c r="U39" s="2" t="s">
        <v>31</v>
      </c>
      <c r="V39" s="2"/>
      <c r="W39" s="2"/>
      <c r="X39" s="2"/>
    </row>
    <row r="40" spans="1:24" x14ac:dyDescent="0.25">
      <c r="A40" s="2"/>
      <c r="B40" s="2">
        <v>39</v>
      </c>
      <c r="C40" s="2" t="s">
        <v>128</v>
      </c>
      <c r="D40" s="2" t="s">
        <v>171</v>
      </c>
      <c r="E40" s="2" t="s">
        <v>172</v>
      </c>
      <c r="F40" s="2" t="s">
        <v>173</v>
      </c>
      <c r="G40" s="2" t="s">
        <v>29</v>
      </c>
      <c r="H40" s="2">
        <v>2</v>
      </c>
      <c r="I40" s="2">
        <v>9</v>
      </c>
      <c r="J40" s="2">
        <v>7</v>
      </c>
      <c r="K40" s="2">
        <v>100</v>
      </c>
      <c r="L40" s="2">
        <v>100</v>
      </c>
      <c r="M40" s="2">
        <v>9</v>
      </c>
      <c r="N40" s="2">
        <v>9</v>
      </c>
      <c r="O40" s="2">
        <v>100</v>
      </c>
      <c r="P40" s="2">
        <v>100</v>
      </c>
      <c r="Q40" s="2" t="str">
        <f>IF(Tabelle134[[#This Row],[Branch-Coverage nach Reparatur]]&gt;Tabelle134[[#This Row],[Branch-Coverage]],"ja","nein")</f>
        <v>nein</v>
      </c>
      <c r="R40" s="2" t="s">
        <v>32</v>
      </c>
      <c r="S40" s="2" t="s">
        <v>32</v>
      </c>
      <c r="T40" s="2"/>
      <c r="U40" s="2" t="s">
        <v>29</v>
      </c>
      <c r="V40" s="2"/>
      <c r="W40" s="2"/>
      <c r="X40" s="2"/>
    </row>
    <row r="41" spans="1:24" x14ac:dyDescent="0.25">
      <c r="A41" s="2"/>
      <c r="B41" s="2">
        <v>40</v>
      </c>
      <c r="C41" s="2" t="s">
        <v>128</v>
      </c>
      <c r="D41" s="2" t="s">
        <v>175</v>
      </c>
      <c r="E41" s="2" t="s">
        <v>176</v>
      </c>
      <c r="F41" s="2" t="s">
        <v>177</v>
      </c>
      <c r="G41" s="2" t="s">
        <v>29</v>
      </c>
      <c r="H41" s="2">
        <v>2</v>
      </c>
      <c r="I41" s="2">
        <v>9</v>
      </c>
      <c r="J41" s="2">
        <v>7</v>
      </c>
      <c r="K41" s="2">
        <v>100</v>
      </c>
      <c r="L41" s="2">
        <v>100</v>
      </c>
      <c r="M41" s="2">
        <v>7</v>
      </c>
      <c r="N41" s="2">
        <v>7</v>
      </c>
      <c r="O41" s="2">
        <v>100</v>
      </c>
      <c r="P41" s="2">
        <v>100</v>
      </c>
      <c r="Q41" s="2" t="str">
        <f>IF(Tabelle134[[#This Row],[Branch-Coverage nach Reparatur]]&gt;Tabelle134[[#This Row],[Branch-Coverage]],"ja","nein")</f>
        <v>nein</v>
      </c>
      <c r="R41" s="2" t="s">
        <v>32</v>
      </c>
      <c r="S41" s="2" t="s">
        <v>32</v>
      </c>
      <c r="T41" s="2" t="s">
        <v>32</v>
      </c>
      <c r="U41" s="2" t="s">
        <v>29</v>
      </c>
      <c r="V41" s="2" t="s">
        <v>219</v>
      </c>
      <c r="W41" s="2"/>
      <c r="X41" s="2"/>
    </row>
    <row r="45" spans="1:24" x14ac:dyDescent="0.25">
      <c r="E45" s="6"/>
    </row>
    <row r="46" spans="1:24" x14ac:dyDescent="0.25">
      <c r="C46" t="s">
        <v>179</v>
      </c>
    </row>
    <row r="47" spans="1:24" x14ac:dyDescent="0.25">
      <c r="E47" t="s">
        <v>181</v>
      </c>
    </row>
    <row r="48" spans="1:24" x14ac:dyDescent="0.25">
      <c r="C48" t="s">
        <v>182</v>
      </c>
      <c r="D48">
        <v>40</v>
      </c>
      <c r="I48" t="s">
        <v>220</v>
      </c>
    </row>
    <row r="49" spans="3:13" x14ac:dyDescent="0.25">
      <c r="C49" t="s">
        <v>184</v>
      </c>
      <c r="D49">
        <f>COUNTIF(Tabelle134[Anzahl der Kompilierungsversuche],1)</f>
        <v>28</v>
      </c>
      <c r="E49">
        <f>D49/D48*100</f>
        <v>70</v>
      </c>
    </row>
    <row r="50" spans="3:13" x14ac:dyDescent="0.25">
      <c r="C50" t="s">
        <v>186</v>
      </c>
      <c r="D50">
        <f>COUNTIF(Tabelle134[Anzahl der Kompilierungsversuche],2)</f>
        <v>9</v>
      </c>
      <c r="E50">
        <f>D50/D48*100</f>
        <v>22.5</v>
      </c>
      <c r="I50" t="s">
        <v>183</v>
      </c>
      <c r="J50">
        <v>26</v>
      </c>
    </row>
    <row r="51" spans="3:13" x14ac:dyDescent="0.25">
      <c r="C51" t="s">
        <v>188</v>
      </c>
      <c r="D51">
        <f>COUNTIF(Tabelle134[Anzahl der Kompilierungsversuche],3)</f>
        <v>2</v>
      </c>
      <c r="E51">
        <f>D51/D48*100</f>
        <v>5</v>
      </c>
      <c r="I51" t="s">
        <v>185</v>
      </c>
      <c r="J51">
        <v>3</v>
      </c>
    </row>
    <row r="52" spans="3:13" x14ac:dyDescent="0.25">
      <c r="C52" t="s">
        <v>190</v>
      </c>
      <c r="D52">
        <v>0</v>
      </c>
      <c r="E52">
        <f t="shared" ref="E52" si="0">D52/D51*100</f>
        <v>0</v>
      </c>
      <c r="I52" t="s">
        <v>221</v>
      </c>
      <c r="J52">
        <v>8</v>
      </c>
    </row>
    <row r="53" spans="3:13" x14ac:dyDescent="0.25">
      <c r="C53" t="s">
        <v>192</v>
      </c>
      <c r="D53">
        <f>SUM(D49:D52)</f>
        <v>39</v>
      </c>
      <c r="E53">
        <f>SUM(E49:E52)</f>
        <v>97.5</v>
      </c>
      <c r="I53" t="s">
        <v>222</v>
      </c>
      <c r="J53">
        <v>2</v>
      </c>
    </row>
    <row r="54" spans="3:13" x14ac:dyDescent="0.25">
      <c r="I54" t="s">
        <v>191</v>
      </c>
      <c r="J54">
        <f>SUM(J50:J53)</f>
        <v>39</v>
      </c>
    </row>
    <row r="56" spans="3:13" x14ac:dyDescent="0.25">
      <c r="C56" t="s">
        <v>223</v>
      </c>
    </row>
    <row r="57" spans="3:13" x14ac:dyDescent="0.25">
      <c r="D57" t="s">
        <v>224</v>
      </c>
      <c r="I57" t="s">
        <v>195</v>
      </c>
    </row>
    <row r="58" spans="3:13" x14ac:dyDescent="0.25">
      <c r="C58" t="s">
        <v>196</v>
      </c>
      <c r="D58">
        <v>70</v>
      </c>
      <c r="I58" t="s">
        <v>1</v>
      </c>
      <c r="J58" t="s">
        <v>197</v>
      </c>
      <c r="K58" t="s">
        <v>198</v>
      </c>
      <c r="L58" t="s">
        <v>199</v>
      </c>
      <c r="M58" t="s">
        <v>200</v>
      </c>
    </row>
    <row r="59" spans="3:13" x14ac:dyDescent="0.25">
      <c r="C59" t="s">
        <v>201</v>
      </c>
      <c r="D59">
        <v>22.5</v>
      </c>
      <c r="I59">
        <v>10</v>
      </c>
      <c r="J59">
        <v>66.66</v>
      </c>
      <c r="K59">
        <v>62.5</v>
      </c>
      <c r="L59">
        <v>100</v>
      </c>
      <c r="M59">
        <v>100</v>
      </c>
    </row>
    <row r="60" spans="3:13" x14ac:dyDescent="0.25">
      <c r="C60" t="s">
        <v>202</v>
      </c>
      <c r="D60">
        <v>5</v>
      </c>
      <c r="I60">
        <v>38</v>
      </c>
      <c r="J60">
        <v>80</v>
      </c>
      <c r="K60">
        <v>66.66</v>
      </c>
      <c r="L60">
        <v>100</v>
      </c>
      <c r="M60">
        <v>83.33</v>
      </c>
    </row>
    <row r="61" spans="3:13" x14ac:dyDescent="0.25">
      <c r="C61" t="s">
        <v>203</v>
      </c>
      <c r="D61">
        <v>0</v>
      </c>
      <c r="I61">
        <v>12</v>
      </c>
      <c r="J61">
        <v>87.5</v>
      </c>
      <c r="K61">
        <v>80</v>
      </c>
      <c r="L61">
        <v>100</v>
      </c>
      <c r="M61">
        <v>100</v>
      </c>
    </row>
    <row r="63" spans="3:13" x14ac:dyDescent="0.25">
      <c r="C63" t="s">
        <v>225</v>
      </c>
    </row>
    <row r="64" spans="3:13" x14ac:dyDescent="0.25">
      <c r="D64" t="s">
        <v>25</v>
      </c>
      <c r="E64" t="s">
        <v>74</v>
      </c>
      <c r="F64" t="s">
        <v>128</v>
      </c>
    </row>
    <row r="65" spans="3:6" x14ac:dyDescent="0.25">
      <c r="C65" t="s">
        <v>205</v>
      </c>
      <c r="D65">
        <f>COUNTIFS(Tabelle134[Project],"Humanizer",Tabelle134[Compiliert (ja/nein)],"ja")</f>
        <v>12</v>
      </c>
      <c r="E65">
        <f>COUNTIFS(Tabelle134[Project],"FluentValidation")</f>
        <v>14</v>
      </c>
      <c r="F65">
        <f>COUNTIFS(Tabelle134[Project],"MathNet Numerics")</f>
        <v>14</v>
      </c>
    </row>
    <row r="66" spans="3:6" x14ac:dyDescent="0.25">
      <c r="C66" t="s">
        <v>184</v>
      </c>
      <c r="D66">
        <f>COUNTIFS(Tabelle134[Project],"Humanizer",Tabelle134[Compiliert (ja/nein)],"ja",Tabelle134[Anzahl der Kompilierungsversuche],1)</f>
        <v>10</v>
      </c>
      <c r="E66">
        <f>COUNTIFS(Tabelle134[Project],"FluentValidation",Tabelle134[Compiliert (ja/nein)],"ja",Tabelle134[Anzahl der Kompilierungsversuche],1)</f>
        <v>9</v>
      </c>
      <c r="F66">
        <f>COUNTIFS(Tabelle134[Project],"MathNet Numerics",Tabelle134[Compiliert (ja/nein)],"ja",Tabelle134[Anzahl der Kompilierungsversuche],1)</f>
        <v>9</v>
      </c>
    </row>
    <row r="67" spans="3:6" x14ac:dyDescent="0.25">
      <c r="C67" t="s">
        <v>186</v>
      </c>
      <c r="D67">
        <f>COUNTIFS(Tabelle134[Project],"Humanizer",Tabelle134[Compiliert (ja/nein)],"ja",Tabelle134[Anzahl der Kompilierungsversuche],2)</f>
        <v>2</v>
      </c>
      <c r="E67">
        <f>COUNTIFS(Tabelle134[Project],"FluentValidation",Tabelle134[Compiliert (ja/nein)],"ja",Tabelle134[Anzahl der Kompilierungsversuche],2)</f>
        <v>3</v>
      </c>
      <c r="F67">
        <f>COUNTIFS(Tabelle134[Project],"MathNet Numerics",Tabelle134[Compiliert (ja/nein)],"ja",Tabelle134[Anzahl der Kompilierungsversuche],2)</f>
        <v>4</v>
      </c>
    </row>
    <row r="68" spans="3:6" x14ac:dyDescent="0.25">
      <c r="C68" t="s">
        <v>188</v>
      </c>
      <c r="D68">
        <f>COUNTIFS(Tabelle134[Project],"Humanizer",Tabelle134[Compiliert (ja/nein)],"ja",Tabelle134[Anzahl der Kompilierungsversuche],3)</f>
        <v>0</v>
      </c>
      <c r="E68">
        <f>COUNTIFS(Tabelle134[Project],"FluentValidation",Tabelle134[Compiliert (ja/nein)],"ja",Tabelle134[Anzahl der Kompilierungsversuche],3)</f>
        <v>1</v>
      </c>
      <c r="F68">
        <f>COUNTIFS(Tabelle134[Project],"MathNet Numerics",Tabelle134[Compiliert (ja/nein)],"ja",Tabelle134[Anzahl der Kompilierungsversuche],3)</f>
        <v>1</v>
      </c>
    </row>
    <row r="69" spans="3:6" x14ac:dyDescent="0.25">
      <c r="C69" t="s">
        <v>190</v>
      </c>
      <c r="D69">
        <f>COUNTIFS(Tabelle134[Project],"Humanizer",Tabelle134[Compiliert (ja/nein)],"ja",Tabelle134[Anzahl der Kompilierungsversuche],4)</f>
        <v>0</v>
      </c>
      <c r="E69">
        <f>COUNTIFS(Tabelle134[Project],"FluentValidation",Tabelle134[Compiliert (ja/nein)],"ja",Tabelle134[Anzahl der Kompilierungsversuche],4)</f>
        <v>0</v>
      </c>
      <c r="F69">
        <f>COUNTIFS(Tabelle134[Project],"MathNet Numerics",Tabelle134[Compiliert (ja/nein)],"ja",Tabelle134[Anzahl der Kompilierungsversuche],4)</f>
        <v>0</v>
      </c>
    </row>
    <row r="71" spans="3:6" x14ac:dyDescent="0.25">
      <c r="C71" t="s">
        <v>226</v>
      </c>
    </row>
    <row r="72" spans="3:6" x14ac:dyDescent="0.25">
      <c r="D72" t="s">
        <v>25</v>
      </c>
      <c r="E72" t="s">
        <v>74</v>
      </c>
      <c r="F72" t="s">
        <v>128</v>
      </c>
    </row>
    <row r="73" spans="3:6" x14ac:dyDescent="0.25">
      <c r="C73" t="s">
        <v>207</v>
      </c>
      <c r="D73">
        <f>D66/D65*100</f>
        <v>83.333333333333343</v>
      </c>
      <c r="E73">
        <f t="shared" ref="E73:F73" si="1">E66/E65*100</f>
        <v>64.285714285714292</v>
      </c>
      <c r="F73">
        <f t="shared" si="1"/>
        <v>64.285714285714292</v>
      </c>
    </row>
    <row r="74" spans="3:6" x14ac:dyDescent="0.25">
      <c r="C74" t="s">
        <v>208</v>
      </c>
      <c r="D74">
        <f>D67/D65*100</f>
        <v>16.666666666666664</v>
      </c>
      <c r="E74">
        <f t="shared" ref="E74:F74" si="2">E67/E65*100</f>
        <v>21.428571428571427</v>
      </c>
      <c r="F74">
        <f t="shared" si="2"/>
        <v>28.571428571428569</v>
      </c>
    </row>
    <row r="75" spans="3:6" x14ac:dyDescent="0.25">
      <c r="C75" t="s">
        <v>209</v>
      </c>
      <c r="D75">
        <f>D68/D65*100</f>
        <v>0</v>
      </c>
      <c r="E75">
        <f t="shared" ref="E75:F75" si="3">E68/E65*100</f>
        <v>7.1428571428571423</v>
      </c>
      <c r="F75">
        <f t="shared" si="3"/>
        <v>7.1428571428571423</v>
      </c>
    </row>
    <row r="76" spans="3:6" x14ac:dyDescent="0.25">
      <c r="C76" t="s">
        <v>210</v>
      </c>
      <c r="D76">
        <f>D69/D65*100</f>
        <v>0</v>
      </c>
      <c r="E76">
        <f t="shared" ref="E76:F76" si="4">E69/E65*100</f>
        <v>0</v>
      </c>
      <c r="F76">
        <f t="shared" si="4"/>
        <v>0</v>
      </c>
    </row>
    <row r="77" spans="3:6" x14ac:dyDescent="0.25">
      <c r="C77" t="s">
        <v>191</v>
      </c>
      <c r="D77">
        <f>SUM(D73:D76)</f>
        <v>100</v>
      </c>
      <c r="E77">
        <f t="shared" ref="E77:F77" si="5">SUM(E73:E76)</f>
        <v>92.857142857142861</v>
      </c>
      <c r="F77">
        <f t="shared" si="5"/>
        <v>100</v>
      </c>
    </row>
  </sheetData>
  <hyperlinks>
    <hyperlink ref="D21" r:id="rId1" location="L38" display="https://github.com/FluentValidation/FluentValidation/blob/main/src/FluentValidation/TestHelper/ValidatorTestExtensions.cs - L38" xr:uid="{72DF7118-ADC1-4809-A444-151C627E50F4}"/>
    <hyperlink ref="D8" r:id="rId2" location="L108" display="https://github.com/Humanizr/Humanizer/blob/main/src/Humanizer/RomanNumeralExtensions.cs - L108" xr:uid="{3A86626C-285B-4271-947B-6C02A12056B1}"/>
    <hyperlink ref="D29" r:id="rId3" location="L646" display="https://github.com/mathnet/mathnet-numerics/blob/master/src/Numerics/Statistics/StreamingStatistics.cs - L646" xr:uid="{909DD0AD-1C3C-4797-B526-30ACE71EE92F}"/>
    <hyperlink ref="D28" r:id="rId4" location="L221" xr:uid="{086D144A-184E-4C08-A37D-4B3A88511FDE}"/>
    <hyperlink ref="D12" r:id="rId5" location="L52" display="https://github.com/Humanizr/Humanizer/blob/main/src/Humanizer/TruncateExtensions.cs - L52" xr:uid="{CCDA3362-EA27-43EE-8889-BB7AC4105C4B}"/>
    <hyperlink ref="D13" r:id="rId6" location="L11" display="https://github.com/Humanizr/Humanizer/blob/main/src/Humanizer/CasingExtensions.cs - L11" xr:uid="{C09AD818-75DC-433B-978C-D3B72AC50E46}"/>
    <hyperlink ref="D24" r:id="rId7" location="L56" xr:uid="{4D4699D7-C8C2-4EE4-B6E6-CADABA039A3B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AC36-CD59-4A5E-8EF5-A0355F6E51E5}">
  <dimension ref="A1:Z108"/>
  <sheetViews>
    <sheetView topLeftCell="D1" workbookViewId="0">
      <selection activeCell="AB17" sqref="AB17"/>
    </sheetView>
  </sheetViews>
  <sheetFormatPr baseColWidth="10" defaultColWidth="9.140625" defaultRowHeight="15" x14ac:dyDescent="0.25"/>
  <cols>
    <col min="2" max="2" width="9.42578125" customWidth="1"/>
    <col min="3" max="3" width="12.42578125" customWidth="1"/>
    <col min="4" max="4" width="6.7109375" customWidth="1"/>
    <col min="5" max="5" width="27.42578125" bestFit="1" customWidth="1"/>
    <col min="6" max="6" width="156.85546875" hidden="1" customWidth="1"/>
    <col min="7" max="7" width="53.85546875" bestFit="1" customWidth="1"/>
    <col min="8" max="8" width="53.28515625" bestFit="1" customWidth="1"/>
    <col min="9" max="9" width="28.28515625" bestFit="1" customWidth="1"/>
    <col min="10" max="10" width="32.140625" bestFit="1" customWidth="1"/>
    <col min="11" max="11" width="23.7109375" bestFit="1" customWidth="1"/>
    <col min="12" max="12" width="34.5703125" customWidth="1"/>
    <col min="13" max="13" width="46.28515625" bestFit="1" customWidth="1"/>
    <col min="14" max="14" width="30.140625" bestFit="1" customWidth="1"/>
    <col min="15" max="16" width="32.42578125" bestFit="1" customWidth="1"/>
    <col min="17" max="17" width="25.140625" bestFit="1" customWidth="1"/>
    <col min="18" max="18" width="27.42578125" bestFit="1" customWidth="1"/>
    <col min="19" max="19" width="12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211</v>
      </c>
      <c r="N1" t="s">
        <v>13</v>
      </c>
      <c r="O1" t="s">
        <v>14</v>
      </c>
      <c r="P1" t="s">
        <v>15</v>
      </c>
      <c r="Q1" t="s">
        <v>212</v>
      </c>
      <c r="R1" s="10" t="s">
        <v>227</v>
      </c>
      <c r="S1" s="10" t="s">
        <v>228</v>
      </c>
      <c r="T1" t="s">
        <v>17</v>
      </c>
      <c r="U1" t="s">
        <v>19</v>
      </c>
      <c r="V1" t="s">
        <v>21</v>
      </c>
      <c r="W1" t="s">
        <v>213</v>
      </c>
      <c r="X1" t="s">
        <v>229</v>
      </c>
    </row>
    <row r="2" spans="1:26" x14ac:dyDescent="0.25">
      <c r="A2" s="2"/>
      <c r="B2" s="2">
        <v>1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>
        <v>2</v>
      </c>
      <c r="I2" s="2">
        <v>7</v>
      </c>
      <c r="J2" s="2">
        <v>4</v>
      </c>
      <c r="K2" s="2">
        <v>75</v>
      </c>
      <c r="L2" s="2">
        <v>50</v>
      </c>
      <c r="M2" s="2">
        <v>7</v>
      </c>
      <c r="N2" s="2">
        <v>5</v>
      </c>
      <c r="O2" s="2">
        <v>75</v>
      </c>
      <c r="P2" s="2">
        <v>50</v>
      </c>
      <c r="Q2" s="2" t="str">
        <f>IF(Tabelle13[[#This Row],[Branch-Coverage nach Reparatur]]&gt;Tabelle13[[#This Row],[Branch-Coverage]],"ja","nein")</f>
        <v>nein</v>
      </c>
      <c r="R2" s="2">
        <f>Tabelle13[[#This Row],[Line-Coverage nach Reparatur]]-Tabelle13[[#This Row],[Line-Coverage]]</f>
        <v>0</v>
      </c>
      <c r="S2" s="2">
        <f>Tabelle13[[#This Row],[Branch-Coverage nach Reparatur]]-Tabelle13[[#This Row],[Branch-Coverage]]</f>
        <v>0</v>
      </c>
      <c r="T2" s="2" t="s">
        <v>32</v>
      </c>
      <c r="U2" s="2" t="s">
        <v>32</v>
      </c>
      <c r="V2" s="2" t="s">
        <v>32</v>
      </c>
      <c r="W2" s="2" t="s">
        <v>31</v>
      </c>
      <c r="X2" s="2"/>
      <c r="Y2" s="2"/>
      <c r="Z2" s="2"/>
    </row>
    <row r="3" spans="1:26" x14ac:dyDescent="0.25">
      <c r="A3" s="2"/>
      <c r="B3" s="2">
        <v>2</v>
      </c>
      <c r="C3" s="2" t="s">
        <v>25</v>
      </c>
      <c r="D3" s="2" t="s">
        <v>34</v>
      </c>
      <c r="E3" s="2" t="s">
        <v>35</v>
      </c>
      <c r="F3" s="2" t="s">
        <v>36</v>
      </c>
      <c r="G3" s="2" t="s">
        <v>29</v>
      </c>
      <c r="H3" s="2">
        <v>1</v>
      </c>
      <c r="I3" s="2">
        <v>8</v>
      </c>
      <c r="J3" s="2">
        <v>8</v>
      </c>
      <c r="K3" s="2">
        <v>100</v>
      </c>
      <c r="L3" s="2">
        <v>100</v>
      </c>
      <c r="M3" s="2"/>
      <c r="N3" s="2"/>
      <c r="O3" s="2"/>
      <c r="P3" s="2"/>
      <c r="Q3" s="2" t="str">
        <f>IF(Tabelle13[[#This Row],[Branch-Coverage nach Reparatur]]&gt;Tabelle13[[#This Row],[Branch-Coverage]],"ja","nein")</f>
        <v>nein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>
        <v>3</v>
      </c>
      <c r="C4" s="2" t="s">
        <v>25</v>
      </c>
      <c r="D4" s="2" t="s">
        <v>38</v>
      </c>
      <c r="E4" s="2" t="s">
        <v>39</v>
      </c>
      <c r="F4" s="3" t="s">
        <v>40</v>
      </c>
      <c r="G4" s="2" t="s">
        <v>29</v>
      </c>
      <c r="H4" s="2">
        <v>1</v>
      </c>
      <c r="I4" s="2">
        <v>10</v>
      </c>
      <c r="J4" s="2">
        <v>6</v>
      </c>
      <c r="K4" s="2">
        <v>100</v>
      </c>
      <c r="L4" s="2">
        <v>100</v>
      </c>
      <c r="M4" s="2">
        <v>10</v>
      </c>
      <c r="N4" s="2">
        <v>8</v>
      </c>
      <c r="O4" s="2">
        <v>100</v>
      </c>
      <c r="P4" s="2">
        <v>100</v>
      </c>
      <c r="Q4" s="2" t="str">
        <f>IF(Tabelle13[[#This Row],[Branch-Coverage nach Reparatur]]&gt;Tabelle13[[#This Row],[Branch-Coverage]],"ja","nein")</f>
        <v>nein</v>
      </c>
      <c r="R4" s="2">
        <f>Tabelle13[[#This Row],[Line-Coverage nach Reparatur]]-Tabelle13[[#This Row],[Line-Coverage]]</f>
        <v>0</v>
      </c>
      <c r="S4" s="2">
        <f>Tabelle13[[#This Row],[Branch-Coverage nach Reparatur]]-Tabelle13[[#This Row],[Branch-Coverage]]</f>
        <v>0</v>
      </c>
      <c r="T4" s="2" t="s">
        <v>32</v>
      </c>
      <c r="U4" s="2" t="s">
        <v>32</v>
      </c>
      <c r="V4" s="2" t="s">
        <v>32</v>
      </c>
      <c r="W4" s="2" t="s">
        <v>31</v>
      </c>
      <c r="X4" s="2"/>
      <c r="Y4" s="2"/>
      <c r="Z4" s="2"/>
    </row>
    <row r="5" spans="1:26" x14ac:dyDescent="0.25">
      <c r="A5" s="2"/>
      <c r="B5" s="2">
        <v>4</v>
      </c>
      <c r="C5" s="2" t="s">
        <v>25</v>
      </c>
      <c r="D5" s="2" t="s">
        <v>42</v>
      </c>
      <c r="E5" s="2" t="s">
        <v>27</v>
      </c>
      <c r="F5" s="2" t="s">
        <v>43</v>
      </c>
      <c r="G5" s="2" t="s">
        <v>29</v>
      </c>
      <c r="H5" s="2">
        <v>3</v>
      </c>
      <c r="I5" s="2">
        <v>6</v>
      </c>
      <c r="J5" s="2">
        <v>3</v>
      </c>
      <c r="K5" s="2">
        <v>45.45</v>
      </c>
      <c r="L5" s="2">
        <v>16.66</v>
      </c>
      <c r="M5" s="2">
        <v>6</v>
      </c>
      <c r="N5" s="2">
        <v>6</v>
      </c>
      <c r="O5" s="2">
        <v>100</v>
      </c>
      <c r="P5" s="2">
        <v>100</v>
      </c>
      <c r="Q5" s="2" t="str">
        <f>IF(Tabelle13[[#This Row],[Branch-Coverage nach Reparatur]]&gt;Tabelle13[[#This Row],[Branch-Coverage]],"ja","nein")</f>
        <v>ja</v>
      </c>
      <c r="R5" s="2">
        <f>Tabelle13[[#This Row],[Line-Coverage nach Reparatur]]-Tabelle13[[#This Row],[Line-Coverage]]</f>
        <v>54.55</v>
      </c>
      <c r="S5" s="2">
        <f>Tabelle13[[#This Row],[Branch-Coverage nach Reparatur]]-Tabelle13[[#This Row],[Branch-Coverage]]</f>
        <v>83.34</v>
      </c>
      <c r="T5" s="2" t="s">
        <v>32</v>
      </c>
      <c r="U5" s="2" t="s">
        <v>32</v>
      </c>
      <c r="V5" s="2" t="s">
        <v>32</v>
      </c>
      <c r="W5" s="2" t="s">
        <v>29</v>
      </c>
      <c r="X5" s="2"/>
      <c r="Y5" s="2"/>
      <c r="Z5" s="2"/>
    </row>
    <row r="6" spans="1:26" x14ac:dyDescent="0.25">
      <c r="A6" s="2"/>
      <c r="B6" s="2">
        <v>5</v>
      </c>
      <c r="C6" s="2" t="s">
        <v>25</v>
      </c>
      <c r="D6" s="2" t="s">
        <v>44</v>
      </c>
      <c r="E6" s="2" t="s">
        <v>27</v>
      </c>
      <c r="F6" s="2" t="s">
        <v>45</v>
      </c>
      <c r="G6" s="2" t="s">
        <v>29</v>
      </c>
      <c r="H6" s="2">
        <v>1</v>
      </c>
      <c r="I6" s="2">
        <v>8</v>
      </c>
      <c r="J6" s="2">
        <v>7</v>
      </c>
      <c r="K6" s="2">
        <v>75</v>
      </c>
      <c r="L6" s="2">
        <v>75</v>
      </c>
      <c r="M6" s="2">
        <v>8</v>
      </c>
      <c r="N6" s="2">
        <v>5</v>
      </c>
      <c r="O6" s="2">
        <v>87.5</v>
      </c>
      <c r="P6" s="2">
        <v>62.5</v>
      </c>
      <c r="Q6" s="2" t="str">
        <f>IF(Tabelle13[[#This Row],[Branch-Coverage nach Reparatur]]&gt;Tabelle13[[#This Row],[Branch-Coverage]],"ja","nein")</f>
        <v>nein</v>
      </c>
      <c r="R6" s="2">
        <f>Tabelle13[[#This Row],[Line-Coverage nach Reparatur]]-Tabelle13[[#This Row],[Line-Coverage]]</f>
        <v>12.5</v>
      </c>
      <c r="S6" s="2"/>
      <c r="T6" s="2" t="s">
        <v>32</v>
      </c>
      <c r="U6" s="2" t="s">
        <v>32</v>
      </c>
      <c r="V6" s="2" t="s">
        <v>32</v>
      </c>
      <c r="W6" s="2" t="s">
        <v>31</v>
      </c>
      <c r="X6" s="2"/>
      <c r="Y6" s="2"/>
      <c r="Z6" s="2"/>
    </row>
    <row r="7" spans="1:26" ht="17.25" customHeight="1" x14ac:dyDescent="0.25">
      <c r="A7" s="2"/>
      <c r="B7" s="2">
        <v>6</v>
      </c>
      <c r="C7" s="2" t="s">
        <v>25</v>
      </c>
      <c r="D7" s="2" t="s">
        <v>47</v>
      </c>
      <c r="E7" s="2" t="s">
        <v>48</v>
      </c>
      <c r="F7" s="3" t="s">
        <v>49</v>
      </c>
      <c r="G7" s="2" t="s">
        <v>29</v>
      </c>
      <c r="H7" s="2">
        <v>1</v>
      </c>
      <c r="I7" s="2">
        <v>22</v>
      </c>
      <c r="J7" s="2">
        <v>21</v>
      </c>
      <c r="K7" s="2">
        <v>100</v>
      </c>
      <c r="L7" s="2">
        <v>100</v>
      </c>
      <c r="M7" s="2">
        <v>22</v>
      </c>
      <c r="N7" s="2">
        <v>22</v>
      </c>
      <c r="O7" s="2">
        <v>100</v>
      </c>
      <c r="P7" s="2">
        <v>100</v>
      </c>
      <c r="Q7" s="2" t="str">
        <f>IF(Tabelle13[[#This Row],[Branch-Coverage nach Reparatur]]&gt;Tabelle13[[#This Row],[Branch-Coverage]],"ja","nein")</f>
        <v>nein</v>
      </c>
      <c r="R7" s="2">
        <f>Tabelle13[[#This Row],[Line-Coverage nach Reparatur]]-Tabelle13[[#This Row],[Line-Coverage]]</f>
        <v>0</v>
      </c>
      <c r="S7" s="2">
        <f>Tabelle13[[#This Row],[Branch-Coverage nach Reparatur]]-Tabelle13[[#This Row],[Branch-Coverage]]</f>
        <v>0</v>
      </c>
      <c r="T7" s="2" t="s">
        <v>32</v>
      </c>
      <c r="U7" s="2"/>
      <c r="V7" s="2"/>
      <c r="W7" s="2" t="s">
        <v>29</v>
      </c>
      <c r="X7" s="2"/>
      <c r="Y7" s="2"/>
      <c r="Z7" s="2"/>
    </row>
    <row r="8" spans="1:26" ht="15.75" customHeight="1" x14ac:dyDescent="0.25">
      <c r="A8" s="2"/>
      <c r="B8" s="2">
        <v>7</v>
      </c>
      <c r="C8" s="2" t="s">
        <v>25</v>
      </c>
      <c r="D8" s="4" t="s">
        <v>51</v>
      </c>
      <c r="E8" s="2" t="s">
        <v>52</v>
      </c>
      <c r="F8" s="3" t="s">
        <v>53</v>
      </c>
      <c r="G8" s="2" t="s">
        <v>29</v>
      </c>
      <c r="H8" s="2">
        <v>1</v>
      </c>
      <c r="I8" s="2">
        <v>5</v>
      </c>
      <c r="J8" s="2">
        <v>5</v>
      </c>
      <c r="K8" s="2">
        <v>100</v>
      </c>
      <c r="L8" s="2">
        <v>100</v>
      </c>
      <c r="M8" s="2"/>
      <c r="N8" s="2"/>
      <c r="O8" s="2"/>
      <c r="P8" s="2"/>
      <c r="Q8" s="2" t="str">
        <f>IF(Tabelle13[[#This Row],[Branch-Coverage nach Reparatur]]&gt;Tabelle13[[#This Row],[Branch-Coverage]],"ja","nein")</f>
        <v>nein</v>
      </c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>
        <v>8</v>
      </c>
      <c r="C9" s="2" t="s">
        <v>25</v>
      </c>
      <c r="D9" s="2" t="s">
        <v>54</v>
      </c>
      <c r="E9" s="2" t="s">
        <v>55</v>
      </c>
      <c r="F9" s="2" t="s">
        <v>56</v>
      </c>
      <c r="G9" s="2" t="s">
        <v>29</v>
      </c>
      <c r="H9" s="2">
        <v>2</v>
      </c>
      <c r="I9" s="2">
        <v>6</v>
      </c>
      <c r="J9" s="2">
        <v>3</v>
      </c>
      <c r="K9" s="2">
        <v>86.66</v>
      </c>
      <c r="L9" s="2">
        <v>87.5</v>
      </c>
      <c r="M9" s="2">
        <v>6</v>
      </c>
      <c r="N9" s="2">
        <v>3</v>
      </c>
      <c r="O9" s="2">
        <v>86.66</v>
      </c>
      <c r="P9" s="2">
        <v>87.5</v>
      </c>
      <c r="Q9" s="2" t="str">
        <f>IF(Tabelle13[[#This Row],[Branch-Coverage nach Reparatur]]&gt;Tabelle13[[#This Row],[Branch-Coverage]],"ja","nein")</f>
        <v>nein</v>
      </c>
      <c r="R9" s="2">
        <f>Tabelle13[[#This Row],[Line-Coverage nach Reparatur]]-Tabelle13[[#This Row],[Line-Coverage]]</f>
        <v>0</v>
      </c>
      <c r="S9" s="2">
        <f>Tabelle13[[#This Row],[Branch-Coverage nach Reparatur]]-Tabelle13[[#This Row],[Branch-Coverage]]</f>
        <v>0</v>
      </c>
      <c r="T9" s="2" t="s">
        <v>32</v>
      </c>
      <c r="U9" s="2" t="s">
        <v>32</v>
      </c>
      <c r="V9" s="2" t="s">
        <v>32</v>
      </c>
      <c r="W9" s="2" t="s">
        <v>31</v>
      </c>
      <c r="X9" s="2"/>
      <c r="Y9" s="2"/>
      <c r="Z9" s="2"/>
    </row>
    <row r="10" spans="1:26" x14ac:dyDescent="0.25">
      <c r="A10" s="2"/>
      <c r="B10" s="2">
        <v>9</v>
      </c>
      <c r="C10" s="2" t="s">
        <v>25</v>
      </c>
      <c r="D10" s="2" t="s">
        <v>58</v>
      </c>
      <c r="E10" s="2" t="s">
        <v>59</v>
      </c>
      <c r="F10" s="2" t="s">
        <v>60</v>
      </c>
      <c r="G10" s="2" t="s">
        <v>29</v>
      </c>
      <c r="H10" s="2">
        <v>1</v>
      </c>
      <c r="I10" s="2">
        <v>7</v>
      </c>
      <c r="J10" s="2">
        <v>6</v>
      </c>
      <c r="K10" s="2">
        <v>100</v>
      </c>
      <c r="L10" s="2">
        <v>100</v>
      </c>
      <c r="M10" s="2">
        <v>8</v>
      </c>
      <c r="N10" s="2">
        <v>7</v>
      </c>
      <c r="O10" s="2">
        <v>100</v>
      </c>
      <c r="P10" s="2">
        <v>100</v>
      </c>
      <c r="Q10" s="2" t="str">
        <f>IF(Tabelle13[[#This Row],[Branch-Coverage nach Reparatur]]&gt;Tabelle13[[#This Row],[Branch-Coverage]],"ja","nein")</f>
        <v>nein</v>
      </c>
      <c r="R10" s="2">
        <f>Tabelle13[[#This Row],[Line-Coverage nach Reparatur]]-Tabelle13[[#This Row],[Line-Coverage]]</f>
        <v>0</v>
      </c>
      <c r="S10" s="2">
        <f>Tabelle13[[#This Row],[Branch-Coverage nach Reparatur]]-Tabelle13[[#This Row],[Branch-Coverage]]</f>
        <v>0</v>
      </c>
      <c r="T10" s="2" t="s">
        <v>32</v>
      </c>
      <c r="U10" s="2" t="s">
        <v>32</v>
      </c>
      <c r="V10" s="2" t="s">
        <v>32</v>
      </c>
      <c r="W10" s="2" t="s">
        <v>31</v>
      </c>
      <c r="X10" s="2"/>
      <c r="Y10" s="2"/>
      <c r="Z10" s="2"/>
    </row>
    <row r="11" spans="1:26" x14ac:dyDescent="0.25">
      <c r="A11" s="2"/>
      <c r="B11" s="2">
        <v>10</v>
      </c>
      <c r="C11" s="2" t="s">
        <v>25</v>
      </c>
      <c r="D11" s="2" t="s">
        <v>62</v>
      </c>
      <c r="E11" s="2" t="s">
        <v>63</v>
      </c>
      <c r="F11" s="2" t="s">
        <v>64</v>
      </c>
      <c r="G11" s="2" t="s">
        <v>29</v>
      </c>
      <c r="H11" s="2">
        <v>2</v>
      </c>
      <c r="I11" s="2">
        <v>8</v>
      </c>
      <c r="J11" s="2">
        <v>6</v>
      </c>
      <c r="K11" s="2">
        <v>100</v>
      </c>
      <c r="L11" s="2">
        <v>100</v>
      </c>
      <c r="M11" s="2">
        <v>8</v>
      </c>
      <c r="N11" s="2">
        <v>6</v>
      </c>
      <c r="O11" s="2">
        <v>100</v>
      </c>
      <c r="P11" s="2">
        <v>100</v>
      </c>
      <c r="Q11" s="2" t="str">
        <f>IF(Tabelle13[[#This Row],[Branch-Coverage nach Reparatur]]&gt;Tabelle13[[#This Row],[Branch-Coverage]],"ja","nein")</f>
        <v>nein</v>
      </c>
      <c r="R11" s="2">
        <f>Tabelle13[[#This Row],[Line-Coverage nach Reparatur]]-Tabelle13[[#This Row],[Line-Coverage]]</f>
        <v>0</v>
      </c>
      <c r="S11" s="2">
        <f>Tabelle13[[#This Row],[Branch-Coverage nach Reparatur]]-Tabelle13[[#This Row],[Branch-Coverage]]</f>
        <v>0</v>
      </c>
      <c r="T11" s="2" t="s">
        <v>32</v>
      </c>
      <c r="U11" s="2" t="s">
        <v>32</v>
      </c>
      <c r="V11" s="2" t="s">
        <v>32</v>
      </c>
      <c r="W11" s="2" t="s">
        <v>31</v>
      </c>
      <c r="X11" s="2"/>
      <c r="Y11" s="2"/>
      <c r="Z11" s="2"/>
    </row>
    <row r="12" spans="1:26" x14ac:dyDescent="0.25">
      <c r="A12" s="2"/>
      <c r="B12" s="2">
        <v>11</v>
      </c>
      <c r="C12" s="2" t="s">
        <v>25</v>
      </c>
      <c r="D12" s="1" t="s">
        <v>66</v>
      </c>
      <c r="E12" s="2" t="s">
        <v>67</v>
      </c>
      <c r="F12" s="2" t="s">
        <v>68</v>
      </c>
      <c r="G12" s="2" t="s">
        <v>29</v>
      </c>
      <c r="H12" s="2">
        <v>1</v>
      </c>
      <c r="I12" s="2">
        <v>5</v>
      </c>
      <c r="J12" s="2">
        <v>5</v>
      </c>
      <c r="K12" s="2">
        <v>100</v>
      </c>
      <c r="L12" s="2">
        <v>100</v>
      </c>
      <c r="M12" s="2"/>
      <c r="N12" s="2"/>
      <c r="O12" s="2"/>
      <c r="P12" s="2"/>
      <c r="Q12" s="2" t="str">
        <f>IF(Tabelle13[[#This Row],[Branch-Coverage nach Reparatur]]&gt;Tabelle13[[#This Row],[Branch-Coverage]],"ja","nein")</f>
        <v>nein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>
        <v>12</v>
      </c>
      <c r="C13" s="2" t="s">
        <v>25</v>
      </c>
      <c r="D13" s="1" t="s">
        <v>70</v>
      </c>
      <c r="E13" s="2" t="s">
        <v>71</v>
      </c>
      <c r="F13" s="2" t="s">
        <v>72</v>
      </c>
      <c r="G13" s="2" t="s">
        <v>29</v>
      </c>
      <c r="H13" s="2">
        <v>1</v>
      </c>
      <c r="I13" s="2">
        <v>7</v>
      </c>
      <c r="J13" s="2">
        <v>6</v>
      </c>
      <c r="K13" s="2">
        <v>100</v>
      </c>
      <c r="L13" s="2">
        <v>100</v>
      </c>
      <c r="M13" s="2">
        <v>7</v>
      </c>
      <c r="N13" s="2">
        <v>7</v>
      </c>
      <c r="O13" s="2">
        <v>100</v>
      </c>
      <c r="P13" s="2">
        <v>100</v>
      </c>
      <c r="Q13" s="2" t="str">
        <f>IF(Tabelle13[[#This Row],[Branch-Coverage nach Reparatur]]&gt;Tabelle13[[#This Row],[Branch-Coverage]],"ja","nein")</f>
        <v>nein</v>
      </c>
      <c r="R13" s="2">
        <f>Tabelle13[[#This Row],[Line-Coverage nach Reparatur]]-Tabelle13[[#This Row],[Line-Coverage]]</f>
        <v>0</v>
      </c>
      <c r="S13" s="2">
        <f>Tabelle13[[#This Row],[Branch-Coverage nach Reparatur]]-Tabelle13[[#This Row],[Branch-Coverage]]</f>
        <v>0</v>
      </c>
      <c r="T13" s="2" t="s">
        <v>32</v>
      </c>
      <c r="U13" s="2"/>
      <c r="V13" s="2"/>
      <c r="W13" s="2" t="s">
        <v>29</v>
      </c>
      <c r="X13" s="2"/>
      <c r="Y13" s="2"/>
      <c r="Z13" s="2"/>
    </row>
    <row r="14" spans="1:26" x14ac:dyDescent="0.25">
      <c r="A14" s="2"/>
      <c r="B14" s="2">
        <v>13</v>
      </c>
      <c r="C14" s="2" t="s">
        <v>74</v>
      </c>
      <c r="D14" s="2" t="s">
        <v>75</v>
      </c>
      <c r="E14" s="2" t="s">
        <v>76</v>
      </c>
      <c r="F14" s="2" t="s">
        <v>77</v>
      </c>
      <c r="G14" s="2" t="s">
        <v>29</v>
      </c>
      <c r="H14" s="2">
        <v>1</v>
      </c>
      <c r="I14" s="2">
        <v>7</v>
      </c>
      <c r="J14" s="2">
        <v>5</v>
      </c>
      <c r="K14" s="2">
        <v>100</v>
      </c>
      <c r="L14" s="2">
        <v>100</v>
      </c>
      <c r="M14" s="2">
        <v>7</v>
      </c>
      <c r="N14" s="2">
        <v>7</v>
      </c>
      <c r="O14" s="2">
        <v>100</v>
      </c>
      <c r="P14" s="2">
        <v>100</v>
      </c>
      <c r="Q14" s="2" t="str">
        <f>IF(Tabelle13[[#This Row],[Branch-Coverage nach Reparatur]]&gt;Tabelle13[[#This Row],[Branch-Coverage]],"ja","nein")</f>
        <v>nein</v>
      </c>
      <c r="R14" s="2">
        <f>Tabelle13[[#This Row],[Line-Coverage nach Reparatur]]-Tabelle13[[#This Row],[Line-Coverage]]</f>
        <v>0</v>
      </c>
      <c r="S14" s="2">
        <f>Tabelle13[[#This Row],[Branch-Coverage nach Reparatur]]-Tabelle13[[#This Row],[Branch-Coverage]]</f>
        <v>0</v>
      </c>
      <c r="T14" s="2" t="s">
        <v>32</v>
      </c>
      <c r="U14" s="2" t="s">
        <v>32</v>
      </c>
      <c r="V14" s="2"/>
      <c r="W14" s="2" t="s">
        <v>29</v>
      </c>
      <c r="X14" s="2"/>
      <c r="Y14" s="2"/>
      <c r="Z14" s="2"/>
    </row>
    <row r="15" spans="1:26" x14ac:dyDescent="0.25">
      <c r="A15" s="2"/>
      <c r="B15" s="2">
        <v>14</v>
      </c>
      <c r="C15" s="2" t="s">
        <v>74</v>
      </c>
      <c r="D15" s="2" t="s">
        <v>79</v>
      </c>
      <c r="E15" s="2" t="s">
        <v>76</v>
      </c>
      <c r="F15" s="2" t="s">
        <v>80</v>
      </c>
      <c r="G15" s="2" t="s">
        <v>29</v>
      </c>
      <c r="H15" s="2">
        <v>1</v>
      </c>
      <c r="I15" s="2">
        <v>8</v>
      </c>
      <c r="J15" s="2">
        <v>7</v>
      </c>
      <c r="K15" s="2">
        <v>90.9</v>
      </c>
      <c r="L15" s="2">
        <v>92.85</v>
      </c>
      <c r="M15" s="2">
        <v>9</v>
      </c>
      <c r="N15" s="2">
        <v>9</v>
      </c>
      <c r="O15" s="2">
        <v>90.9</v>
      </c>
      <c r="P15" s="2">
        <v>92.85</v>
      </c>
      <c r="Q15" s="2" t="str">
        <f>IF(Tabelle13[[#This Row],[Branch-Coverage nach Reparatur]]&gt;Tabelle13[[#This Row],[Branch-Coverage]],"ja","nein")</f>
        <v>nein</v>
      </c>
      <c r="R15" s="2">
        <f>Tabelle13[[#This Row],[Line-Coverage nach Reparatur]]-Tabelle13[[#This Row],[Line-Coverage]]</f>
        <v>0</v>
      </c>
      <c r="S15" s="2">
        <f>Tabelle13[[#This Row],[Branch-Coverage nach Reparatur]]-Tabelle13[[#This Row],[Branch-Coverage]]</f>
        <v>0</v>
      </c>
      <c r="T15" s="2" t="s">
        <v>32</v>
      </c>
      <c r="U15" s="2" t="s">
        <v>32</v>
      </c>
      <c r="V15" s="2" t="s">
        <v>32</v>
      </c>
      <c r="W15" s="2" t="s">
        <v>29</v>
      </c>
      <c r="X15" s="2"/>
      <c r="Y15" s="2"/>
      <c r="Z15" s="2"/>
    </row>
    <row r="16" spans="1:26" ht="24.75" customHeight="1" x14ac:dyDescent="0.25">
      <c r="A16" s="2"/>
      <c r="B16" s="2">
        <v>15</v>
      </c>
      <c r="C16" s="2" t="s">
        <v>74</v>
      </c>
      <c r="D16" s="2" t="s">
        <v>82</v>
      </c>
      <c r="E16" s="2" t="s">
        <v>76</v>
      </c>
      <c r="F16" s="2" t="s">
        <v>83</v>
      </c>
      <c r="G16" s="2" t="s">
        <v>29</v>
      </c>
      <c r="H16" s="2">
        <v>1</v>
      </c>
      <c r="I16" s="2">
        <v>8</v>
      </c>
      <c r="J16" s="2">
        <v>6</v>
      </c>
      <c r="K16" s="2">
        <v>50</v>
      </c>
      <c r="L16" s="2">
        <v>50</v>
      </c>
      <c r="M16" s="2">
        <v>8</v>
      </c>
      <c r="N16" s="2">
        <v>8</v>
      </c>
      <c r="O16" s="2">
        <v>100</v>
      </c>
      <c r="P16" s="2">
        <v>100</v>
      </c>
      <c r="Q16" s="2" t="str">
        <f>IF(Tabelle13[[#This Row],[Branch-Coverage nach Reparatur]]&gt;Tabelle13[[#This Row],[Branch-Coverage]],"ja","nein")</f>
        <v>ja</v>
      </c>
      <c r="R16" s="2">
        <f>Tabelle13[[#This Row],[Line-Coverage nach Reparatur]]-Tabelle13[[#This Row],[Line-Coverage]]</f>
        <v>50</v>
      </c>
      <c r="S16" s="2">
        <f>Tabelle13[[#This Row],[Branch-Coverage nach Reparatur]]-Tabelle13[[#This Row],[Branch-Coverage]]</f>
        <v>50</v>
      </c>
      <c r="T16" s="2" t="s">
        <v>32</v>
      </c>
      <c r="U16" s="2" t="s">
        <v>32</v>
      </c>
      <c r="V16" s="2"/>
      <c r="W16" s="2" t="s">
        <v>29</v>
      </c>
      <c r="X16" s="2"/>
      <c r="Y16" s="2"/>
      <c r="Z16" s="2"/>
    </row>
    <row r="17" spans="1:26" ht="16.5" customHeight="1" x14ac:dyDescent="0.25">
      <c r="A17" s="2"/>
      <c r="B17" s="2">
        <v>16</v>
      </c>
      <c r="C17" s="2" t="s">
        <v>74</v>
      </c>
      <c r="D17" s="2" t="s">
        <v>85</v>
      </c>
      <c r="E17" s="2" t="s">
        <v>76</v>
      </c>
      <c r="F17" s="2" t="s">
        <v>77</v>
      </c>
      <c r="G17" s="2" t="s">
        <v>29</v>
      </c>
      <c r="H17" s="2">
        <v>1</v>
      </c>
      <c r="I17" s="2">
        <v>8</v>
      </c>
      <c r="J17" s="2">
        <v>8</v>
      </c>
      <c r="K17" s="2">
        <v>100</v>
      </c>
      <c r="L17" s="2">
        <v>100</v>
      </c>
      <c r="M17" s="2"/>
      <c r="N17" s="2"/>
      <c r="O17" s="2"/>
      <c r="P17" s="2"/>
      <c r="Q17" s="2" t="str">
        <f>IF(Tabelle13[[#This Row],[Branch-Coverage nach Reparatur]]&gt;Tabelle13[[#This Row],[Branch-Coverage]],"ja","nein")</f>
        <v>nein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25">
      <c r="A18" s="2"/>
      <c r="B18" s="2">
        <v>17</v>
      </c>
      <c r="C18" s="2" t="s">
        <v>74</v>
      </c>
      <c r="D18" s="2" t="s">
        <v>87</v>
      </c>
      <c r="E18" s="2" t="s">
        <v>88</v>
      </c>
      <c r="F18" s="3" t="s">
        <v>89</v>
      </c>
      <c r="G18" s="2" t="s">
        <v>29</v>
      </c>
      <c r="H18" s="2">
        <v>1</v>
      </c>
      <c r="I18" s="2">
        <v>7</v>
      </c>
      <c r="J18" s="2">
        <v>7</v>
      </c>
      <c r="K18" s="2">
        <v>100</v>
      </c>
      <c r="L18" s="2">
        <v>100</v>
      </c>
      <c r="M18" s="2"/>
      <c r="N18" s="2"/>
      <c r="O18" s="2"/>
      <c r="P18" s="2"/>
      <c r="Q18" s="2" t="str">
        <f>IF(Tabelle13[[#This Row],[Branch-Coverage nach Reparatur]]&gt;Tabelle13[[#This Row],[Branch-Coverage]],"ja","nein")</f>
        <v>nein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25">
      <c r="A19" s="2"/>
      <c r="B19" s="2">
        <v>18</v>
      </c>
      <c r="C19" s="2" t="s">
        <v>74</v>
      </c>
      <c r="D19" s="2" t="s">
        <v>92</v>
      </c>
      <c r="E19" s="2" t="s">
        <v>93</v>
      </c>
      <c r="F19" s="3" t="s">
        <v>94</v>
      </c>
      <c r="G19" s="2" t="s">
        <v>29</v>
      </c>
      <c r="H19" s="2">
        <v>1</v>
      </c>
      <c r="I19" s="2">
        <v>5</v>
      </c>
      <c r="J19" s="2">
        <v>0</v>
      </c>
      <c r="K19" s="2">
        <v>0</v>
      </c>
      <c r="L19" s="2">
        <v>0</v>
      </c>
      <c r="M19" s="2">
        <v>5</v>
      </c>
      <c r="N19" s="2">
        <v>0</v>
      </c>
      <c r="O19" s="2">
        <v>0</v>
      </c>
      <c r="P19" s="2">
        <v>0</v>
      </c>
      <c r="Q19" s="2" t="str">
        <f>IF(Tabelle13[[#This Row],[Branch-Coverage nach Reparatur]]&gt;Tabelle13[[#This Row],[Branch-Coverage]],"ja","nein")</f>
        <v>nein</v>
      </c>
      <c r="R19" s="2">
        <f>Tabelle13[[#This Row],[Line-Coverage nach Reparatur]]-Tabelle13[[#This Row],[Line-Coverage]]</f>
        <v>0</v>
      </c>
      <c r="S19" s="2">
        <f>Tabelle13[[#This Row],[Branch-Coverage nach Reparatur]]-Tabelle13[[#This Row],[Branch-Coverage]]</f>
        <v>0</v>
      </c>
      <c r="T19" s="2" t="s">
        <v>32</v>
      </c>
      <c r="U19" s="2" t="s">
        <v>32</v>
      </c>
      <c r="V19" s="2" t="s">
        <v>32</v>
      </c>
      <c r="W19" s="2" t="s">
        <v>31</v>
      </c>
      <c r="X19" s="2" t="s">
        <v>216</v>
      </c>
      <c r="Y19" s="2"/>
      <c r="Z19" s="2"/>
    </row>
    <row r="20" spans="1:26" ht="14.25" customHeight="1" x14ac:dyDescent="0.25">
      <c r="A20" s="2"/>
      <c r="B20" s="2">
        <v>19</v>
      </c>
      <c r="C20" s="2" t="s">
        <v>74</v>
      </c>
      <c r="D20" s="2" t="s">
        <v>96</v>
      </c>
      <c r="E20" s="2" t="s">
        <v>97</v>
      </c>
      <c r="F20" s="3" t="s">
        <v>98</v>
      </c>
      <c r="G20" s="2" t="s">
        <v>29</v>
      </c>
      <c r="H20" s="2">
        <v>3</v>
      </c>
      <c r="I20" s="2">
        <v>4</v>
      </c>
      <c r="J20" s="2">
        <v>0</v>
      </c>
      <c r="K20" s="2">
        <v>0</v>
      </c>
      <c r="L20" s="2">
        <v>0</v>
      </c>
      <c r="M20" s="2">
        <v>4</v>
      </c>
      <c r="N20" s="2">
        <v>0</v>
      </c>
      <c r="O20" s="2">
        <v>0</v>
      </c>
      <c r="P20" s="2">
        <v>0</v>
      </c>
      <c r="Q20" s="2" t="str">
        <f>IF(Tabelle13[[#This Row],[Branch-Coverage nach Reparatur]]&gt;Tabelle13[[#This Row],[Branch-Coverage]],"ja","nein")</f>
        <v>nein</v>
      </c>
      <c r="R20" s="2">
        <f>Tabelle13[[#This Row],[Line-Coverage nach Reparatur]]-Tabelle13[[#This Row],[Line-Coverage]]</f>
        <v>0</v>
      </c>
      <c r="S20" s="2">
        <f>Tabelle13[[#This Row],[Branch-Coverage nach Reparatur]]-Tabelle13[[#This Row],[Branch-Coverage]]</f>
        <v>0</v>
      </c>
      <c r="T20" s="2" t="s">
        <v>32</v>
      </c>
      <c r="U20" s="2" t="s">
        <v>32</v>
      </c>
      <c r="V20" s="2" t="s">
        <v>32</v>
      </c>
      <c r="W20" s="2" t="s">
        <v>31</v>
      </c>
      <c r="X20" s="2" t="s">
        <v>216</v>
      </c>
      <c r="Y20" s="2"/>
      <c r="Z20" s="2"/>
    </row>
    <row r="21" spans="1:26" ht="27.75" customHeight="1" x14ac:dyDescent="0.25">
      <c r="A21" s="3"/>
      <c r="B21" s="2">
        <v>20</v>
      </c>
      <c r="C21" s="2" t="s">
        <v>74</v>
      </c>
      <c r="D21" s="4" t="s">
        <v>100</v>
      </c>
      <c r="E21" s="2" t="s">
        <v>101</v>
      </c>
      <c r="F21" s="2" t="s">
        <v>102</v>
      </c>
      <c r="G21" s="2" t="s">
        <v>29</v>
      </c>
      <c r="H21" s="2">
        <v>2</v>
      </c>
      <c r="I21" s="2">
        <v>5</v>
      </c>
      <c r="J21" s="2">
        <v>4</v>
      </c>
      <c r="K21" s="2">
        <v>93.75</v>
      </c>
      <c r="L21" s="2">
        <v>77.77</v>
      </c>
      <c r="M21" s="2">
        <v>5</v>
      </c>
      <c r="N21" s="2">
        <v>5</v>
      </c>
      <c r="O21" s="2">
        <v>100</v>
      </c>
      <c r="P21" s="2">
        <v>94.44</v>
      </c>
      <c r="Q21" s="2" t="str">
        <f>IF(Tabelle13[[#This Row],[Branch-Coverage nach Reparatur]]&gt;Tabelle13[[#This Row],[Branch-Coverage]],"ja","nein")</f>
        <v>ja</v>
      </c>
      <c r="R21" s="2">
        <f>Tabelle13[[#This Row],[Line-Coverage nach Reparatur]]-Tabelle13[[#This Row],[Line-Coverage]]</f>
        <v>6.25</v>
      </c>
      <c r="S21" s="2">
        <f>Tabelle13[[#This Row],[Branch-Coverage nach Reparatur]]-Tabelle13[[#This Row],[Branch-Coverage]]</f>
        <v>16.670000000000002</v>
      </c>
      <c r="T21" s="2" t="s">
        <v>32</v>
      </c>
      <c r="U21" s="2" t="s">
        <v>32</v>
      </c>
      <c r="V21" s="2" t="s">
        <v>32</v>
      </c>
      <c r="W21" s="2" t="s">
        <v>29</v>
      </c>
      <c r="X21" s="2"/>
      <c r="Y21" s="2"/>
      <c r="Z21" s="2"/>
    </row>
    <row r="22" spans="1:26" ht="23.25" customHeight="1" x14ac:dyDescent="0.25">
      <c r="A22" s="3"/>
      <c r="B22" s="2">
        <v>21</v>
      </c>
      <c r="C22" s="2" t="s">
        <v>74</v>
      </c>
      <c r="D22" s="2" t="s">
        <v>104</v>
      </c>
      <c r="E22" s="2" t="s">
        <v>105</v>
      </c>
      <c r="F22" s="2" t="s">
        <v>106</v>
      </c>
      <c r="G22" s="2" t="s">
        <v>29</v>
      </c>
      <c r="H22" s="2">
        <v>1</v>
      </c>
      <c r="I22" s="2">
        <v>7</v>
      </c>
      <c r="J22" s="2">
        <v>6</v>
      </c>
      <c r="K22" s="2">
        <v>81.81</v>
      </c>
      <c r="L22" s="2">
        <v>72.72</v>
      </c>
      <c r="M22" s="2">
        <v>7</v>
      </c>
      <c r="N22" s="2">
        <v>6</v>
      </c>
      <c r="O22" s="2">
        <v>81.81</v>
      </c>
      <c r="P22" s="2">
        <v>72.72</v>
      </c>
      <c r="Q22" s="2" t="str">
        <f>IF(Tabelle13[[#This Row],[Branch-Coverage nach Reparatur]]&gt;Tabelle13[[#This Row],[Branch-Coverage]],"ja","nein")</f>
        <v>nein</v>
      </c>
      <c r="R22" s="2">
        <f>Tabelle13[[#This Row],[Line-Coverage nach Reparatur]]-Tabelle13[[#This Row],[Line-Coverage]]</f>
        <v>0</v>
      </c>
      <c r="S22" s="2">
        <f>Tabelle13[[#This Row],[Branch-Coverage nach Reparatur]]-Tabelle13[[#This Row],[Branch-Coverage]]</f>
        <v>0</v>
      </c>
      <c r="T22" s="2" t="s">
        <v>32</v>
      </c>
      <c r="U22" s="2" t="s">
        <v>32</v>
      </c>
      <c r="V22" s="2" t="s">
        <v>32</v>
      </c>
      <c r="W22" s="2" t="s">
        <v>31</v>
      </c>
      <c r="X22" s="2"/>
      <c r="Y22" s="2"/>
      <c r="Z22" s="2"/>
    </row>
    <row r="23" spans="1:26" x14ac:dyDescent="0.25">
      <c r="A23" s="2"/>
      <c r="B23" s="2">
        <v>22</v>
      </c>
      <c r="C23" s="2" t="s">
        <v>74</v>
      </c>
      <c r="D23" s="2" t="s">
        <v>108</v>
      </c>
      <c r="E23" s="2" t="s">
        <v>109</v>
      </c>
      <c r="F23" s="2" t="s">
        <v>110</v>
      </c>
      <c r="G23" s="2" t="s">
        <v>29</v>
      </c>
      <c r="H23" s="2">
        <v>1</v>
      </c>
      <c r="I23" s="2">
        <v>6</v>
      </c>
      <c r="J23" s="2">
        <v>5</v>
      </c>
      <c r="K23" s="2">
        <v>93.75</v>
      </c>
      <c r="L23" s="2">
        <v>70</v>
      </c>
      <c r="M23" s="2">
        <v>6</v>
      </c>
      <c r="N23" s="2">
        <v>5</v>
      </c>
      <c r="O23" s="2">
        <v>93.75</v>
      </c>
      <c r="P23" s="2">
        <v>70</v>
      </c>
      <c r="Q23" s="2" t="str">
        <f>IF(Tabelle13[[#This Row],[Branch-Coverage nach Reparatur]]&gt;Tabelle13[[#This Row],[Branch-Coverage]],"ja","nein")</f>
        <v>nein</v>
      </c>
      <c r="R23" s="2">
        <f>Tabelle13[[#This Row],[Line-Coverage nach Reparatur]]-Tabelle13[[#This Row],[Line-Coverage]]</f>
        <v>0</v>
      </c>
      <c r="S23" s="2">
        <f>Tabelle13[[#This Row],[Branch-Coverage nach Reparatur]]-Tabelle13[[#This Row],[Branch-Coverage]]</f>
        <v>0</v>
      </c>
      <c r="T23" s="2" t="s">
        <v>32</v>
      </c>
      <c r="U23" s="2" t="s">
        <v>32</v>
      </c>
      <c r="V23" s="2" t="s">
        <v>32</v>
      </c>
      <c r="W23" s="2" t="s">
        <v>31</v>
      </c>
      <c r="X23" s="2"/>
      <c r="Y23" s="2"/>
      <c r="Z23" s="2"/>
    </row>
    <row r="24" spans="1:26" x14ac:dyDescent="0.25">
      <c r="A24" s="2"/>
      <c r="B24" s="2">
        <v>23</v>
      </c>
      <c r="C24" s="2" t="s">
        <v>74</v>
      </c>
      <c r="D24" s="1" t="s">
        <v>217</v>
      </c>
      <c r="E24" s="2" t="s">
        <v>125</v>
      </c>
      <c r="F24" s="2" t="s">
        <v>114</v>
      </c>
      <c r="G24" s="2" t="s">
        <v>29</v>
      </c>
      <c r="H24" s="2">
        <v>4</v>
      </c>
      <c r="I24" s="2">
        <v>6</v>
      </c>
      <c r="J24" s="2">
        <v>5</v>
      </c>
      <c r="K24" s="2">
        <v>70.959999999999994</v>
      </c>
      <c r="L24" s="2">
        <v>65.38</v>
      </c>
      <c r="M24" s="2"/>
      <c r="N24" s="2"/>
      <c r="O24" s="2"/>
      <c r="P24" s="2"/>
      <c r="Q24" s="2" t="str">
        <f>IF(Tabelle13[[#This Row],[Branch-Coverage nach Reparatur]]&gt;Tabelle13[[#This Row],[Branch-Coverage]],"ja","nein")</f>
        <v>nein</v>
      </c>
      <c r="R24" s="2"/>
      <c r="S24" s="2"/>
      <c r="T24" s="2" t="s">
        <v>32</v>
      </c>
      <c r="U24" s="2" t="s">
        <v>32</v>
      </c>
      <c r="V24" s="2" t="s">
        <v>32</v>
      </c>
      <c r="W24" s="2" t="s">
        <v>29</v>
      </c>
      <c r="X24" s="2" t="s">
        <v>218</v>
      </c>
      <c r="Y24" s="2"/>
      <c r="Z24" s="2"/>
    </row>
    <row r="25" spans="1:26" x14ac:dyDescent="0.25">
      <c r="A25" s="2"/>
      <c r="B25" s="2">
        <v>24</v>
      </c>
      <c r="C25" s="2" t="s">
        <v>74</v>
      </c>
      <c r="D25" s="2" t="s">
        <v>116</v>
      </c>
      <c r="E25" s="2" t="s">
        <v>117</v>
      </c>
      <c r="F25" s="2" t="s">
        <v>118</v>
      </c>
      <c r="G25" s="2" t="s">
        <v>29</v>
      </c>
      <c r="H25" s="2">
        <v>2</v>
      </c>
      <c r="I25" s="2">
        <v>9</v>
      </c>
      <c r="J25" s="2">
        <v>8</v>
      </c>
      <c r="K25" s="2">
        <v>100</v>
      </c>
      <c r="L25" s="2">
        <v>100</v>
      </c>
      <c r="M25" s="2">
        <v>9</v>
      </c>
      <c r="N25" s="2">
        <v>9</v>
      </c>
      <c r="O25" s="2">
        <v>100</v>
      </c>
      <c r="P25" s="2">
        <v>100</v>
      </c>
      <c r="Q25" s="2" t="str">
        <f>IF(Tabelle13[[#This Row],[Branch-Coverage nach Reparatur]]&gt;Tabelle13[[#This Row],[Branch-Coverage]],"ja","nein")</f>
        <v>nein</v>
      </c>
      <c r="R25" s="2">
        <f>Tabelle13[[#This Row],[Line-Coverage nach Reparatur]]-Tabelle13[[#This Row],[Line-Coverage]]</f>
        <v>0</v>
      </c>
      <c r="S25" s="2">
        <f>Tabelle13[[#This Row],[Branch-Coverage nach Reparatur]]-Tabelle13[[#This Row],[Branch-Coverage]]</f>
        <v>0</v>
      </c>
      <c r="T25" s="2" t="s">
        <v>32</v>
      </c>
      <c r="U25" s="2" t="s">
        <v>32</v>
      </c>
      <c r="V25" s="2"/>
      <c r="W25" s="2" t="s">
        <v>29</v>
      </c>
      <c r="X25" s="2"/>
      <c r="Y25" s="2"/>
      <c r="Z25" s="2"/>
    </row>
    <row r="26" spans="1:26" x14ac:dyDescent="0.25">
      <c r="A26" s="2"/>
      <c r="B26" s="2">
        <v>25</v>
      </c>
      <c r="C26" s="2" t="s">
        <v>74</v>
      </c>
      <c r="D26" s="2" t="s">
        <v>120</v>
      </c>
      <c r="E26" s="2" t="s">
        <v>121</v>
      </c>
      <c r="F26" s="2" t="s">
        <v>122</v>
      </c>
      <c r="G26" s="2" t="s">
        <v>29</v>
      </c>
      <c r="H26" s="2">
        <v>1</v>
      </c>
      <c r="I26" s="2">
        <v>5</v>
      </c>
      <c r="J26" s="2">
        <v>4</v>
      </c>
      <c r="K26" s="2">
        <v>100</v>
      </c>
      <c r="L26" s="2">
        <v>100</v>
      </c>
      <c r="M26" s="2">
        <v>5</v>
      </c>
      <c r="N26" s="2">
        <v>4</v>
      </c>
      <c r="O26" s="2">
        <v>100</v>
      </c>
      <c r="P26" s="2">
        <v>100</v>
      </c>
      <c r="Q26" s="2" t="str">
        <f>IF(Tabelle13[[#This Row],[Branch-Coverage nach Reparatur]]&gt;Tabelle13[[#This Row],[Branch-Coverage]],"ja","nein")</f>
        <v>nein</v>
      </c>
      <c r="R26" s="2">
        <f>Tabelle13[[#This Row],[Line-Coverage nach Reparatur]]-Tabelle13[[#This Row],[Line-Coverage]]</f>
        <v>0</v>
      </c>
      <c r="S26" s="2">
        <f>Tabelle13[[#This Row],[Branch-Coverage nach Reparatur]]-Tabelle13[[#This Row],[Branch-Coverage]]</f>
        <v>0</v>
      </c>
      <c r="T26" s="2" t="s">
        <v>32</v>
      </c>
      <c r="U26" s="2" t="s">
        <v>32</v>
      </c>
      <c r="V26" s="2" t="s">
        <v>32</v>
      </c>
      <c r="W26" s="2" t="s">
        <v>31</v>
      </c>
      <c r="X26" s="2"/>
      <c r="Y26" s="2"/>
      <c r="Z26" s="2"/>
    </row>
    <row r="27" spans="1:26" x14ac:dyDescent="0.25">
      <c r="A27" s="2"/>
      <c r="B27" s="2">
        <v>26</v>
      </c>
      <c r="C27" s="2" t="s">
        <v>74</v>
      </c>
      <c r="D27" s="2" t="s">
        <v>124</v>
      </c>
      <c r="E27" s="2" t="s">
        <v>125</v>
      </c>
      <c r="F27" s="2" t="s">
        <v>126</v>
      </c>
      <c r="G27" s="2" t="s">
        <v>29</v>
      </c>
      <c r="H27" s="2">
        <v>1</v>
      </c>
      <c r="I27" s="2">
        <v>7</v>
      </c>
      <c r="J27" s="2">
        <v>7</v>
      </c>
      <c r="K27" s="2">
        <v>87.5</v>
      </c>
      <c r="L27" s="2">
        <v>81.569999999999993</v>
      </c>
      <c r="M27" s="2"/>
      <c r="N27" s="2"/>
      <c r="O27" s="2"/>
      <c r="P27" s="2"/>
      <c r="Q27" s="2" t="str">
        <f>IF(Tabelle13[[#This Row],[Branch-Coverage nach Reparatur]]&gt;Tabelle13[[#This Row],[Branch-Coverage]],"ja","nein")</f>
        <v>nein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>
        <v>27</v>
      </c>
      <c r="C28" s="2" t="s">
        <v>128</v>
      </c>
      <c r="D28" s="1" t="s">
        <v>129</v>
      </c>
      <c r="E28" s="2" t="s">
        <v>130</v>
      </c>
      <c r="F28" s="2" t="s">
        <v>131</v>
      </c>
      <c r="G28" s="2" t="s">
        <v>29</v>
      </c>
      <c r="H28" s="2">
        <v>3</v>
      </c>
      <c r="I28" s="2">
        <v>7</v>
      </c>
      <c r="J28" s="2">
        <v>6</v>
      </c>
      <c r="K28" s="2">
        <v>94.11</v>
      </c>
      <c r="L28" s="2">
        <v>80</v>
      </c>
      <c r="M28" s="2">
        <v>7</v>
      </c>
      <c r="N28" s="2">
        <v>1</v>
      </c>
      <c r="O28" s="2">
        <v>94.11</v>
      </c>
      <c r="P28" s="2">
        <v>80</v>
      </c>
      <c r="Q28" s="2" t="str">
        <f>IF(Tabelle13[[#This Row],[Branch-Coverage nach Reparatur]]&gt;Tabelle13[[#This Row],[Branch-Coverage]],"ja","nein")</f>
        <v>nein</v>
      </c>
      <c r="R28" s="2">
        <f>Tabelle13[[#This Row],[Line-Coverage nach Reparatur]]-Tabelle13[[#This Row],[Line-Coverage]]</f>
        <v>0</v>
      </c>
      <c r="S28" s="2">
        <f>Tabelle13[[#This Row],[Branch-Coverage nach Reparatur]]-Tabelle13[[#This Row],[Branch-Coverage]]</f>
        <v>0</v>
      </c>
      <c r="T28" s="2" t="s">
        <v>32</v>
      </c>
      <c r="U28" s="2" t="s">
        <v>32</v>
      </c>
      <c r="V28" s="2" t="s">
        <v>32</v>
      </c>
      <c r="W28" s="2" t="s">
        <v>31</v>
      </c>
      <c r="X28" s="2" t="s">
        <v>230</v>
      </c>
      <c r="Y28" s="2"/>
      <c r="Z28" s="2"/>
    </row>
    <row r="29" spans="1:26" x14ac:dyDescent="0.25">
      <c r="A29" s="2"/>
      <c r="B29" s="2">
        <v>28</v>
      </c>
      <c r="C29" s="2" t="s">
        <v>128</v>
      </c>
      <c r="D29" s="4" t="s">
        <v>132</v>
      </c>
      <c r="E29" s="2" t="s">
        <v>133</v>
      </c>
      <c r="F29" s="2" t="s">
        <v>134</v>
      </c>
      <c r="G29" s="2" t="s">
        <v>29</v>
      </c>
      <c r="H29" s="2">
        <v>1</v>
      </c>
      <c r="I29" s="2">
        <v>8</v>
      </c>
      <c r="J29" s="2">
        <v>8</v>
      </c>
      <c r="K29" s="2">
        <v>94.44</v>
      </c>
      <c r="L29" s="2">
        <v>87.5</v>
      </c>
      <c r="M29" s="2">
        <v>8</v>
      </c>
      <c r="N29" s="2">
        <v>8</v>
      </c>
      <c r="O29" s="2"/>
      <c r="P29" s="2"/>
      <c r="Q29" s="2" t="str">
        <f>IF(Tabelle13[[#This Row],[Branch-Coverage nach Reparatur]]&gt;Tabelle13[[#This Row],[Branch-Coverage]],"ja","nein")</f>
        <v>nein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>
        <v>29</v>
      </c>
      <c r="C30" s="2" t="s">
        <v>128</v>
      </c>
      <c r="D30" s="2" t="s">
        <v>136</v>
      </c>
      <c r="E30" s="2" t="s">
        <v>137</v>
      </c>
      <c r="F30" s="2" t="s">
        <v>138</v>
      </c>
      <c r="G30" s="2" t="s">
        <v>29</v>
      </c>
      <c r="H30" s="2">
        <v>1</v>
      </c>
      <c r="I30" s="2">
        <v>8</v>
      </c>
      <c r="J30" s="2">
        <v>8</v>
      </c>
      <c r="K30" s="2">
        <v>100</v>
      </c>
      <c r="L30" s="2">
        <v>100</v>
      </c>
      <c r="M30" s="2">
        <v>8</v>
      </c>
      <c r="N30" s="2">
        <v>8</v>
      </c>
      <c r="O30" s="2"/>
      <c r="P30" s="2"/>
      <c r="Q30" s="2" t="str">
        <f>IF(Tabelle13[[#This Row],[Branch-Coverage nach Reparatur]]&gt;Tabelle13[[#This Row],[Branch-Coverage]],"ja","nein")</f>
        <v>nein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>
        <v>30</v>
      </c>
      <c r="C31" s="2" t="s">
        <v>128</v>
      </c>
      <c r="D31" s="2" t="s">
        <v>139</v>
      </c>
      <c r="E31" s="2" t="s">
        <v>140</v>
      </c>
      <c r="F31" s="2" t="s">
        <v>141</v>
      </c>
      <c r="G31" s="2" t="s">
        <v>29</v>
      </c>
      <c r="H31" s="2">
        <v>1</v>
      </c>
      <c r="I31" s="2">
        <v>9</v>
      </c>
      <c r="J31" s="2">
        <v>8</v>
      </c>
      <c r="K31" s="2">
        <v>92.1</v>
      </c>
      <c r="L31" s="2">
        <v>83.33</v>
      </c>
      <c r="M31" s="2">
        <v>9</v>
      </c>
      <c r="N31" s="2">
        <v>9</v>
      </c>
      <c r="O31" s="2">
        <v>94.73</v>
      </c>
      <c r="P31" s="2">
        <v>87.5</v>
      </c>
      <c r="Q31" s="2" t="str">
        <f>IF(Tabelle13[[#This Row],[Branch-Coverage nach Reparatur]]&gt;Tabelle13[[#This Row],[Branch-Coverage]],"ja","nein")</f>
        <v>ja</v>
      </c>
      <c r="R31" s="2">
        <f>Tabelle13[[#This Row],[Line-Coverage nach Reparatur]]-Tabelle13[[#This Row],[Line-Coverage]]</f>
        <v>2.6300000000000097</v>
      </c>
      <c r="S31" s="2">
        <f>Tabelle13[[#This Row],[Branch-Coverage nach Reparatur]]-Tabelle13[[#This Row],[Branch-Coverage]]</f>
        <v>4.1700000000000017</v>
      </c>
      <c r="T31" s="2" t="s">
        <v>32</v>
      </c>
      <c r="U31" s="2"/>
      <c r="V31" s="2"/>
      <c r="W31" s="2" t="s">
        <v>29</v>
      </c>
      <c r="X31" s="2"/>
      <c r="Y31" s="2"/>
      <c r="Z31" s="2"/>
    </row>
    <row r="32" spans="1:26" x14ac:dyDescent="0.25">
      <c r="A32" s="2"/>
      <c r="B32" s="2">
        <v>31</v>
      </c>
      <c r="C32" s="2" t="s">
        <v>128</v>
      </c>
      <c r="D32" s="2" t="s">
        <v>142</v>
      </c>
      <c r="E32" s="2" t="s">
        <v>143</v>
      </c>
      <c r="F32" s="2" t="s">
        <v>144</v>
      </c>
      <c r="G32" s="2" t="s">
        <v>29</v>
      </c>
      <c r="H32" s="2">
        <v>1</v>
      </c>
      <c r="I32" s="2">
        <v>8</v>
      </c>
      <c r="J32" s="2">
        <v>8</v>
      </c>
      <c r="K32" s="2">
        <v>89.65</v>
      </c>
      <c r="L32" s="2">
        <v>85.48</v>
      </c>
      <c r="M32" s="2"/>
      <c r="N32" s="2"/>
      <c r="O32" s="2"/>
      <c r="P32" s="2"/>
      <c r="Q32" s="2" t="str">
        <f>IF(Tabelle13[[#This Row],[Branch-Coverage nach Reparatur]]&gt;Tabelle13[[#This Row],[Branch-Coverage]],"ja","nein")</f>
        <v>nein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>
        <v>32</v>
      </c>
      <c r="C33" s="2" t="s">
        <v>128</v>
      </c>
      <c r="D33" s="2" t="s">
        <v>146</v>
      </c>
      <c r="E33" s="2" t="s">
        <v>147</v>
      </c>
      <c r="F33" s="2" t="s">
        <v>148</v>
      </c>
      <c r="G33" s="2" t="s">
        <v>29</v>
      </c>
      <c r="H33" s="2">
        <v>1</v>
      </c>
      <c r="I33" s="2">
        <v>9</v>
      </c>
      <c r="J33" s="2">
        <v>5</v>
      </c>
      <c r="K33" s="2">
        <v>39.21</v>
      </c>
      <c r="L33" s="2">
        <v>54.16</v>
      </c>
      <c r="M33" s="2">
        <v>9</v>
      </c>
      <c r="N33" s="2">
        <v>9</v>
      </c>
      <c r="O33" s="2">
        <v>96.07</v>
      </c>
      <c r="P33" s="2">
        <v>83.33</v>
      </c>
      <c r="Q33" s="2" t="str">
        <f>IF(Tabelle13[[#This Row],[Branch-Coverage nach Reparatur]]&gt;Tabelle13[[#This Row],[Branch-Coverage]],"ja","nein")</f>
        <v>ja</v>
      </c>
      <c r="R33" s="2">
        <f>Tabelle13[[#This Row],[Line-Coverage nach Reparatur]]-Tabelle13[[#This Row],[Line-Coverage]]</f>
        <v>56.859999999999992</v>
      </c>
      <c r="S33" s="2">
        <f>Tabelle13[[#This Row],[Branch-Coverage nach Reparatur]]-Tabelle13[[#This Row],[Branch-Coverage]]</f>
        <v>29.17</v>
      </c>
      <c r="T33" s="2" t="s">
        <v>32</v>
      </c>
      <c r="U33" s="2"/>
      <c r="V33" s="2"/>
      <c r="W33" s="2" t="s">
        <v>29</v>
      </c>
      <c r="X33" s="2"/>
      <c r="Y33" s="2"/>
      <c r="Z33" s="2"/>
    </row>
    <row r="34" spans="1:26" x14ac:dyDescent="0.25">
      <c r="A34" s="2"/>
      <c r="B34" s="2">
        <v>33</v>
      </c>
      <c r="C34" s="2" t="s">
        <v>128</v>
      </c>
      <c r="D34" s="2" t="s">
        <v>150</v>
      </c>
      <c r="E34" s="2" t="s">
        <v>151</v>
      </c>
      <c r="F34" s="2" t="s">
        <v>152</v>
      </c>
      <c r="G34" s="2" t="s">
        <v>29</v>
      </c>
      <c r="H34" s="2">
        <v>1</v>
      </c>
      <c r="I34" s="2">
        <v>13</v>
      </c>
      <c r="J34" s="2">
        <v>13</v>
      </c>
      <c r="K34" s="2">
        <v>94.11</v>
      </c>
      <c r="L34" s="2">
        <v>85</v>
      </c>
      <c r="M34" s="2"/>
      <c r="N34" s="2"/>
      <c r="O34" s="2"/>
      <c r="P34" s="2"/>
      <c r="Q34" s="2" t="str">
        <f>IF(Tabelle13[[#This Row],[Branch-Coverage nach Reparatur]]&gt;Tabelle13[[#This Row],[Branch-Coverage]],"ja","nein")</f>
        <v>nein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>
        <v>34</v>
      </c>
      <c r="C35" s="2" t="s">
        <v>128</v>
      </c>
      <c r="D35" s="2" t="s">
        <v>154</v>
      </c>
      <c r="E35" s="2" t="s">
        <v>155</v>
      </c>
      <c r="F35" s="2" t="s">
        <v>156</v>
      </c>
      <c r="G35" s="2" t="s">
        <v>29</v>
      </c>
      <c r="H35" s="2">
        <v>1</v>
      </c>
      <c r="I35" s="2">
        <v>8</v>
      </c>
      <c r="J35" s="2">
        <v>5</v>
      </c>
      <c r="K35" s="2">
        <v>93.33</v>
      </c>
      <c r="L35" s="2">
        <v>87.5</v>
      </c>
      <c r="M35" s="2">
        <v>8</v>
      </c>
      <c r="N35" s="2">
        <v>8</v>
      </c>
      <c r="O35" s="2">
        <v>93.33</v>
      </c>
      <c r="P35" s="2">
        <v>87.5</v>
      </c>
      <c r="Q35" s="2" t="str">
        <f>IF(Tabelle13[[#This Row],[Branch-Coverage nach Reparatur]]&gt;Tabelle13[[#This Row],[Branch-Coverage]],"ja","nein")</f>
        <v>nein</v>
      </c>
      <c r="R35" s="2">
        <f>Tabelle13[[#This Row],[Line-Coverage nach Reparatur]]-Tabelle13[[#This Row],[Line-Coverage]]</f>
        <v>0</v>
      </c>
      <c r="S35" s="2">
        <f>Tabelle13[[#This Row],[Branch-Coverage nach Reparatur]]-Tabelle13[[#This Row],[Branch-Coverage]]</f>
        <v>0</v>
      </c>
      <c r="T35" s="2" t="s">
        <v>32</v>
      </c>
      <c r="U35" s="2"/>
      <c r="V35" s="2"/>
      <c r="W35" s="2" t="s">
        <v>29</v>
      </c>
      <c r="X35" s="2"/>
      <c r="Y35" s="2"/>
      <c r="Z35" s="2"/>
    </row>
    <row r="36" spans="1:26" x14ac:dyDescent="0.25">
      <c r="A36" s="2"/>
      <c r="B36" s="2">
        <v>35</v>
      </c>
      <c r="C36" s="2" t="s">
        <v>128</v>
      </c>
      <c r="D36" s="2" t="s">
        <v>158</v>
      </c>
      <c r="E36" s="2" t="s">
        <v>159</v>
      </c>
      <c r="F36" s="2" t="s">
        <v>160</v>
      </c>
      <c r="G36" s="2" t="s">
        <v>29</v>
      </c>
      <c r="H36" s="2">
        <v>1</v>
      </c>
      <c r="I36" s="2">
        <v>5</v>
      </c>
      <c r="J36" s="2">
        <v>5</v>
      </c>
      <c r="K36" s="2">
        <v>100</v>
      </c>
      <c r="L36" s="2">
        <v>100</v>
      </c>
      <c r="M36" s="2"/>
      <c r="N36" s="2"/>
      <c r="O36" s="2"/>
      <c r="P36" s="2"/>
      <c r="Q36" s="2" t="str">
        <f>IF(Tabelle13[[#This Row],[Branch-Coverage nach Reparatur]]&gt;Tabelle13[[#This Row],[Branch-Coverage]],"ja","nein")</f>
        <v>nein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>
        <v>36</v>
      </c>
      <c r="C37" s="2" t="s">
        <v>128</v>
      </c>
      <c r="D37" s="2" t="s">
        <v>161</v>
      </c>
      <c r="E37" s="2" t="s">
        <v>162</v>
      </c>
      <c r="F37" s="2" t="s">
        <v>163</v>
      </c>
      <c r="G37" s="2" t="s">
        <v>29</v>
      </c>
      <c r="H37" s="2">
        <v>1</v>
      </c>
      <c r="I37" s="2">
        <v>7</v>
      </c>
      <c r="J37" s="2">
        <v>7</v>
      </c>
      <c r="K37" s="2">
        <v>100</v>
      </c>
      <c r="L37" s="2">
        <v>100</v>
      </c>
      <c r="M37" s="2"/>
      <c r="N37" s="2"/>
      <c r="O37" s="2"/>
      <c r="P37" s="2"/>
      <c r="Q37" s="2" t="str">
        <f>IF(Tabelle13[[#This Row],[Branch-Coverage nach Reparatur]]&gt;Tabelle13[[#This Row],[Branch-Coverage]],"ja","nein")</f>
        <v>nein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>
        <v>37</v>
      </c>
      <c r="C38" s="2" t="s">
        <v>128</v>
      </c>
      <c r="D38" s="2" t="s">
        <v>164</v>
      </c>
      <c r="E38" s="2" t="s">
        <v>165</v>
      </c>
      <c r="F38" s="2" t="s">
        <v>166</v>
      </c>
      <c r="G38" s="2" t="s">
        <v>29</v>
      </c>
      <c r="H38" s="2">
        <v>1</v>
      </c>
      <c r="I38" s="2">
        <v>9</v>
      </c>
      <c r="J38" s="2">
        <v>8</v>
      </c>
      <c r="K38" s="2">
        <v>100</v>
      </c>
      <c r="L38" s="2">
        <v>100</v>
      </c>
      <c r="M38" s="2">
        <v>9</v>
      </c>
      <c r="N38" s="2">
        <v>8</v>
      </c>
      <c r="O38" s="2">
        <v>100</v>
      </c>
      <c r="P38" s="2">
        <v>100</v>
      </c>
      <c r="Q38" s="2" t="str">
        <f>IF(Tabelle13[[#This Row],[Branch-Coverage nach Reparatur]]&gt;Tabelle13[[#This Row],[Branch-Coverage]],"ja","nein")</f>
        <v>nein</v>
      </c>
      <c r="R38" s="2">
        <f>Tabelle13[[#This Row],[Line-Coverage nach Reparatur]]-Tabelle13[[#This Row],[Line-Coverage]]</f>
        <v>0</v>
      </c>
      <c r="S38" s="2">
        <f>Tabelle13[[#This Row],[Branch-Coverage nach Reparatur]]-Tabelle13[[#This Row],[Branch-Coverage]]</f>
        <v>0</v>
      </c>
      <c r="T38" s="2" t="s">
        <v>32</v>
      </c>
      <c r="U38" s="2" t="s">
        <v>32</v>
      </c>
      <c r="V38" s="2" t="s">
        <v>32</v>
      </c>
      <c r="W38" s="2" t="s">
        <v>31</v>
      </c>
      <c r="X38" s="2"/>
      <c r="Y38" s="2"/>
      <c r="Z38" s="2"/>
    </row>
    <row r="39" spans="1:26" x14ac:dyDescent="0.25">
      <c r="A39" s="2"/>
      <c r="B39" s="2">
        <v>38</v>
      </c>
      <c r="C39" s="2" t="s">
        <v>128</v>
      </c>
      <c r="D39" s="2" t="s">
        <v>168</v>
      </c>
      <c r="E39" s="2" t="s">
        <v>169</v>
      </c>
      <c r="F39" s="2" t="s">
        <v>170</v>
      </c>
      <c r="G39" s="2" t="s">
        <v>29</v>
      </c>
      <c r="H39" s="2">
        <v>1</v>
      </c>
      <c r="I39" s="2">
        <v>6</v>
      </c>
      <c r="J39" s="2">
        <v>2</v>
      </c>
      <c r="K39" s="2">
        <v>80</v>
      </c>
      <c r="L39" s="2">
        <v>66.66</v>
      </c>
      <c r="M39" s="2">
        <v>6</v>
      </c>
      <c r="N39" s="2">
        <v>2</v>
      </c>
      <c r="O39" s="2">
        <v>80</v>
      </c>
      <c r="P39" s="2">
        <v>66.66</v>
      </c>
      <c r="Q39" s="2" t="str">
        <f>IF(Tabelle13[[#This Row],[Branch-Coverage nach Reparatur]]&gt;Tabelle13[[#This Row],[Branch-Coverage]],"ja","nein")</f>
        <v>nein</v>
      </c>
      <c r="R39" s="2">
        <f>Tabelle13[[#This Row],[Line-Coverage nach Reparatur]]-Tabelle13[[#This Row],[Line-Coverage]]</f>
        <v>0</v>
      </c>
      <c r="S39" s="2">
        <f>Tabelle13[[#This Row],[Branch-Coverage nach Reparatur]]-Tabelle13[[#This Row],[Branch-Coverage]]</f>
        <v>0</v>
      </c>
      <c r="T39" s="2" t="s">
        <v>32</v>
      </c>
      <c r="U39" s="2" t="s">
        <v>32</v>
      </c>
      <c r="V39" s="2" t="s">
        <v>32</v>
      </c>
      <c r="W39" s="2" t="s">
        <v>31</v>
      </c>
      <c r="X39" s="2"/>
      <c r="Y39" s="2"/>
      <c r="Z39" s="2"/>
    </row>
    <row r="40" spans="1:26" x14ac:dyDescent="0.25">
      <c r="A40" s="2"/>
      <c r="B40" s="2">
        <v>39</v>
      </c>
      <c r="C40" s="2" t="s">
        <v>128</v>
      </c>
      <c r="D40" s="2" t="s">
        <v>171</v>
      </c>
      <c r="E40" s="2" t="s">
        <v>172</v>
      </c>
      <c r="F40" s="2" t="s">
        <v>173</v>
      </c>
      <c r="G40" s="2" t="s">
        <v>29</v>
      </c>
      <c r="H40" s="2">
        <v>2</v>
      </c>
      <c r="I40" s="2">
        <v>9</v>
      </c>
      <c r="J40" s="2">
        <v>7</v>
      </c>
      <c r="K40" s="2">
        <v>100</v>
      </c>
      <c r="L40" s="2">
        <v>100</v>
      </c>
      <c r="M40" s="2">
        <v>9</v>
      </c>
      <c r="N40" s="2">
        <v>7</v>
      </c>
      <c r="O40" s="2">
        <v>100</v>
      </c>
      <c r="P40" s="2">
        <v>100</v>
      </c>
      <c r="Q40" s="2" t="str">
        <f>IF(Tabelle13[[#This Row],[Branch-Coverage nach Reparatur]]&gt;Tabelle13[[#This Row],[Branch-Coverage]],"ja","nein")</f>
        <v>nein</v>
      </c>
      <c r="R40" s="2">
        <f>Tabelle13[[#This Row],[Line-Coverage nach Reparatur]]-Tabelle13[[#This Row],[Line-Coverage]]</f>
        <v>0</v>
      </c>
      <c r="S40" s="2">
        <f>Tabelle13[[#This Row],[Branch-Coverage nach Reparatur]]-Tabelle13[[#This Row],[Branch-Coverage]]</f>
        <v>0</v>
      </c>
      <c r="T40" s="2" t="s">
        <v>32</v>
      </c>
      <c r="U40" s="2" t="s">
        <v>32</v>
      </c>
      <c r="V40" s="2" t="s">
        <v>32</v>
      </c>
      <c r="W40" s="2" t="s">
        <v>31</v>
      </c>
      <c r="X40" s="2"/>
      <c r="Y40" s="2"/>
      <c r="Z40" s="2"/>
    </row>
    <row r="41" spans="1:26" x14ac:dyDescent="0.25">
      <c r="A41" s="2"/>
      <c r="B41" s="2">
        <v>40</v>
      </c>
      <c r="C41" s="2" t="s">
        <v>128</v>
      </c>
      <c r="D41" s="2" t="s">
        <v>175</v>
      </c>
      <c r="E41" s="2" t="s">
        <v>176</v>
      </c>
      <c r="F41" s="2" t="s">
        <v>177</v>
      </c>
      <c r="G41" s="2" t="s">
        <v>29</v>
      </c>
      <c r="H41" s="2">
        <v>1</v>
      </c>
      <c r="I41" s="2">
        <v>11</v>
      </c>
      <c r="J41" s="2">
        <v>9</v>
      </c>
      <c r="K41" s="2">
        <v>100</v>
      </c>
      <c r="L41" s="2">
        <v>100</v>
      </c>
      <c r="M41" s="2">
        <v>11</v>
      </c>
      <c r="N41" s="2">
        <v>11</v>
      </c>
      <c r="O41" s="2">
        <v>100</v>
      </c>
      <c r="P41" s="2">
        <v>100</v>
      </c>
      <c r="Q41" s="2" t="str">
        <f>IF(Tabelle13[[#This Row],[Branch-Coverage nach Reparatur]]&gt;Tabelle13[[#This Row],[Branch-Coverage]],"ja","nein")</f>
        <v>nein</v>
      </c>
      <c r="R41" s="2">
        <f>Tabelle13[[#This Row],[Line-Coverage nach Reparatur]]-Tabelle13[[#This Row],[Line-Coverage]]</f>
        <v>0</v>
      </c>
      <c r="S41" s="2">
        <f>Tabelle13[[#This Row],[Branch-Coverage nach Reparatur]]-Tabelle13[[#This Row],[Branch-Coverage]]</f>
        <v>0</v>
      </c>
      <c r="T41" s="2" t="s">
        <v>32</v>
      </c>
      <c r="U41" s="2"/>
      <c r="V41" s="2"/>
      <c r="W41" s="2" t="s">
        <v>29</v>
      </c>
      <c r="X41" s="2"/>
      <c r="Y41" s="2"/>
      <c r="Z41" s="2"/>
    </row>
    <row r="43" spans="1:26" x14ac:dyDescent="0.25">
      <c r="G43" s="6" t="s">
        <v>179</v>
      </c>
      <c r="M43" t="s">
        <v>231</v>
      </c>
    </row>
    <row r="44" spans="1:26" x14ac:dyDescent="0.25">
      <c r="I44" t="s">
        <v>181</v>
      </c>
    </row>
    <row r="45" spans="1:26" x14ac:dyDescent="0.25">
      <c r="G45" t="s">
        <v>182</v>
      </c>
      <c r="H45">
        <v>40</v>
      </c>
      <c r="I45">
        <f>H45/H50*100</f>
        <v>100</v>
      </c>
      <c r="M45" t="s">
        <v>232</v>
      </c>
    </row>
    <row r="46" spans="1:26" x14ac:dyDescent="0.25">
      <c r="G46" t="s">
        <v>184</v>
      </c>
      <c r="H46">
        <f>COUNTIF(Tabelle13[Anzahl der Kompilierungsversuche], 1)</f>
        <v>30</v>
      </c>
      <c r="I46">
        <f>H46/H50*100</f>
        <v>75</v>
      </c>
    </row>
    <row r="47" spans="1:26" x14ac:dyDescent="0.25">
      <c r="G47" t="s">
        <v>186</v>
      </c>
      <c r="H47">
        <f>COUNTIF(Tabelle13[Anzahl der Kompilierungsversuche],2)</f>
        <v>6</v>
      </c>
      <c r="I47">
        <f>H47/H50*100</f>
        <v>15</v>
      </c>
      <c r="L47" t="s">
        <v>10</v>
      </c>
      <c r="M47" t="s">
        <v>233</v>
      </c>
      <c r="N47" t="s">
        <v>10</v>
      </c>
      <c r="O47" t="s">
        <v>11</v>
      </c>
    </row>
    <row r="48" spans="1:26" x14ac:dyDescent="0.25">
      <c r="G48" t="s">
        <v>188</v>
      </c>
      <c r="H48">
        <f>COUNTIF(Tabelle13[Anzahl der Kompilierungsversuche],3)</f>
        <v>3</v>
      </c>
      <c r="I48">
        <f>H48/H50*100</f>
        <v>7.5</v>
      </c>
      <c r="L48" t="s">
        <v>10</v>
      </c>
      <c r="M48" t="s">
        <v>233</v>
      </c>
      <c r="N48">
        <v>75</v>
      </c>
      <c r="O48">
        <v>50</v>
      </c>
    </row>
    <row r="49" spans="7:15" x14ac:dyDescent="0.25">
      <c r="G49" t="s">
        <v>190</v>
      </c>
      <c r="H49">
        <f>COUNTIF(Tabelle13[Anzahl der Kompilierungsversuche],4)</f>
        <v>1</v>
      </c>
      <c r="I49">
        <f>H49/H50*100</f>
        <v>2.5</v>
      </c>
      <c r="L49" t="s">
        <v>10</v>
      </c>
      <c r="M49" t="s">
        <v>233</v>
      </c>
      <c r="N49">
        <v>100</v>
      </c>
      <c r="O49">
        <v>100</v>
      </c>
    </row>
    <row r="50" spans="7:15" x14ac:dyDescent="0.25">
      <c r="G50" t="s">
        <v>182</v>
      </c>
      <c r="H50">
        <v>40</v>
      </c>
      <c r="L50" t="s">
        <v>10</v>
      </c>
      <c r="M50" t="s">
        <v>233</v>
      </c>
      <c r="N50">
        <v>100</v>
      </c>
      <c r="O50">
        <v>100</v>
      </c>
    </row>
    <row r="51" spans="7:15" x14ac:dyDescent="0.25">
      <c r="L51" t="s">
        <v>10</v>
      </c>
      <c r="M51" t="s">
        <v>233</v>
      </c>
      <c r="N51">
        <v>45.45</v>
      </c>
      <c r="O51">
        <v>16.66</v>
      </c>
    </row>
    <row r="52" spans="7:15" x14ac:dyDescent="0.25">
      <c r="L52" t="s">
        <v>10</v>
      </c>
      <c r="M52" t="s">
        <v>233</v>
      </c>
      <c r="N52">
        <v>75</v>
      </c>
      <c r="O52">
        <v>75</v>
      </c>
    </row>
    <row r="53" spans="7:15" x14ac:dyDescent="0.25">
      <c r="G53" t="s">
        <v>193</v>
      </c>
      <c r="L53" t="s">
        <v>10</v>
      </c>
      <c r="M53" t="s">
        <v>233</v>
      </c>
      <c r="N53">
        <v>100</v>
      </c>
      <c r="O53">
        <v>100</v>
      </c>
    </row>
    <row r="54" spans="7:15" x14ac:dyDescent="0.25">
      <c r="H54" t="s">
        <v>233</v>
      </c>
      <c r="L54" t="s">
        <v>10</v>
      </c>
      <c r="M54" t="s">
        <v>233</v>
      </c>
      <c r="N54">
        <v>100</v>
      </c>
      <c r="O54">
        <v>100</v>
      </c>
    </row>
    <row r="55" spans="7:15" x14ac:dyDescent="0.25">
      <c r="G55" t="s">
        <v>196</v>
      </c>
      <c r="H55">
        <v>75</v>
      </c>
      <c r="L55" t="s">
        <v>10</v>
      </c>
      <c r="M55" t="s">
        <v>233</v>
      </c>
      <c r="N55">
        <v>86.66</v>
      </c>
      <c r="O55">
        <v>87.5</v>
      </c>
    </row>
    <row r="56" spans="7:15" x14ac:dyDescent="0.25">
      <c r="G56" t="s">
        <v>201</v>
      </c>
      <c r="H56">
        <v>15</v>
      </c>
      <c r="L56" t="s">
        <v>10</v>
      </c>
      <c r="M56" t="s">
        <v>233</v>
      </c>
      <c r="N56">
        <v>100</v>
      </c>
      <c r="O56">
        <v>100</v>
      </c>
    </row>
    <row r="57" spans="7:15" x14ac:dyDescent="0.25">
      <c r="G57" t="s">
        <v>202</v>
      </c>
      <c r="H57">
        <v>7.5</v>
      </c>
      <c r="L57" t="s">
        <v>10</v>
      </c>
      <c r="M57" t="s">
        <v>233</v>
      </c>
      <c r="N57">
        <v>100</v>
      </c>
      <c r="O57">
        <v>100</v>
      </c>
    </row>
    <row r="58" spans="7:15" x14ac:dyDescent="0.25">
      <c r="G58" t="s">
        <v>203</v>
      </c>
      <c r="H58">
        <v>2.5</v>
      </c>
      <c r="L58" t="s">
        <v>10</v>
      </c>
      <c r="M58" t="s">
        <v>233</v>
      </c>
      <c r="N58">
        <v>100</v>
      </c>
      <c r="O58">
        <v>100</v>
      </c>
    </row>
    <row r="59" spans="7:15" x14ac:dyDescent="0.25">
      <c r="L59" t="s">
        <v>10</v>
      </c>
      <c r="M59" t="s">
        <v>233</v>
      </c>
      <c r="N59">
        <v>100</v>
      </c>
      <c r="O59">
        <v>100</v>
      </c>
    </row>
    <row r="60" spans="7:15" x14ac:dyDescent="0.25">
      <c r="G60" t="s">
        <v>234</v>
      </c>
      <c r="L60" t="s">
        <v>10</v>
      </c>
      <c r="M60" t="s">
        <v>233</v>
      </c>
      <c r="N60">
        <v>100</v>
      </c>
      <c r="O60">
        <v>100</v>
      </c>
    </row>
    <row r="61" spans="7:15" x14ac:dyDescent="0.25">
      <c r="H61" t="s">
        <v>25</v>
      </c>
      <c r="I61" t="s">
        <v>74</v>
      </c>
      <c r="J61" t="s">
        <v>128</v>
      </c>
      <c r="L61" t="s">
        <v>10</v>
      </c>
      <c r="M61" t="s">
        <v>233</v>
      </c>
      <c r="N61">
        <v>90.9</v>
      </c>
      <c r="O61">
        <v>92.85</v>
      </c>
    </row>
    <row r="62" spans="7:15" x14ac:dyDescent="0.25">
      <c r="G62" t="s">
        <v>205</v>
      </c>
      <c r="H62">
        <f>COUNTIFS(Tabelle13[Project],"Humanizer")</f>
        <v>12</v>
      </c>
      <c r="I62">
        <f>COUNTIFS(Tabelle13[Project],"FluentValidation")</f>
        <v>14</v>
      </c>
      <c r="J62">
        <f>COUNTIFS(Tabelle13[Project],"MathNet Numerics")</f>
        <v>14</v>
      </c>
      <c r="L62" t="s">
        <v>10</v>
      </c>
      <c r="M62" t="s">
        <v>233</v>
      </c>
      <c r="N62">
        <v>50</v>
      </c>
      <c r="O62">
        <v>50</v>
      </c>
    </row>
    <row r="63" spans="7:15" x14ac:dyDescent="0.25">
      <c r="G63" t="s">
        <v>184</v>
      </c>
      <c r="H63">
        <f>COUNTIFS(Tabelle13[Anzahl der Kompilierungsversuche],1,Tabelle13[Project],"Humanizer")</f>
        <v>8</v>
      </c>
      <c r="I63">
        <f>COUNTIFS(Tabelle13[Anzahl der Kompilierungsversuche],1,Tabelle13[Project],"FluentValidation")</f>
        <v>10</v>
      </c>
      <c r="J63">
        <f>COUNTIFS(Tabelle13[Anzahl der Kompilierungsversuche],1,Tabelle13[Project],"MathNet Numerics")</f>
        <v>12</v>
      </c>
      <c r="L63" t="s">
        <v>11</v>
      </c>
      <c r="M63" t="s">
        <v>233</v>
      </c>
      <c r="N63">
        <v>100</v>
      </c>
      <c r="O63">
        <v>100</v>
      </c>
    </row>
    <row r="64" spans="7:15" x14ac:dyDescent="0.25">
      <c r="G64" t="s">
        <v>186</v>
      </c>
      <c r="H64">
        <f>COUNTIFS(Tabelle13[Anzahl der Kompilierungsversuche],2,Tabelle13[Project],"Humanizer")</f>
        <v>3</v>
      </c>
      <c r="I64">
        <f>COUNTIFS(Tabelle13[Anzahl der Kompilierungsversuche],2,Tabelle13[Project],"FluentValidation")</f>
        <v>2</v>
      </c>
      <c r="J64">
        <f>COUNTIFS(Tabelle13[Anzahl der Kompilierungsversuche],2,Tabelle13[Project],"MathNet Numerics")</f>
        <v>1</v>
      </c>
      <c r="L64" t="s">
        <v>11</v>
      </c>
      <c r="M64" t="s">
        <v>233</v>
      </c>
      <c r="N64">
        <v>100</v>
      </c>
      <c r="O64">
        <v>100</v>
      </c>
    </row>
    <row r="65" spans="7:15" x14ac:dyDescent="0.25">
      <c r="G65" t="s">
        <v>188</v>
      </c>
      <c r="H65">
        <f>COUNTIFS(Tabelle13[Anzahl der Kompilierungsversuche],3,Tabelle13[Project],"Humanizer")</f>
        <v>1</v>
      </c>
      <c r="I65">
        <f>COUNTIFS(Tabelle13[Anzahl der Kompilierungsversuche],3,Tabelle13[Project],"FluentValidation")</f>
        <v>1</v>
      </c>
      <c r="J65">
        <f>COUNTIFS(Tabelle13[Anzahl der Kompilierungsversuche],3,Tabelle13[Project],"MathNet Numerics")</f>
        <v>1</v>
      </c>
      <c r="L65" t="s">
        <v>11</v>
      </c>
      <c r="M65" t="s">
        <v>233</v>
      </c>
      <c r="N65">
        <v>0</v>
      </c>
      <c r="O65">
        <v>0</v>
      </c>
    </row>
    <row r="66" spans="7:15" x14ac:dyDescent="0.25">
      <c r="G66" t="s">
        <v>190</v>
      </c>
      <c r="H66">
        <f>COUNTIFS(Tabelle13[Anzahl der Kompilierungsversuche],4,Tabelle13[Project],"Humanizer")</f>
        <v>0</v>
      </c>
      <c r="I66">
        <f>COUNTIFS(Tabelle13[Anzahl der Kompilierungsversuche],4,Tabelle13[Project],"FluentValidation")</f>
        <v>1</v>
      </c>
      <c r="J66">
        <f>COUNTIFS(Tabelle13[Anzahl der Kompilierungsversuche],4,Tabelle13[Project],"MathNet Numerics")</f>
        <v>0</v>
      </c>
      <c r="L66" t="s">
        <v>11</v>
      </c>
      <c r="M66" t="s">
        <v>233</v>
      </c>
      <c r="N66">
        <v>0</v>
      </c>
      <c r="O66">
        <v>0</v>
      </c>
    </row>
    <row r="67" spans="7:15" x14ac:dyDescent="0.25">
      <c r="L67" t="s">
        <v>11</v>
      </c>
      <c r="M67" t="s">
        <v>233</v>
      </c>
      <c r="N67">
        <v>93.75</v>
      </c>
      <c r="O67">
        <v>77.77</v>
      </c>
    </row>
    <row r="68" spans="7:15" x14ac:dyDescent="0.25">
      <c r="G68" t="s">
        <v>235</v>
      </c>
      <c r="L68" t="s">
        <v>11</v>
      </c>
      <c r="M68" t="s">
        <v>233</v>
      </c>
      <c r="N68">
        <v>81.81</v>
      </c>
      <c r="O68">
        <v>72.72</v>
      </c>
    </row>
    <row r="69" spans="7:15" x14ac:dyDescent="0.25">
      <c r="H69" t="s">
        <v>25</v>
      </c>
      <c r="I69" t="s">
        <v>74</v>
      </c>
      <c r="J69" t="s">
        <v>128</v>
      </c>
      <c r="K69" s="7"/>
      <c r="L69" t="s">
        <v>11</v>
      </c>
      <c r="M69" t="s">
        <v>233</v>
      </c>
      <c r="N69">
        <v>93.75</v>
      </c>
      <c r="O69">
        <v>70</v>
      </c>
    </row>
    <row r="70" spans="7:15" x14ac:dyDescent="0.25">
      <c r="G70" t="s">
        <v>207</v>
      </c>
      <c r="H70">
        <f>H63/H62*100</f>
        <v>66.666666666666657</v>
      </c>
      <c r="I70">
        <f>I63/I62*100</f>
        <v>71.428571428571431</v>
      </c>
      <c r="J70">
        <f>J63/J62*100</f>
        <v>85.714285714285708</v>
      </c>
      <c r="L70" t="s">
        <v>11</v>
      </c>
      <c r="M70" t="s">
        <v>233</v>
      </c>
      <c r="N70">
        <v>70.959999999999994</v>
      </c>
      <c r="O70">
        <v>65.38</v>
      </c>
    </row>
    <row r="71" spans="7:15" x14ac:dyDescent="0.25">
      <c r="G71" t="s">
        <v>208</v>
      </c>
      <c r="H71">
        <f>H64/H62*100</f>
        <v>25</v>
      </c>
      <c r="I71">
        <f>I64/I62*100</f>
        <v>14.285714285714285</v>
      </c>
      <c r="J71">
        <f>J64/J62*100</f>
        <v>7.1428571428571423</v>
      </c>
      <c r="L71" t="s">
        <v>11</v>
      </c>
      <c r="M71" t="s">
        <v>233</v>
      </c>
      <c r="N71">
        <v>100</v>
      </c>
      <c r="O71">
        <v>100</v>
      </c>
    </row>
    <row r="72" spans="7:15" x14ac:dyDescent="0.25">
      <c r="G72" t="s">
        <v>209</v>
      </c>
      <c r="H72">
        <f>H65/H62*100</f>
        <v>8.3333333333333321</v>
      </c>
      <c r="I72">
        <f>I65/I62*100</f>
        <v>7.1428571428571423</v>
      </c>
      <c r="J72">
        <f>J65/J62*100</f>
        <v>7.1428571428571423</v>
      </c>
      <c r="L72" t="s">
        <v>11</v>
      </c>
      <c r="M72" t="s">
        <v>233</v>
      </c>
      <c r="N72">
        <v>100</v>
      </c>
      <c r="O72">
        <v>100</v>
      </c>
    </row>
    <row r="73" spans="7:15" x14ac:dyDescent="0.25">
      <c r="G73" t="s">
        <v>210</v>
      </c>
      <c r="H73">
        <f>H66/H62*100</f>
        <v>0</v>
      </c>
      <c r="I73">
        <f>I66/I62*100</f>
        <v>7.1428571428571423</v>
      </c>
      <c r="J73">
        <f>J66/J62*100</f>
        <v>0</v>
      </c>
      <c r="L73" t="s">
        <v>11</v>
      </c>
      <c r="M73" t="s">
        <v>233</v>
      </c>
      <c r="N73">
        <v>87.5</v>
      </c>
      <c r="O73">
        <v>81.569999999999993</v>
      </c>
    </row>
    <row r="74" spans="7:15" x14ac:dyDescent="0.25">
      <c r="G74" t="s">
        <v>191</v>
      </c>
      <c r="H74">
        <f>SUM(H70:H73)</f>
        <v>99.999999999999986</v>
      </c>
      <c r="I74">
        <f t="shared" ref="I74:J74" si="0">SUM(I70:I73)</f>
        <v>100</v>
      </c>
      <c r="J74">
        <f t="shared" si="0"/>
        <v>99.999999999999986</v>
      </c>
      <c r="L74" t="s">
        <v>11</v>
      </c>
      <c r="M74" t="s">
        <v>233</v>
      </c>
      <c r="N74">
        <v>94.11</v>
      </c>
      <c r="O74">
        <v>80</v>
      </c>
    </row>
    <row r="75" spans="7:15" x14ac:dyDescent="0.25">
      <c r="L75" t="s">
        <v>11</v>
      </c>
      <c r="M75" t="s">
        <v>233</v>
      </c>
      <c r="N75">
        <v>94.44</v>
      </c>
      <c r="O75">
        <v>87.5</v>
      </c>
    </row>
    <row r="76" spans="7:15" x14ac:dyDescent="0.25">
      <c r="L76" t="s">
        <v>11</v>
      </c>
      <c r="M76" t="s">
        <v>233</v>
      </c>
      <c r="N76">
        <v>100</v>
      </c>
      <c r="O76">
        <v>100</v>
      </c>
    </row>
    <row r="77" spans="7:15" x14ac:dyDescent="0.25">
      <c r="L77" t="s">
        <v>11</v>
      </c>
      <c r="M77" t="s">
        <v>233</v>
      </c>
      <c r="N77">
        <v>92.1</v>
      </c>
      <c r="O77">
        <v>83.33</v>
      </c>
    </row>
    <row r="78" spans="7:15" x14ac:dyDescent="0.25">
      <c r="L78" t="s">
        <v>10</v>
      </c>
      <c r="M78" t="s">
        <v>236</v>
      </c>
      <c r="N78">
        <v>89.65</v>
      </c>
      <c r="O78">
        <v>85.48</v>
      </c>
    </row>
    <row r="79" spans="7:15" x14ac:dyDescent="0.25">
      <c r="L79" t="s">
        <v>10</v>
      </c>
      <c r="M79" t="s">
        <v>236</v>
      </c>
      <c r="N79">
        <v>39.21</v>
      </c>
      <c r="O79">
        <v>54.16</v>
      </c>
    </row>
    <row r="80" spans="7:15" x14ac:dyDescent="0.25">
      <c r="L80" t="s">
        <v>10</v>
      </c>
      <c r="M80" t="s">
        <v>236</v>
      </c>
      <c r="N80">
        <v>94.11</v>
      </c>
      <c r="O80">
        <v>85</v>
      </c>
    </row>
    <row r="81" spans="12:15" x14ac:dyDescent="0.25">
      <c r="L81" t="s">
        <v>10</v>
      </c>
      <c r="M81" t="s">
        <v>236</v>
      </c>
      <c r="N81">
        <v>93.33</v>
      </c>
      <c r="O81">
        <v>87.5</v>
      </c>
    </row>
    <row r="82" spans="12:15" x14ac:dyDescent="0.25">
      <c r="L82" t="s">
        <v>10</v>
      </c>
      <c r="M82" t="s">
        <v>236</v>
      </c>
      <c r="N82">
        <v>100</v>
      </c>
      <c r="O82">
        <v>100</v>
      </c>
    </row>
    <row r="83" spans="12:15" x14ac:dyDescent="0.25">
      <c r="L83" t="s">
        <v>11</v>
      </c>
      <c r="M83" t="s">
        <v>236</v>
      </c>
      <c r="N83">
        <v>100</v>
      </c>
      <c r="O83">
        <v>100</v>
      </c>
    </row>
    <row r="84" spans="12:15" x14ac:dyDescent="0.25">
      <c r="L84" t="s">
        <v>11</v>
      </c>
      <c r="M84" t="s">
        <v>236</v>
      </c>
      <c r="N84">
        <v>100</v>
      </c>
      <c r="O84">
        <v>100</v>
      </c>
    </row>
    <row r="85" spans="12:15" x14ac:dyDescent="0.25">
      <c r="L85" t="s">
        <v>11</v>
      </c>
      <c r="M85" t="s">
        <v>236</v>
      </c>
      <c r="N85">
        <v>80</v>
      </c>
      <c r="O85">
        <v>66.66</v>
      </c>
    </row>
    <row r="86" spans="12:15" x14ac:dyDescent="0.25">
      <c r="L86" t="s">
        <v>11</v>
      </c>
      <c r="M86" t="s">
        <v>236</v>
      </c>
      <c r="N86">
        <v>100</v>
      </c>
      <c r="O86">
        <v>100</v>
      </c>
    </row>
    <row r="87" spans="12:15" x14ac:dyDescent="0.25">
      <c r="L87" t="s">
        <v>11</v>
      </c>
      <c r="M87" t="s">
        <v>236</v>
      </c>
      <c r="N87">
        <v>100</v>
      </c>
      <c r="O87">
        <v>100</v>
      </c>
    </row>
    <row r="93" spans="12:15" x14ac:dyDescent="0.25">
      <c r="L93" t="s">
        <v>237</v>
      </c>
    </row>
    <row r="95" spans="12:15" x14ac:dyDescent="0.25">
      <c r="L95" t="s">
        <v>183</v>
      </c>
      <c r="M95">
        <f>COUNTIFS(Tabelle13[Compiliert (ja/nein)],"ja",Tabelle13[Branch-Coverage],100)</f>
        <v>19</v>
      </c>
    </row>
    <row r="96" spans="12:15" x14ac:dyDescent="0.25">
      <c r="L96" t="s">
        <v>185</v>
      </c>
      <c r="M96">
        <f>COUNTIFS(Tabelle13[Verbessert?],"ja")</f>
        <v>5</v>
      </c>
    </row>
    <row r="97" spans="11:16" x14ac:dyDescent="0.25">
      <c r="L97" t="s">
        <v>238</v>
      </c>
      <c r="M97">
        <v>0</v>
      </c>
    </row>
    <row r="98" spans="11:16" x14ac:dyDescent="0.25">
      <c r="L98" t="s">
        <v>221</v>
      </c>
      <c r="M98">
        <v>16</v>
      </c>
    </row>
    <row r="99" spans="11:16" x14ac:dyDescent="0.25">
      <c r="M99">
        <f>SUM(M95:M98)</f>
        <v>40</v>
      </c>
    </row>
    <row r="102" spans="11:16" x14ac:dyDescent="0.25">
      <c r="L102" t="s">
        <v>195</v>
      </c>
    </row>
    <row r="103" spans="11:16" x14ac:dyDescent="0.25">
      <c r="K103" t="s">
        <v>239</v>
      </c>
      <c r="L103" t="s">
        <v>1</v>
      </c>
      <c r="M103" t="s">
        <v>197</v>
      </c>
      <c r="N103" t="s">
        <v>198</v>
      </c>
      <c r="O103" t="s">
        <v>199</v>
      </c>
      <c r="P103" t="s">
        <v>200</v>
      </c>
    </row>
    <row r="104" spans="11:16" x14ac:dyDescent="0.25">
      <c r="K104" t="s">
        <v>233</v>
      </c>
      <c r="L104">
        <v>4</v>
      </c>
      <c r="M104">
        <v>45.45</v>
      </c>
      <c r="N104">
        <v>16.66</v>
      </c>
      <c r="O104">
        <v>100</v>
      </c>
      <c r="P104">
        <v>100</v>
      </c>
    </row>
    <row r="105" spans="11:16" x14ac:dyDescent="0.25">
      <c r="K105" t="s">
        <v>233</v>
      </c>
      <c r="L105">
        <v>15</v>
      </c>
      <c r="M105">
        <v>50</v>
      </c>
      <c r="N105">
        <v>50</v>
      </c>
      <c r="O105">
        <v>100</v>
      </c>
      <c r="P105">
        <v>100</v>
      </c>
    </row>
    <row r="106" spans="11:16" x14ac:dyDescent="0.25">
      <c r="K106" t="s">
        <v>233</v>
      </c>
      <c r="L106">
        <v>20</v>
      </c>
      <c r="M106">
        <v>93.75</v>
      </c>
      <c r="N106">
        <v>77.77</v>
      </c>
      <c r="O106">
        <v>100</v>
      </c>
      <c r="P106">
        <v>94.44</v>
      </c>
    </row>
    <row r="107" spans="11:16" x14ac:dyDescent="0.25">
      <c r="K107" t="s">
        <v>233</v>
      </c>
      <c r="L107">
        <v>30</v>
      </c>
      <c r="M107">
        <v>92.1</v>
      </c>
      <c r="N107">
        <v>83.33</v>
      </c>
      <c r="O107">
        <v>94.73</v>
      </c>
      <c r="P107">
        <v>87.5</v>
      </c>
    </row>
    <row r="108" spans="11:16" x14ac:dyDescent="0.25">
      <c r="K108" t="s">
        <v>233</v>
      </c>
      <c r="L108">
        <v>32</v>
      </c>
      <c r="M108">
        <v>39.21</v>
      </c>
      <c r="N108">
        <v>54.16</v>
      </c>
      <c r="O108">
        <v>96.07</v>
      </c>
      <c r="P108">
        <v>83.33</v>
      </c>
    </row>
  </sheetData>
  <phoneticPr fontId="2" type="noConversion"/>
  <hyperlinks>
    <hyperlink ref="D21" r:id="rId1" location="L38" xr:uid="{A2BCDB92-A297-40D1-BCFF-E505454318AE}"/>
    <hyperlink ref="D8" r:id="rId2" location="L108" xr:uid="{F2857044-3CEA-47DE-8855-E15287E830ED}"/>
    <hyperlink ref="D29" r:id="rId3" location="L646" xr:uid="{4DF05EFB-D98D-4E3D-A787-4B8511B3AC40}"/>
    <hyperlink ref="D28" r:id="rId4" location="L221" xr:uid="{2A4DF843-EA51-44FF-807D-348375E9DF1D}"/>
    <hyperlink ref="D12" r:id="rId5" location="L52" xr:uid="{47CB55EA-8DD8-4A41-99E3-85A62869EDC3}"/>
    <hyperlink ref="D13" r:id="rId6" location="L11" xr:uid="{EB105335-D960-4213-94D7-F1D668CFD439}"/>
    <hyperlink ref="D24" r:id="rId7" location="L56" xr:uid="{B8E13259-00DA-48A6-993A-FBADD9A8D03F}"/>
  </hyperlinks>
  <pageMargins left="0.7" right="0.7" top="0.75" bottom="0.75" header="0.3" footer="0.3"/>
  <drawing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6342-DF95-4630-AA81-0E48B7E5118B}">
  <dimension ref="A2:AO164"/>
  <sheetViews>
    <sheetView topLeftCell="R1" zoomScale="85" zoomScaleNormal="85" workbookViewId="0">
      <selection activeCell="AJ52" sqref="AJ52"/>
    </sheetView>
  </sheetViews>
  <sheetFormatPr baseColWidth="10" defaultColWidth="11.42578125" defaultRowHeight="15" x14ac:dyDescent="0.25"/>
  <cols>
    <col min="1" max="1" width="73.85546875" bestFit="1" customWidth="1"/>
    <col min="2" max="2" width="19" bestFit="1" customWidth="1"/>
    <col min="3" max="3" width="27.7109375" bestFit="1" customWidth="1"/>
    <col min="4" max="6" width="11.7109375" bestFit="1" customWidth="1"/>
    <col min="20" max="20" width="28" customWidth="1"/>
    <col min="27" max="27" width="31.5703125" customWidth="1"/>
    <col min="28" max="28" width="19.85546875" bestFit="1" customWidth="1"/>
    <col min="30" max="30" width="25.5703125" bestFit="1" customWidth="1"/>
    <col min="33" max="33" width="19.140625" bestFit="1" customWidth="1"/>
    <col min="34" max="34" width="19.85546875" bestFit="1" customWidth="1"/>
  </cols>
  <sheetData>
    <row r="2" spans="1:30" x14ac:dyDescent="0.25">
      <c r="Y2" s="8" t="s">
        <v>240</v>
      </c>
    </row>
    <row r="4" spans="1:30" x14ac:dyDescent="0.25">
      <c r="A4" s="8" t="s">
        <v>241</v>
      </c>
      <c r="Y4" t="s">
        <v>242</v>
      </c>
    </row>
    <row r="7" spans="1:30" x14ac:dyDescent="0.25">
      <c r="B7" t="s">
        <v>233</v>
      </c>
      <c r="C7" t="s">
        <v>243</v>
      </c>
      <c r="D7" t="s">
        <v>244</v>
      </c>
      <c r="AA7" t="s">
        <v>1</v>
      </c>
      <c r="AB7" t="s">
        <v>239</v>
      </c>
      <c r="AC7" t="s">
        <v>10</v>
      </c>
      <c r="AD7" t="s">
        <v>11</v>
      </c>
    </row>
    <row r="8" spans="1:30" x14ac:dyDescent="0.25">
      <c r="A8" t="s">
        <v>245</v>
      </c>
      <c r="B8">
        <v>75</v>
      </c>
      <c r="C8">
        <v>70</v>
      </c>
      <c r="D8">
        <v>12.5</v>
      </c>
      <c r="AA8">
        <v>1</v>
      </c>
      <c r="AB8" t="s">
        <v>233</v>
      </c>
      <c r="AC8">
        <v>75</v>
      </c>
      <c r="AD8">
        <v>50</v>
      </c>
    </row>
    <row r="9" spans="1:30" x14ac:dyDescent="0.25">
      <c r="A9" t="s">
        <v>201</v>
      </c>
      <c r="B9">
        <v>15</v>
      </c>
      <c r="C9">
        <v>22.5</v>
      </c>
      <c r="D9">
        <v>10</v>
      </c>
      <c r="AA9">
        <v>2</v>
      </c>
      <c r="AB9" t="s">
        <v>233</v>
      </c>
      <c r="AC9">
        <v>100</v>
      </c>
      <c r="AD9">
        <v>100</v>
      </c>
    </row>
    <row r="10" spans="1:30" x14ac:dyDescent="0.25">
      <c r="A10" t="s">
        <v>246</v>
      </c>
      <c r="B10">
        <v>7.5</v>
      </c>
      <c r="C10">
        <v>5</v>
      </c>
      <c r="D10">
        <v>5</v>
      </c>
      <c r="AA10">
        <v>3</v>
      </c>
      <c r="AB10" t="s">
        <v>233</v>
      </c>
      <c r="AC10">
        <v>100</v>
      </c>
      <c r="AD10">
        <v>100</v>
      </c>
    </row>
    <row r="11" spans="1:30" x14ac:dyDescent="0.25">
      <c r="A11" t="s">
        <v>247</v>
      </c>
      <c r="B11">
        <v>2.5</v>
      </c>
      <c r="C11">
        <v>0</v>
      </c>
      <c r="D11">
        <v>2.5</v>
      </c>
      <c r="AA11">
        <v>4</v>
      </c>
      <c r="AB11" t="s">
        <v>233</v>
      </c>
      <c r="AC11">
        <v>45.45</v>
      </c>
      <c r="AD11">
        <v>16.66</v>
      </c>
    </row>
    <row r="12" spans="1:30" x14ac:dyDescent="0.25">
      <c r="AA12">
        <v>5</v>
      </c>
      <c r="AB12" t="s">
        <v>233</v>
      </c>
      <c r="AC12">
        <v>75</v>
      </c>
      <c r="AD12">
        <v>75</v>
      </c>
    </row>
    <row r="13" spans="1:30" x14ac:dyDescent="0.25">
      <c r="AA13">
        <v>6</v>
      </c>
      <c r="AB13" t="s">
        <v>233</v>
      </c>
      <c r="AC13">
        <v>100</v>
      </c>
      <c r="AD13">
        <v>100</v>
      </c>
    </row>
    <row r="14" spans="1:30" x14ac:dyDescent="0.25">
      <c r="AA14">
        <v>7</v>
      </c>
      <c r="AB14" t="s">
        <v>233</v>
      </c>
      <c r="AC14">
        <v>100</v>
      </c>
      <c r="AD14">
        <v>100</v>
      </c>
    </row>
    <row r="15" spans="1:30" x14ac:dyDescent="0.25">
      <c r="AA15">
        <v>8</v>
      </c>
      <c r="AB15" t="s">
        <v>233</v>
      </c>
      <c r="AC15">
        <v>86.66</v>
      </c>
      <c r="AD15">
        <v>87.5</v>
      </c>
    </row>
    <row r="16" spans="1:30" x14ac:dyDescent="0.25">
      <c r="AA16">
        <v>9</v>
      </c>
      <c r="AB16" t="s">
        <v>233</v>
      </c>
      <c r="AC16">
        <v>100</v>
      </c>
      <c r="AD16">
        <v>100</v>
      </c>
    </row>
    <row r="17" spans="1:30" x14ac:dyDescent="0.25">
      <c r="AA17">
        <v>10</v>
      </c>
      <c r="AB17" t="s">
        <v>233</v>
      </c>
      <c r="AC17">
        <v>100</v>
      </c>
      <c r="AD17">
        <v>100</v>
      </c>
    </row>
    <row r="18" spans="1:30" x14ac:dyDescent="0.25">
      <c r="AA18">
        <v>11</v>
      </c>
      <c r="AB18" t="s">
        <v>233</v>
      </c>
      <c r="AC18">
        <v>100</v>
      </c>
      <c r="AD18">
        <v>100</v>
      </c>
    </row>
    <row r="19" spans="1:30" x14ac:dyDescent="0.25">
      <c r="AA19">
        <v>12</v>
      </c>
      <c r="AB19" t="s">
        <v>233</v>
      </c>
      <c r="AC19">
        <v>100</v>
      </c>
      <c r="AD19">
        <v>100</v>
      </c>
    </row>
    <row r="20" spans="1:30" x14ac:dyDescent="0.25">
      <c r="AA20">
        <v>13</v>
      </c>
      <c r="AB20" t="s">
        <v>233</v>
      </c>
      <c r="AC20">
        <v>100</v>
      </c>
      <c r="AD20">
        <v>100</v>
      </c>
    </row>
    <row r="21" spans="1:30" x14ac:dyDescent="0.25">
      <c r="A21" t="s">
        <v>248</v>
      </c>
      <c r="G21" t="s">
        <v>191</v>
      </c>
      <c r="AA21">
        <v>14</v>
      </c>
      <c r="AB21" t="s">
        <v>233</v>
      </c>
      <c r="AC21">
        <v>90.9</v>
      </c>
      <c r="AD21">
        <v>92.85</v>
      </c>
    </row>
    <row r="22" spans="1:30" x14ac:dyDescent="0.25">
      <c r="C22" t="s">
        <v>245</v>
      </c>
      <c r="D22" t="s">
        <v>201</v>
      </c>
      <c r="E22" t="s">
        <v>246</v>
      </c>
      <c r="F22" t="s">
        <v>247</v>
      </c>
      <c r="AA22">
        <v>15</v>
      </c>
      <c r="AB22" t="s">
        <v>233</v>
      </c>
      <c r="AC22">
        <v>50</v>
      </c>
      <c r="AD22">
        <v>50</v>
      </c>
    </row>
    <row r="23" spans="1:30" x14ac:dyDescent="0.25">
      <c r="A23" t="s">
        <v>25</v>
      </c>
      <c r="B23" t="s">
        <v>233</v>
      </c>
      <c r="C23" s="9">
        <v>66.666666666666657</v>
      </c>
      <c r="D23" s="9">
        <v>25</v>
      </c>
      <c r="E23" s="9">
        <v>8.3333333333333321</v>
      </c>
      <c r="F23" s="9">
        <v>0</v>
      </c>
      <c r="G23">
        <f>SUM(C23:F23)</f>
        <v>99.999999999999986</v>
      </c>
      <c r="AA23">
        <v>16</v>
      </c>
      <c r="AB23" t="s">
        <v>233</v>
      </c>
      <c r="AC23">
        <v>100</v>
      </c>
      <c r="AD23">
        <v>100</v>
      </c>
    </row>
    <row r="24" spans="1:30" x14ac:dyDescent="0.25">
      <c r="B24" t="s">
        <v>243</v>
      </c>
      <c r="C24" s="9">
        <v>83.333333333333343</v>
      </c>
      <c r="D24" s="9">
        <v>16.666666666666664</v>
      </c>
      <c r="E24" s="9">
        <v>0</v>
      </c>
      <c r="F24" s="9">
        <v>0</v>
      </c>
      <c r="G24">
        <f t="shared" ref="G24:G30" si="0">SUM(C24:F24)</f>
        <v>100</v>
      </c>
      <c r="AA24">
        <v>17</v>
      </c>
      <c r="AB24" t="s">
        <v>233</v>
      </c>
      <c r="AC24">
        <v>100</v>
      </c>
      <c r="AD24">
        <v>100</v>
      </c>
    </row>
    <row r="25" spans="1:30" x14ac:dyDescent="0.25">
      <c r="B25" t="s">
        <v>244</v>
      </c>
      <c r="C25" s="9">
        <v>8.3333333333333321</v>
      </c>
      <c r="D25" s="9">
        <v>8.3333333333333321</v>
      </c>
      <c r="E25" s="9">
        <v>8.3333333333333321</v>
      </c>
      <c r="F25" s="9">
        <v>8.3333333333333321</v>
      </c>
      <c r="G25">
        <f>SUM(C25:F25)</f>
        <v>33.333333333333329</v>
      </c>
      <c r="AA25">
        <v>18</v>
      </c>
      <c r="AB25" t="s">
        <v>233</v>
      </c>
      <c r="AC25">
        <v>0</v>
      </c>
      <c r="AD25">
        <v>0</v>
      </c>
    </row>
    <row r="26" spans="1:30" x14ac:dyDescent="0.25">
      <c r="A26" t="s">
        <v>74</v>
      </c>
      <c r="B26" t="s">
        <v>233</v>
      </c>
      <c r="C26" s="9">
        <v>71.428571428571431</v>
      </c>
      <c r="D26" s="9">
        <v>14.285714285714285</v>
      </c>
      <c r="E26" s="9">
        <v>7.1428571428571423</v>
      </c>
      <c r="F26" s="9">
        <v>7.1428571428571423</v>
      </c>
      <c r="G26">
        <f t="shared" si="0"/>
        <v>100</v>
      </c>
      <c r="AA26">
        <v>19</v>
      </c>
      <c r="AB26" t="s">
        <v>233</v>
      </c>
      <c r="AC26">
        <v>0</v>
      </c>
      <c r="AD26">
        <v>0</v>
      </c>
    </row>
    <row r="27" spans="1:30" x14ac:dyDescent="0.25">
      <c r="B27" t="s">
        <v>224</v>
      </c>
      <c r="C27" s="9">
        <v>64.285714285714292</v>
      </c>
      <c r="D27" s="9">
        <v>21.428571428571427</v>
      </c>
      <c r="E27" s="9">
        <v>7.1428571428571423</v>
      </c>
      <c r="F27" s="9">
        <v>0</v>
      </c>
      <c r="G27">
        <f>SUM(C27:F27)</f>
        <v>92.857142857142861</v>
      </c>
      <c r="AA27">
        <v>20</v>
      </c>
      <c r="AB27" t="s">
        <v>233</v>
      </c>
      <c r="AC27">
        <v>93.75</v>
      </c>
      <c r="AD27">
        <v>77.77</v>
      </c>
    </row>
    <row r="28" spans="1:30" x14ac:dyDescent="0.25">
      <c r="B28" t="s">
        <v>244</v>
      </c>
      <c r="C28" s="9">
        <v>0</v>
      </c>
      <c r="D28" s="9">
        <v>0</v>
      </c>
      <c r="E28" s="9">
        <v>0</v>
      </c>
      <c r="F28" s="9">
        <v>0</v>
      </c>
      <c r="G28">
        <f>SUM(C28:F28)</f>
        <v>0</v>
      </c>
      <c r="AA28">
        <v>21</v>
      </c>
      <c r="AB28" t="s">
        <v>233</v>
      </c>
      <c r="AC28">
        <v>81.81</v>
      </c>
      <c r="AD28">
        <v>72.72</v>
      </c>
    </row>
    <row r="29" spans="1:30" x14ac:dyDescent="0.25">
      <c r="A29" t="s">
        <v>128</v>
      </c>
      <c r="B29" t="s">
        <v>233</v>
      </c>
      <c r="C29" s="9">
        <v>85.714285714285708</v>
      </c>
      <c r="D29" s="9">
        <v>7.1428571428571423</v>
      </c>
      <c r="E29" s="9">
        <v>7.1428571428571423</v>
      </c>
      <c r="F29" s="9">
        <v>0</v>
      </c>
      <c r="G29">
        <f t="shared" si="0"/>
        <v>99.999999999999986</v>
      </c>
      <c r="AA29">
        <v>22</v>
      </c>
      <c r="AB29" t="s">
        <v>233</v>
      </c>
      <c r="AC29">
        <v>93.75</v>
      </c>
      <c r="AD29">
        <v>70</v>
      </c>
    </row>
    <row r="30" spans="1:30" x14ac:dyDescent="0.25">
      <c r="B30" t="s">
        <v>224</v>
      </c>
      <c r="C30" s="9">
        <v>64.285714285714292</v>
      </c>
      <c r="D30" s="9">
        <v>28.571428571428569</v>
      </c>
      <c r="E30" s="9">
        <v>7.1428571428571423</v>
      </c>
      <c r="F30" s="9">
        <v>0</v>
      </c>
      <c r="G30">
        <f t="shared" si="0"/>
        <v>100</v>
      </c>
      <c r="AA30">
        <v>23</v>
      </c>
      <c r="AB30" t="s">
        <v>233</v>
      </c>
      <c r="AC30">
        <v>70.959999999999994</v>
      </c>
      <c r="AD30">
        <v>65.38</v>
      </c>
    </row>
    <row r="31" spans="1:30" x14ac:dyDescent="0.25">
      <c r="B31" t="s">
        <v>244</v>
      </c>
      <c r="C31" s="9">
        <v>28.571428571428569</v>
      </c>
      <c r="D31" s="9">
        <v>21.428571428571427</v>
      </c>
      <c r="E31" s="9">
        <v>7.1428571428571423</v>
      </c>
      <c r="F31" s="9">
        <v>0</v>
      </c>
      <c r="G31">
        <f>SUM(C31:F31)</f>
        <v>57.142857142857139</v>
      </c>
      <c r="AA31">
        <v>24</v>
      </c>
      <c r="AB31" t="s">
        <v>233</v>
      </c>
      <c r="AC31">
        <v>100</v>
      </c>
      <c r="AD31">
        <v>100</v>
      </c>
    </row>
    <row r="32" spans="1:30" x14ac:dyDescent="0.25">
      <c r="AA32">
        <v>25</v>
      </c>
      <c r="AB32" t="s">
        <v>233</v>
      </c>
      <c r="AC32">
        <v>100</v>
      </c>
      <c r="AD32">
        <v>100</v>
      </c>
    </row>
    <row r="33" spans="27:41" x14ac:dyDescent="0.25">
      <c r="AA33">
        <v>26</v>
      </c>
      <c r="AB33" t="s">
        <v>233</v>
      </c>
      <c r="AC33">
        <v>87.5</v>
      </c>
      <c r="AD33">
        <v>81.569999999999993</v>
      </c>
      <c r="AH33" t="s">
        <v>233</v>
      </c>
      <c r="AI33" t="s">
        <v>233</v>
      </c>
      <c r="AK33" t="s">
        <v>236</v>
      </c>
      <c r="AL33" t="s">
        <v>236</v>
      </c>
      <c r="AN33" t="s">
        <v>249</v>
      </c>
      <c r="AO33" t="s">
        <v>249</v>
      </c>
    </row>
    <row r="34" spans="27:41" x14ac:dyDescent="0.25">
      <c r="AA34">
        <v>27</v>
      </c>
      <c r="AB34" t="s">
        <v>233</v>
      </c>
      <c r="AC34">
        <v>94.11</v>
      </c>
      <c r="AD34">
        <v>80</v>
      </c>
      <c r="AH34" t="s">
        <v>250</v>
      </c>
      <c r="AI34" t="s">
        <v>198</v>
      </c>
      <c r="AK34" t="s">
        <v>250</v>
      </c>
      <c r="AL34" t="s">
        <v>198</v>
      </c>
      <c r="AN34" t="s">
        <v>250</v>
      </c>
      <c r="AO34" t="s">
        <v>198</v>
      </c>
    </row>
    <row r="35" spans="27:41" x14ac:dyDescent="0.25">
      <c r="AA35">
        <v>28</v>
      </c>
      <c r="AB35" t="s">
        <v>233</v>
      </c>
      <c r="AC35">
        <v>94.44</v>
      </c>
      <c r="AD35">
        <v>87.5</v>
      </c>
      <c r="AG35" t="s">
        <v>251</v>
      </c>
      <c r="AH35" s="9">
        <f>MIN(AC8:AC47)</f>
        <v>0</v>
      </c>
      <c r="AI35" s="9">
        <f>MIN(AD8:AD47)</f>
        <v>0</v>
      </c>
      <c r="AJ35" s="9"/>
      <c r="AK35" s="9">
        <f>MIN(AC48:AC86)</f>
        <v>0</v>
      </c>
      <c r="AL35" s="9">
        <f>MIN(AD48:AD86)</f>
        <v>0</v>
      </c>
      <c r="AM35" s="9"/>
      <c r="AN35" s="9">
        <f>MIN(AC87:AC98)</f>
        <v>0</v>
      </c>
      <c r="AO35" s="9">
        <f>MIN(AD87:AD98)</f>
        <v>0</v>
      </c>
    </row>
    <row r="36" spans="27:41" x14ac:dyDescent="0.25">
      <c r="AA36">
        <v>29</v>
      </c>
      <c r="AB36" t="s">
        <v>233</v>
      </c>
      <c r="AC36">
        <v>100</v>
      </c>
      <c r="AD36">
        <v>100</v>
      </c>
      <c r="AG36" t="s">
        <v>252</v>
      </c>
      <c r="AH36" s="9">
        <f>_xlfn.PERCENTILE.INC(AC8:AC47,0.25)</f>
        <v>85.447499999999991</v>
      </c>
      <c r="AI36" s="9">
        <f>_xlfn.PERCENTILE.INC(AD8:AD47,0.25)</f>
        <v>74.430000000000007</v>
      </c>
      <c r="AJ36" s="9"/>
      <c r="AK36" s="9">
        <f>_xlfn.PERCENTILE.INC(AC48:AC86,0.25)</f>
        <v>93.75</v>
      </c>
      <c r="AL36" s="9">
        <f>_xlfn.PERCENTILE.INC(AD48:AD86,0.25)</f>
        <v>86.16</v>
      </c>
      <c r="AM36" s="9"/>
      <c r="AN36" s="9">
        <f>_xlfn.PERCENTILE.INC(AC87:AC98,0.25)</f>
        <v>12.422499999999999</v>
      </c>
      <c r="AO36" s="9">
        <f>_xlfn.PERCENTILE.INC(AD87:AD98,0.25)</f>
        <v>15.620000000000001</v>
      </c>
    </row>
    <row r="37" spans="27:41" x14ac:dyDescent="0.25">
      <c r="AA37">
        <v>30</v>
      </c>
      <c r="AB37" t="s">
        <v>233</v>
      </c>
      <c r="AC37">
        <v>92.1</v>
      </c>
      <c r="AD37">
        <v>83.33</v>
      </c>
      <c r="AG37" t="s">
        <v>253</v>
      </c>
      <c r="AH37" s="9">
        <f>MEDIAN(AC8:AC47)</f>
        <v>94.275000000000006</v>
      </c>
      <c r="AI37" s="9">
        <f>MEDIAN(AD8:AD47)</f>
        <v>90.174999999999997</v>
      </c>
      <c r="AJ37" s="9"/>
      <c r="AK37" s="9">
        <f>MEDIAN(AC48:AC85)</f>
        <v>100</v>
      </c>
      <c r="AL37" s="9">
        <f>MEDIAN(AD48:AD86)</f>
        <v>100</v>
      </c>
      <c r="AM37" s="9"/>
      <c r="AN37" s="9">
        <f>MEDIAN(AC87:AC98)</f>
        <v>84.72</v>
      </c>
      <c r="AO37" s="9">
        <f>MEDIAN(AD87:AD98)</f>
        <v>75</v>
      </c>
    </row>
    <row r="38" spans="27:41" x14ac:dyDescent="0.25">
      <c r="AA38">
        <v>31</v>
      </c>
      <c r="AB38" t="s">
        <v>233</v>
      </c>
      <c r="AC38">
        <v>89.65</v>
      </c>
      <c r="AD38">
        <v>85.48</v>
      </c>
      <c r="AG38" t="s">
        <v>254</v>
      </c>
      <c r="AH38" s="9">
        <f>_xlfn.PERCENTILE.INC(AC8:AC47,0.75)</f>
        <v>100</v>
      </c>
      <c r="AI38" s="9">
        <f>_xlfn.PERCENTILE.INC(AD8:AD47,0.75)</f>
        <v>100</v>
      </c>
      <c r="AJ38" s="9"/>
      <c r="AK38" s="9">
        <f>_xlfn.PERCENTILE.INC(AC50:AC88,0.75)</f>
        <v>100</v>
      </c>
      <c r="AL38" s="9">
        <f>_xlfn.PERCENTILE.INC(AD50:AD88,0.75)</f>
        <v>100</v>
      </c>
      <c r="AM38" s="9"/>
      <c r="AN38" s="9">
        <f>_xlfn.PERCENTILE.INC(AC87:AC98,0.75)</f>
        <v>100</v>
      </c>
      <c r="AO38" s="9">
        <f>_xlfn.PERCENTILE.INC(AD87:AD98,0.75)</f>
        <v>93.745000000000005</v>
      </c>
    </row>
    <row r="39" spans="27:41" x14ac:dyDescent="0.25">
      <c r="AA39">
        <v>32</v>
      </c>
      <c r="AB39" t="s">
        <v>233</v>
      </c>
      <c r="AC39">
        <v>39.21</v>
      </c>
      <c r="AD39">
        <v>54.16</v>
      </c>
      <c r="AG39" t="s">
        <v>255</v>
      </c>
      <c r="AH39" s="9">
        <f>MAX(AC8:AC47)</f>
        <v>100</v>
      </c>
      <c r="AI39" s="9">
        <f>MAX(AD8:AD47)</f>
        <v>100</v>
      </c>
      <c r="AJ39" s="9"/>
      <c r="AK39" s="9">
        <f>MAX(AC48:AC86)</f>
        <v>100</v>
      </c>
      <c r="AL39" s="9">
        <f>MAX(AD48:AD86)</f>
        <v>100</v>
      </c>
      <c r="AM39" s="9"/>
      <c r="AN39" s="9">
        <f>MAX(AC87:AC98)</f>
        <v>100</v>
      </c>
      <c r="AO39" s="9">
        <f>MAX(AD87:AD98)</f>
        <v>100</v>
      </c>
    </row>
    <row r="40" spans="27:41" x14ac:dyDescent="0.25">
      <c r="AA40">
        <v>33</v>
      </c>
      <c r="AB40" t="s">
        <v>233</v>
      </c>
      <c r="AC40">
        <v>94.11</v>
      </c>
      <c r="AD40">
        <v>85</v>
      </c>
      <c r="AH40" s="9"/>
      <c r="AI40" s="9"/>
      <c r="AJ40" s="9"/>
      <c r="AK40" s="9"/>
      <c r="AL40" s="9"/>
      <c r="AM40" s="9"/>
      <c r="AN40" s="9"/>
      <c r="AO40" s="9"/>
    </row>
    <row r="41" spans="27:41" x14ac:dyDescent="0.25">
      <c r="AA41">
        <v>34</v>
      </c>
      <c r="AB41" t="s">
        <v>233</v>
      </c>
      <c r="AC41">
        <v>93.33</v>
      </c>
      <c r="AD41">
        <v>87.5</v>
      </c>
      <c r="AG41" t="s">
        <v>256</v>
      </c>
      <c r="AH41" s="9"/>
      <c r="AI41" s="9"/>
      <c r="AJ41" s="9"/>
      <c r="AK41" s="9"/>
      <c r="AL41" s="9"/>
      <c r="AM41" s="9"/>
      <c r="AN41" s="9"/>
      <c r="AO41" s="9"/>
    </row>
    <row r="42" spans="27:41" x14ac:dyDescent="0.25">
      <c r="AA42">
        <v>35</v>
      </c>
      <c r="AB42" t="s">
        <v>233</v>
      </c>
      <c r="AC42">
        <v>100</v>
      </c>
      <c r="AD42">
        <v>100</v>
      </c>
      <c r="AG42" t="s">
        <v>257</v>
      </c>
      <c r="AH42" s="9">
        <f>AH38-AH36</f>
        <v>14.552500000000009</v>
      </c>
      <c r="AI42" s="9">
        <f>AI38-AI36</f>
        <v>25.569999999999993</v>
      </c>
      <c r="AJ42" s="9"/>
      <c r="AK42" s="9">
        <f t="shared" ref="AK42:AO42" si="1">AK38-AK36</f>
        <v>6.25</v>
      </c>
      <c r="AL42" s="9">
        <f t="shared" si="1"/>
        <v>13.840000000000003</v>
      </c>
      <c r="AM42" s="9"/>
      <c r="AN42" s="9">
        <f t="shared" si="1"/>
        <v>87.577500000000001</v>
      </c>
      <c r="AO42" s="9">
        <f t="shared" si="1"/>
        <v>78.125</v>
      </c>
    </row>
    <row r="43" spans="27:41" x14ac:dyDescent="0.25">
      <c r="AA43">
        <v>36</v>
      </c>
      <c r="AB43" t="s">
        <v>233</v>
      </c>
      <c r="AC43">
        <v>100</v>
      </c>
      <c r="AD43">
        <v>100</v>
      </c>
      <c r="AG43" t="s">
        <v>258</v>
      </c>
      <c r="AH43" s="9">
        <f>1.5*AH42</f>
        <v>21.828750000000014</v>
      </c>
      <c r="AI43" s="9">
        <f t="shared" ref="AI43:AO43" si="2">1.5*AI42</f>
        <v>38.35499999999999</v>
      </c>
      <c r="AJ43" s="9"/>
      <c r="AK43" s="9">
        <f t="shared" si="2"/>
        <v>9.375</v>
      </c>
      <c r="AL43" s="9">
        <f t="shared" si="2"/>
        <v>20.760000000000005</v>
      </c>
      <c r="AM43" s="9"/>
      <c r="AN43" s="9">
        <f t="shared" si="2"/>
        <v>131.36625000000001</v>
      </c>
      <c r="AO43" s="9">
        <f t="shared" si="2"/>
        <v>117.1875</v>
      </c>
    </row>
    <row r="44" spans="27:41" x14ac:dyDescent="0.25">
      <c r="AA44">
        <v>37</v>
      </c>
      <c r="AB44" t="s">
        <v>233</v>
      </c>
      <c r="AC44">
        <v>100</v>
      </c>
      <c r="AD44">
        <v>100</v>
      </c>
      <c r="AH44" s="9"/>
      <c r="AI44" s="9"/>
      <c r="AJ44" s="9"/>
      <c r="AK44" s="9"/>
      <c r="AL44" s="9"/>
      <c r="AM44" s="9"/>
      <c r="AN44" s="9"/>
      <c r="AO44" s="9"/>
    </row>
    <row r="45" spans="27:41" x14ac:dyDescent="0.25">
      <c r="AA45">
        <v>38</v>
      </c>
      <c r="AB45" t="s">
        <v>233</v>
      </c>
      <c r="AC45">
        <v>80</v>
      </c>
      <c r="AD45">
        <v>66.66</v>
      </c>
      <c r="AG45" t="s">
        <v>259</v>
      </c>
      <c r="AH45" s="9"/>
      <c r="AI45" s="9"/>
      <c r="AJ45" s="9"/>
      <c r="AK45" s="9"/>
      <c r="AL45" s="9"/>
      <c r="AM45" s="9"/>
      <c r="AN45" s="9"/>
      <c r="AO45" s="9"/>
    </row>
    <row r="46" spans="27:41" x14ac:dyDescent="0.25">
      <c r="AA46">
        <v>39</v>
      </c>
      <c r="AB46" t="s">
        <v>233</v>
      </c>
      <c r="AC46">
        <v>100</v>
      </c>
      <c r="AD46">
        <v>100</v>
      </c>
      <c r="AG46" t="s">
        <v>260</v>
      </c>
      <c r="AH46" s="9">
        <f>AH38+AH43</f>
        <v>121.82875000000001</v>
      </c>
      <c r="AI46" s="9">
        <f t="shared" ref="AI46:AO46" si="3">AI38+AI43</f>
        <v>138.35499999999999</v>
      </c>
      <c r="AJ46" s="9"/>
      <c r="AK46" s="9">
        <f t="shared" si="3"/>
        <v>109.375</v>
      </c>
      <c r="AL46" s="9">
        <f t="shared" si="3"/>
        <v>120.76</v>
      </c>
      <c r="AM46" s="9">
        <f t="shared" si="3"/>
        <v>0</v>
      </c>
      <c r="AN46" s="9">
        <f t="shared" si="3"/>
        <v>231.36625000000001</v>
      </c>
      <c r="AO46" s="9">
        <f t="shared" si="3"/>
        <v>210.9325</v>
      </c>
    </row>
    <row r="47" spans="27:41" x14ac:dyDescent="0.25">
      <c r="AA47">
        <v>40</v>
      </c>
      <c r="AB47" t="s">
        <v>233</v>
      </c>
      <c r="AC47">
        <v>100</v>
      </c>
      <c r="AD47">
        <v>100</v>
      </c>
      <c r="AG47" t="s">
        <v>261</v>
      </c>
      <c r="AH47" s="9">
        <f>AH36-AH43</f>
        <v>63.618749999999977</v>
      </c>
      <c r="AI47" s="9">
        <f t="shared" ref="AI47:AO47" si="4">AI36-AI43</f>
        <v>36.075000000000017</v>
      </c>
      <c r="AJ47" s="9"/>
      <c r="AK47" s="9">
        <f t="shared" si="4"/>
        <v>84.375</v>
      </c>
      <c r="AL47" s="9">
        <f t="shared" si="4"/>
        <v>65.399999999999991</v>
      </c>
      <c r="AM47" s="9"/>
      <c r="AN47" s="9">
        <f t="shared" si="4"/>
        <v>-118.94375000000001</v>
      </c>
      <c r="AO47" s="9">
        <f t="shared" si="4"/>
        <v>-101.5675</v>
      </c>
    </row>
    <row r="48" spans="27:41" x14ac:dyDescent="0.25">
      <c r="AA48">
        <v>1</v>
      </c>
      <c r="AB48" t="s">
        <v>243</v>
      </c>
      <c r="AC48">
        <v>75</v>
      </c>
      <c r="AD48">
        <v>50</v>
      </c>
      <c r="AH48" s="9"/>
      <c r="AI48" s="9"/>
      <c r="AJ48" s="9"/>
      <c r="AK48" s="9"/>
      <c r="AL48" s="9"/>
      <c r="AM48" s="9"/>
      <c r="AN48" s="9"/>
      <c r="AO48" s="9"/>
    </row>
    <row r="49" spans="27:41" x14ac:dyDescent="0.25">
      <c r="AA49">
        <v>2</v>
      </c>
      <c r="AB49" t="s">
        <v>243</v>
      </c>
      <c r="AC49">
        <v>100</v>
      </c>
      <c r="AD49">
        <v>100</v>
      </c>
      <c r="AG49" t="s">
        <v>262</v>
      </c>
      <c r="AH49" s="9">
        <f>COUNT(AA8:AA47)</f>
        <v>40</v>
      </c>
      <c r="AI49" s="9"/>
      <c r="AJ49" s="9"/>
      <c r="AK49" s="9">
        <f>COUNT(AA48:AA86)</f>
        <v>39</v>
      </c>
      <c r="AL49" s="9"/>
      <c r="AM49" s="9"/>
      <c r="AN49" s="9">
        <f>COUNT(AA87:AA98)</f>
        <v>12</v>
      </c>
      <c r="AO49" s="9"/>
    </row>
    <row r="50" spans="27:41" x14ac:dyDescent="0.25">
      <c r="AA50">
        <v>3</v>
      </c>
      <c r="AB50" t="s">
        <v>243</v>
      </c>
      <c r="AC50">
        <v>100</v>
      </c>
      <c r="AD50">
        <v>100</v>
      </c>
    </row>
    <row r="51" spans="27:41" x14ac:dyDescent="0.25">
      <c r="AA51">
        <v>4</v>
      </c>
      <c r="AB51" t="s">
        <v>243</v>
      </c>
      <c r="AC51">
        <v>100</v>
      </c>
      <c r="AD51">
        <v>100</v>
      </c>
    </row>
    <row r="52" spans="27:41" x14ac:dyDescent="0.25">
      <c r="AA52">
        <v>5</v>
      </c>
      <c r="AB52" t="s">
        <v>243</v>
      </c>
      <c r="AC52">
        <v>100</v>
      </c>
      <c r="AD52">
        <v>100</v>
      </c>
    </row>
    <row r="53" spans="27:41" x14ac:dyDescent="0.25">
      <c r="AA53">
        <v>6</v>
      </c>
      <c r="AB53" t="s">
        <v>243</v>
      </c>
      <c r="AC53">
        <v>100</v>
      </c>
      <c r="AD53">
        <v>100</v>
      </c>
    </row>
    <row r="54" spans="27:41" x14ac:dyDescent="0.25">
      <c r="AA54">
        <v>7</v>
      </c>
      <c r="AB54" t="s">
        <v>243</v>
      </c>
      <c r="AC54">
        <v>100</v>
      </c>
      <c r="AD54">
        <v>100</v>
      </c>
    </row>
    <row r="55" spans="27:41" x14ac:dyDescent="0.25">
      <c r="AA55">
        <v>8</v>
      </c>
      <c r="AB55" t="s">
        <v>243</v>
      </c>
      <c r="AC55">
        <v>100</v>
      </c>
      <c r="AD55">
        <v>100</v>
      </c>
    </row>
    <row r="56" spans="27:41" x14ac:dyDescent="0.25">
      <c r="AA56">
        <v>9</v>
      </c>
      <c r="AB56" t="s">
        <v>243</v>
      </c>
      <c r="AC56">
        <v>100</v>
      </c>
      <c r="AD56">
        <v>100</v>
      </c>
    </row>
    <row r="57" spans="27:41" x14ac:dyDescent="0.25">
      <c r="AA57">
        <v>10</v>
      </c>
      <c r="AB57" t="s">
        <v>243</v>
      </c>
      <c r="AC57">
        <v>66.66</v>
      </c>
      <c r="AD57">
        <v>62.5</v>
      </c>
    </row>
    <row r="58" spans="27:41" x14ac:dyDescent="0.25">
      <c r="AA58">
        <v>11</v>
      </c>
      <c r="AB58" t="s">
        <v>243</v>
      </c>
      <c r="AC58">
        <v>100</v>
      </c>
      <c r="AD58">
        <v>100</v>
      </c>
    </row>
    <row r="59" spans="27:41" x14ac:dyDescent="0.25">
      <c r="AA59">
        <v>12</v>
      </c>
      <c r="AB59" t="s">
        <v>243</v>
      </c>
      <c r="AC59">
        <v>87.5</v>
      </c>
      <c r="AD59">
        <v>80</v>
      </c>
    </row>
    <row r="60" spans="27:41" x14ac:dyDescent="0.25">
      <c r="AA60">
        <v>13</v>
      </c>
      <c r="AB60" t="s">
        <v>243</v>
      </c>
      <c r="AC60">
        <v>100</v>
      </c>
      <c r="AD60">
        <v>100</v>
      </c>
    </row>
    <row r="61" spans="27:41" x14ac:dyDescent="0.25">
      <c r="AA61">
        <v>14</v>
      </c>
      <c r="AB61" t="s">
        <v>243</v>
      </c>
      <c r="AC61">
        <v>90.9</v>
      </c>
      <c r="AD61">
        <v>92.85</v>
      </c>
    </row>
    <row r="62" spans="27:41" x14ac:dyDescent="0.25">
      <c r="AA62">
        <v>15</v>
      </c>
      <c r="AB62" t="s">
        <v>243</v>
      </c>
      <c r="AC62">
        <v>100</v>
      </c>
      <c r="AD62">
        <v>100</v>
      </c>
    </row>
    <row r="63" spans="27:41" x14ac:dyDescent="0.25">
      <c r="AA63">
        <v>16</v>
      </c>
      <c r="AB63" t="s">
        <v>243</v>
      </c>
      <c r="AC63">
        <v>100</v>
      </c>
      <c r="AD63">
        <v>100</v>
      </c>
    </row>
    <row r="64" spans="27:41" x14ac:dyDescent="0.25">
      <c r="AA64">
        <v>17</v>
      </c>
      <c r="AB64" t="s">
        <v>243</v>
      </c>
      <c r="AC64">
        <v>100</v>
      </c>
      <c r="AD64">
        <v>100</v>
      </c>
    </row>
    <row r="65" spans="27:30" x14ac:dyDescent="0.25">
      <c r="AA65">
        <v>18</v>
      </c>
      <c r="AB65" t="s">
        <v>243</v>
      </c>
      <c r="AC65">
        <v>0</v>
      </c>
      <c r="AD65">
        <v>0</v>
      </c>
    </row>
    <row r="66" spans="27:30" x14ac:dyDescent="0.25">
      <c r="AA66">
        <v>20</v>
      </c>
      <c r="AB66" t="s">
        <v>243</v>
      </c>
      <c r="AC66">
        <v>100</v>
      </c>
      <c r="AD66">
        <v>94.44</v>
      </c>
    </row>
    <row r="67" spans="27:30" x14ac:dyDescent="0.25">
      <c r="AA67">
        <v>21</v>
      </c>
      <c r="AB67" t="s">
        <v>243</v>
      </c>
      <c r="AC67">
        <v>100</v>
      </c>
      <c r="AD67">
        <v>95.45</v>
      </c>
    </row>
    <row r="68" spans="27:30" x14ac:dyDescent="0.25">
      <c r="AA68">
        <v>22</v>
      </c>
      <c r="AB68" t="s">
        <v>243</v>
      </c>
      <c r="AC68">
        <v>100</v>
      </c>
      <c r="AD68">
        <v>100</v>
      </c>
    </row>
    <row r="69" spans="27:30" x14ac:dyDescent="0.25">
      <c r="AA69">
        <v>23</v>
      </c>
      <c r="AB69" t="s">
        <v>243</v>
      </c>
      <c r="AC69">
        <v>83.87</v>
      </c>
      <c r="AD69">
        <v>80.760000000000005</v>
      </c>
    </row>
    <row r="70" spans="27:30" x14ac:dyDescent="0.25">
      <c r="AA70">
        <v>24</v>
      </c>
      <c r="AB70" t="s">
        <v>243</v>
      </c>
      <c r="AC70">
        <v>100</v>
      </c>
      <c r="AD70">
        <v>100</v>
      </c>
    </row>
    <row r="71" spans="27:30" x14ac:dyDescent="0.25">
      <c r="AA71">
        <v>25</v>
      </c>
      <c r="AB71" t="s">
        <v>243</v>
      </c>
      <c r="AC71">
        <v>93.75</v>
      </c>
      <c r="AD71">
        <v>75</v>
      </c>
    </row>
    <row r="72" spans="27:30" x14ac:dyDescent="0.25">
      <c r="AA72">
        <v>26</v>
      </c>
      <c r="AB72" t="s">
        <v>243</v>
      </c>
      <c r="AC72">
        <v>93.75</v>
      </c>
      <c r="AD72">
        <v>86.84</v>
      </c>
    </row>
    <row r="73" spans="27:30" x14ac:dyDescent="0.25">
      <c r="AA73">
        <v>27</v>
      </c>
      <c r="AB73" t="s">
        <v>243</v>
      </c>
      <c r="AC73">
        <v>94.11</v>
      </c>
      <c r="AD73">
        <v>80</v>
      </c>
    </row>
    <row r="74" spans="27:30" x14ac:dyDescent="0.25">
      <c r="AA74">
        <v>28</v>
      </c>
      <c r="AB74" t="s">
        <v>243</v>
      </c>
      <c r="AC74">
        <v>100</v>
      </c>
      <c r="AD74">
        <v>100</v>
      </c>
    </row>
    <row r="75" spans="27:30" x14ac:dyDescent="0.25">
      <c r="AA75">
        <v>29</v>
      </c>
      <c r="AB75" t="s">
        <v>243</v>
      </c>
      <c r="AC75">
        <v>100</v>
      </c>
      <c r="AD75">
        <v>100</v>
      </c>
    </row>
    <row r="76" spans="27:30" x14ac:dyDescent="0.25">
      <c r="AA76">
        <v>30</v>
      </c>
      <c r="AB76" t="s">
        <v>243</v>
      </c>
      <c r="AC76">
        <v>94.73</v>
      </c>
      <c r="AD76">
        <v>91.66</v>
      </c>
    </row>
    <row r="77" spans="27:30" x14ac:dyDescent="0.25">
      <c r="AA77">
        <v>31</v>
      </c>
      <c r="AB77" t="s">
        <v>243</v>
      </c>
      <c r="AC77">
        <v>89.65</v>
      </c>
      <c r="AD77">
        <v>85.48</v>
      </c>
    </row>
    <row r="78" spans="27:30" x14ac:dyDescent="0.25">
      <c r="AA78">
        <v>32</v>
      </c>
      <c r="AB78" t="s">
        <v>243</v>
      </c>
      <c r="AC78">
        <v>96.07</v>
      </c>
      <c r="AD78">
        <v>83.33</v>
      </c>
    </row>
    <row r="79" spans="27:30" x14ac:dyDescent="0.25">
      <c r="AA79">
        <v>33</v>
      </c>
      <c r="AB79" t="s">
        <v>243</v>
      </c>
      <c r="AC79">
        <v>100</v>
      </c>
      <c r="AD79">
        <v>100</v>
      </c>
    </row>
    <row r="80" spans="27:30" x14ac:dyDescent="0.25">
      <c r="AA80">
        <v>34</v>
      </c>
      <c r="AB80" t="s">
        <v>243</v>
      </c>
      <c r="AC80">
        <v>93.33</v>
      </c>
      <c r="AD80">
        <v>87.5</v>
      </c>
    </row>
    <row r="81" spans="27:30" x14ac:dyDescent="0.25">
      <c r="AA81">
        <v>35</v>
      </c>
      <c r="AB81" t="s">
        <v>243</v>
      </c>
      <c r="AC81">
        <v>100</v>
      </c>
      <c r="AD81">
        <v>100</v>
      </c>
    </row>
    <row r="82" spans="27:30" x14ac:dyDescent="0.25">
      <c r="AA82">
        <v>36</v>
      </c>
      <c r="AB82" t="s">
        <v>243</v>
      </c>
      <c r="AC82">
        <v>100</v>
      </c>
      <c r="AD82">
        <v>100</v>
      </c>
    </row>
    <row r="83" spans="27:30" x14ac:dyDescent="0.25">
      <c r="AA83">
        <v>37</v>
      </c>
      <c r="AB83" t="s">
        <v>243</v>
      </c>
      <c r="AC83">
        <v>100</v>
      </c>
      <c r="AD83">
        <v>100</v>
      </c>
    </row>
    <row r="84" spans="27:30" x14ac:dyDescent="0.25">
      <c r="AA84">
        <v>38</v>
      </c>
      <c r="AB84" t="s">
        <v>243</v>
      </c>
      <c r="AC84">
        <v>80</v>
      </c>
      <c r="AD84">
        <v>66.66</v>
      </c>
    </row>
    <row r="85" spans="27:30" x14ac:dyDescent="0.25">
      <c r="AA85">
        <v>39</v>
      </c>
      <c r="AB85" t="s">
        <v>243</v>
      </c>
      <c r="AC85">
        <v>100</v>
      </c>
      <c r="AD85">
        <v>100</v>
      </c>
    </row>
    <row r="86" spans="27:30" x14ac:dyDescent="0.25">
      <c r="AA86">
        <v>40</v>
      </c>
      <c r="AB86" t="s">
        <v>243</v>
      </c>
      <c r="AC86">
        <v>100</v>
      </c>
      <c r="AD86">
        <v>100</v>
      </c>
    </row>
    <row r="87" spans="27:30" x14ac:dyDescent="0.25">
      <c r="AA87">
        <v>1</v>
      </c>
      <c r="AB87" t="s">
        <v>244</v>
      </c>
      <c r="AC87">
        <v>75</v>
      </c>
      <c r="AD87">
        <v>50</v>
      </c>
    </row>
    <row r="88" spans="27:30" x14ac:dyDescent="0.25">
      <c r="AA88">
        <v>7</v>
      </c>
      <c r="AB88" t="s">
        <v>244</v>
      </c>
      <c r="AC88">
        <v>100</v>
      </c>
      <c r="AD88">
        <v>100</v>
      </c>
    </row>
    <row r="89" spans="27:30" x14ac:dyDescent="0.25">
      <c r="AA89">
        <v>9</v>
      </c>
      <c r="AB89" t="s">
        <v>244</v>
      </c>
      <c r="AC89">
        <v>14.81</v>
      </c>
      <c r="AD89">
        <v>16.66</v>
      </c>
    </row>
    <row r="90" spans="27:30" x14ac:dyDescent="0.25">
      <c r="AA90">
        <v>10</v>
      </c>
      <c r="AB90" t="s">
        <v>244</v>
      </c>
      <c r="AC90">
        <v>66.66</v>
      </c>
      <c r="AD90">
        <v>62.5</v>
      </c>
    </row>
    <row r="91" spans="27:30" x14ac:dyDescent="0.25">
      <c r="AA91">
        <v>27</v>
      </c>
      <c r="AB91" t="s">
        <v>244</v>
      </c>
      <c r="AC91">
        <v>97.05</v>
      </c>
      <c r="AD91">
        <v>90</v>
      </c>
    </row>
    <row r="92" spans="27:30" x14ac:dyDescent="0.25">
      <c r="AA92">
        <v>28</v>
      </c>
      <c r="AB92" t="s">
        <v>244</v>
      </c>
      <c r="AC92">
        <v>94.44</v>
      </c>
      <c r="AD92">
        <v>87.5</v>
      </c>
    </row>
    <row r="93" spans="27:30" x14ac:dyDescent="0.25">
      <c r="AA93">
        <v>29</v>
      </c>
      <c r="AB93" t="s">
        <v>244</v>
      </c>
      <c r="AC93">
        <v>100</v>
      </c>
      <c r="AD93">
        <v>91.66</v>
      </c>
    </row>
    <row r="94" spans="27:30" x14ac:dyDescent="0.25">
      <c r="AA94">
        <v>30</v>
      </c>
      <c r="AB94" t="s">
        <v>244</v>
      </c>
      <c r="AC94">
        <v>5.26</v>
      </c>
      <c r="AD94">
        <v>12.5</v>
      </c>
    </row>
    <row r="95" spans="27:30" x14ac:dyDescent="0.25">
      <c r="AA95">
        <v>31</v>
      </c>
      <c r="AB95" t="s">
        <v>244</v>
      </c>
      <c r="AC95">
        <v>0</v>
      </c>
      <c r="AD95">
        <v>0</v>
      </c>
    </row>
    <row r="96" spans="27:30" x14ac:dyDescent="0.25">
      <c r="AA96">
        <v>34</v>
      </c>
      <c r="AB96" t="s">
        <v>244</v>
      </c>
      <c r="AC96">
        <v>0</v>
      </c>
      <c r="AD96">
        <v>0</v>
      </c>
    </row>
    <row r="97" spans="20:34" x14ac:dyDescent="0.25">
      <c r="AA97">
        <v>35</v>
      </c>
      <c r="AB97" t="s">
        <v>244</v>
      </c>
      <c r="AC97">
        <v>100</v>
      </c>
      <c r="AD97">
        <v>100</v>
      </c>
    </row>
    <row r="98" spans="20:34" x14ac:dyDescent="0.25">
      <c r="AA98">
        <v>36</v>
      </c>
      <c r="AB98" t="s">
        <v>244</v>
      </c>
      <c r="AC98">
        <v>100</v>
      </c>
      <c r="AD98">
        <v>100</v>
      </c>
    </row>
    <row r="104" spans="20:34" x14ac:dyDescent="0.25">
      <c r="AA104" s="11" t="s">
        <v>263</v>
      </c>
    </row>
    <row r="105" spans="20:34" x14ac:dyDescent="0.25">
      <c r="U105" t="s">
        <v>233</v>
      </c>
      <c r="V105" t="s">
        <v>243</v>
      </c>
      <c r="W105" t="s">
        <v>244</v>
      </c>
    </row>
    <row r="106" spans="20:34" x14ac:dyDescent="0.25">
      <c r="T106" t="s">
        <v>183</v>
      </c>
      <c r="U106">
        <v>19</v>
      </c>
      <c r="V106">
        <v>26</v>
      </c>
      <c r="W106">
        <v>3</v>
      </c>
    </row>
    <row r="107" spans="20:34" x14ac:dyDescent="0.25">
      <c r="T107" t="s">
        <v>185</v>
      </c>
      <c r="U107">
        <v>5</v>
      </c>
      <c r="V107">
        <v>3</v>
      </c>
      <c r="W107">
        <v>3</v>
      </c>
    </row>
    <row r="108" spans="20:34" x14ac:dyDescent="0.25">
      <c r="T108" t="s">
        <v>221</v>
      </c>
      <c r="U108">
        <v>16</v>
      </c>
      <c r="V108">
        <v>8</v>
      </c>
      <c r="W108">
        <v>5</v>
      </c>
      <c r="AA108" t="s">
        <v>237</v>
      </c>
      <c r="AD108" t="s">
        <v>220</v>
      </c>
      <c r="AG108" t="s">
        <v>180</v>
      </c>
    </row>
    <row r="109" spans="20:34" x14ac:dyDescent="0.25">
      <c r="T109" t="s">
        <v>238</v>
      </c>
      <c r="U109">
        <v>0</v>
      </c>
      <c r="V109">
        <v>2</v>
      </c>
      <c r="W109">
        <v>1</v>
      </c>
    </row>
    <row r="110" spans="20:34" x14ac:dyDescent="0.25">
      <c r="T110" t="s">
        <v>191</v>
      </c>
      <c r="U110">
        <v>40</v>
      </c>
      <c r="V110">
        <v>39</v>
      </c>
      <c r="W110">
        <v>12</v>
      </c>
      <c r="AA110" t="s">
        <v>183</v>
      </c>
      <c r="AB110">
        <v>19</v>
      </c>
      <c r="AD110" t="s">
        <v>183</v>
      </c>
      <c r="AE110">
        <v>26</v>
      </c>
      <c r="AG110" t="s">
        <v>183</v>
      </c>
      <c r="AH110">
        <v>3</v>
      </c>
    </row>
    <row r="111" spans="20:34" x14ac:dyDescent="0.25">
      <c r="AA111" t="s">
        <v>185</v>
      </c>
      <c r="AB111">
        <v>5</v>
      </c>
      <c r="AD111" t="s">
        <v>185</v>
      </c>
      <c r="AE111">
        <v>3</v>
      </c>
      <c r="AG111" t="s">
        <v>185</v>
      </c>
      <c r="AH111">
        <v>3</v>
      </c>
    </row>
    <row r="112" spans="20:34" x14ac:dyDescent="0.25">
      <c r="AA112" t="s">
        <v>221</v>
      </c>
      <c r="AB112">
        <v>16</v>
      </c>
      <c r="AD112" t="s">
        <v>221</v>
      </c>
      <c r="AE112">
        <v>8</v>
      </c>
      <c r="AG112" t="s">
        <v>187</v>
      </c>
      <c r="AH112">
        <v>5</v>
      </c>
    </row>
    <row r="113" spans="27:39" x14ac:dyDescent="0.25">
      <c r="AA113" t="s">
        <v>238</v>
      </c>
      <c r="AB113">
        <v>0</v>
      </c>
      <c r="AD113" t="s">
        <v>222</v>
      </c>
      <c r="AE113">
        <v>2</v>
      </c>
      <c r="AG113" t="s">
        <v>189</v>
      </c>
      <c r="AH113">
        <v>1</v>
      </c>
    </row>
    <row r="114" spans="27:39" x14ac:dyDescent="0.25">
      <c r="AB114">
        <v>40</v>
      </c>
      <c r="AD114" t="s">
        <v>191</v>
      </c>
      <c r="AE114">
        <v>39</v>
      </c>
      <c r="AG114" t="s">
        <v>191</v>
      </c>
      <c r="AH114">
        <f>SUM(AH110:AH113)</f>
        <v>12</v>
      </c>
    </row>
    <row r="118" spans="27:39" x14ac:dyDescent="0.25">
      <c r="AB118" t="s">
        <v>195</v>
      </c>
      <c r="AL118" t="s">
        <v>250</v>
      </c>
      <c r="AM118" t="s">
        <v>198</v>
      </c>
    </row>
    <row r="119" spans="27:39" x14ac:dyDescent="0.25">
      <c r="AA119" t="s">
        <v>239</v>
      </c>
      <c r="AB119" t="s">
        <v>1</v>
      </c>
      <c r="AC119" t="s">
        <v>197</v>
      </c>
      <c r="AD119" t="s">
        <v>198</v>
      </c>
      <c r="AE119" t="s">
        <v>199</v>
      </c>
      <c r="AF119" t="s">
        <v>200</v>
      </c>
      <c r="AG119" t="s">
        <v>264</v>
      </c>
      <c r="AH119" t="s">
        <v>265</v>
      </c>
      <c r="AK119" t="s">
        <v>266</v>
      </c>
    </row>
    <row r="120" spans="27:39" x14ac:dyDescent="0.25">
      <c r="AA120" t="s">
        <v>233</v>
      </c>
      <c r="AB120">
        <v>4</v>
      </c>
      <c r="AC120">
        <v>45.45</v>
      </c>
      <c r="AD120">
        <v>16.66</v>
      </c>
      <c r="AE120">
        <v>100</v>
      </c>
      <c r="AF120">
        <v>100</v>
      </c>
      <c r="AG120" s="9">
        <f>AE120-AC120</f>
        <v>54.55</v>
      </c>
      <c r="AH120" s="9">
        <f>AF120-AD120</f>
        <v>83.34</v>
      </c>
      <c r="AK120" t="s">
        <v>267</v>
      </c>
    </row>
    <row r="121" spans="27:39" x14ac:dyDescent="0.25">
      <c r="AA121" t="s">
        <v>233</v>
      </c>
      <c r="AB121">
        <v>15</v>
      </c>
      <c r="AC121">
        <v>50</v>
      </c>
      <c r="AD121">
        <v>50</v>
      </c>
      <c r="AE121">
        <v>100</v>
      </c>
      <c r="AF121">
        <v>100</v>
      </c>
      <c r="AG121" s="9">
        <f t="shared" ref="AG121:AG130" si="5">AE121-AC121</f>
        <v>50</v>
      </c>
      <c r="AH121" s="9">
        <f t="shared" ref="AH121:AH130" si="6">AF121-AD121</f>
        <v>50</v>
      </c>
      <c r="AK121" t="s">
        <v>268</v>
      </c>
    </row>
    <row r="122" spans="27:39" x14ac:dyDescent="0.25">
      <c r="AA122" t="s">
        <v>233</v>
      </c>
      <c r="AB122">
        <v>20</v>
      </c>
      <c r="AC122">
        <v>93.75</v>
      </c>
      <c r="AD122">
        <v>77.77</v>
      </c>
      <c r="AE122">
        <v>100</v>
      </c>
      <c r="AF122">
        <v>94.44</v>
      </c>
      <c r="AG122" s="9">
        <f t="shared" si="5"/>
        <v>6.25</v>
      </c>
      <c r="AH122" s="9">
        <f t="shared" si="6"/>
        <v>16.670000000000002</v>
      </c>
    </row>
    <row r="123" spans="27:39" x14ac:dyDescent="0.25">
      <c r="AA123" t="s">
        <v>233</v>
      </c>
      <c r="AB123">
        <v>30</v>
      </c>
      <c r="AC123">
        <v>92.1</v>
      </c>
      <c r="AD123">
        <v>83.33</v>
      </c>
      <c r="AE123">
        <v>94.73</v>
      </c>
      <c r="AF123">
        <v>87.5</v>
      </c>
      <c r="AG123" s="9">
        <f t="shared" si="5"/>
        <v>2.6300000000000097</v>
      </c>
      <c r="AH123" s="9">
        <f t="shared" si="6"/>
        <v>4.1700000000000017</v>
      </c>
    </row>
    <row r="124" spans="27:39" x14ac:dyDescent="0.25">
      <c r="AA124" t="s">
        <v>233</v>
      </c>
      <c r="AB124">
        <v>32</v>
      </c>
      <c r="AC124">
        <v>39.21</v>
      </c>
      <c r="AD124">
        <v>54.16</v>
      </c>
      <c r="AE124">
        <v>96.07</v>
      </c>
      <c r="AF124">
        <v>83.33</v>
      </c>
      <c r="AG124" s="9">
        <f t="shared" si="5"/>
        <v>56.859999999999992</v>
      </c>
      <c r="AH124" s="9">
        <f t="shared" si="6"/>
        <v>29.17</v>
      </c>
    </row>
    <row r="125" spans="27:39" x14ac:dyDescent="0.25">
      <c r="AA125" t="s">
        <v>243</v>
      </c>
      <c r="AB125">
        <v>10</v>
      </c>
      <c r="AC125">
        <v>66.66</v>
      </c>
      <c r="AD125">
        <v>62.5</v>
      </c>
      <c r="AE125">
        <v>100</v>
      </c>
      <c r="AF125">
        <v>100</v>
      </c>
      <c r="AG125" s="9">
        <f t="shared" si="5"/>
        <v>33.340000000000003</v>
      </c>
      <c r="AH125" s="9">
        <f t="shared" si="6"/>
        <v>37.5</v>
      </c>
    </row>
    <row r="126" spans="27:39" x14ac:dyDescent="0.25">
      <c r="AA126" t="s">
        <v>243</v>
      </c>
      <c r="AB126">
        <v>38</v>
      </c>
      <c r="AC126">
        <v>80</v>
      </c>
      <c r="AD126">
        <v>66.66</v>
      </c>
      <c r="AE126">
        <v>100</v>
      </c>
      <c r="AF126">
        <v>83.33</v>
      </c>
      <c r="AG126" s="9">
        <f t="shared" si="5"/>
        <v>20</v>
      </c>
      <c r="AH126" s="9">
        <f t="shared" si="6"/>
        <v>16.670000000000002</v>
      </c>
    </row>
    <row r="127" spans="27:39" x14ac:dyDescent="0.25">
      <c r="AA127" t="s">
        <v>243</v>
      </c>
      <c r="AB127">
        <v>12</v>
      </c>
      <c r="AC127">
        <v>87.5</v>
      </c>
      <c r="AD127">
        <v>80</v>
      </c>
      <c r="AE127">
        <v>100</v>
      </c>
      <c r="AF127">
        <v>100</v>
      </c>
      <c r="AG127" s="9">
        <f t="shared" si="5"/>
        <v>12.5</v>
      </c>
      <c r="AH127" s="9">
        <f t="shared" si="6"/>
        <v>20</v>
      </c>
    </row>
    <row r="128" spans="27:39" x14ac:dyDescent="0.25">
      <c r="AA128" t="s">
        <v>244</v>
      </c>
      <c r="AB128">
        <v>1</v>
      </c>
      <c r="AC128">
        <v>75</v>
      </c>
      <c r="AD128">
        <v>50</v>
      </c>
      <c r="AE128">
        <v>100</v>
      </c>
      <c r="AF128">
        <v>66.66</v>
      </c>
      <c r="AG128" s="9">
        <f t="shared" si="5"/>
        <v>25</v>
      </c>
      <c r="AH128" s="9">
        <f t="shared" si="6"/>
        <v>16.659999999999997</v>
      </c>
    </row>
    <row r="129" spans="27:34" x14ac:dyDescent="0.25">
      <c r="AA129" t="s">
        <v>244</v>
      </c>
      <c r="AB129">
        <v>9</v>
      </c>
      <c r="AC129">
        <v>14.81</v>
      </c>
      <c r="AD129">
        <v>16.66</v>
      </c>
      <c r="AE129">
        <v>62.96</v>
      </c>
      <c r="AF129">
        <v>66.66</v>
      </c>
      <c r="AG129" s="9">
        <f t="shared" si="5"/>
        <v>48.15</v>
      </c>
      <c r="AH129" s="9">
        <f t="shared" si="6"/>
        <v>50</v>
      </c>
    </row>
    <row r="130" spans="27:34" x14ac:dyDescent="0.25">
      <c r="AA130" t="s">
        <v>244</v>
      </c>
      <c r="AB130">
        <v>34</v>
      </c>
      <c r="AC130">
        <v>0</v>
      </c>
      <c r="AD130">
        <v>0</v>
      </c>
      <c r="AE130">
        <v>68.66</v>
      </c>
      <c r="AF130">
        <v>75</v>
      </c>
      <c r="AG130" s="9">
        <f t="shared" si="5"/>
        <v>68.66</v>
      </c>
      <c r="AH130" s="9">
        <f t="shared" si="6"/>
        <v>75</v>
      </c>
    </row>
    <row r="138" spans="27:34" x14ac:dyDescent="0.25">
      <c r="AD138" t="s">
        <v>250</v>
      </c>
      <c r="AE138" t="s">
        <v>198</v>
      </c>
    </row>
    <row r="139" spans="27:34" x14ac:dyDescent="0.25">
      <c r="AA139" t="s">
        <v>250</v>
      </c>
      <c r="AB139" t="s">
        <v>233</v>
      </c>
      <c r="AC139">
        <v>4</v>
      </c>
      <c r="AD139" s="9">
        <v>54.55</v>
      </c>
      <c r="AE139" s="9">
        <v>83.34</v>
      </c>
      <c r="AF139" s="9"/>
    </row>
    <row r="140" spans="27:34" x14ac:dyDescent="0.25">
      <c r="AC140">
        <v>15</v>
      </c>
      <c r="AD140" s="9">
        <v>50</v>
      </c>
      <c r="AE140" s="9">
        <v>50</v>
      </c>
      <c r="AF140" s="9"/>
    </row>
    <row r="141" spans="27:34" x14ac:dyDescent="0.25">
      <c r="AC141">
        <v>20</v>
      </c>
      <c r="AD141" s="9">
        <v>6.25</v>
      </c>
      <c r="AE141" s="9">
        <v>16.670000000000002</v>
      </c>
      <c r="AF141" s="9"/>
    </row>
    <row r="142" spans="27:34" x14ac:dyDescent="0.25">
      <c r="AC142">
        <v>30</v>
      </c>
      <c r="AD142" s="9">
        <v>2.6300000000000097</v>
      </c>
      <c r="AE142" s="9">
        <v>4.1700000000000017</v>
      </c>
      <c r="AF142" s="9"/>
    </row>
    <row r="143" spans="27:34" x14ac:dyDescent="0.25">
      <c r="AC143">
        <v>32</v>
      </c>
      <c r="AD143" s="9">
        <v>56.859999999999992</v>
      </c>
      <c r="AE143" s="9">
        <v>29.17</v>
      </c>
      <c r="AF143" s="9"/>
    </row>
    <row r="144" spans="27:34" x14ac:dyDescent="0.25">
      <c r="AC144" t="s">
        <v>269</v>
      </c>
      <c r="AD144" s="9">
        <f>AVERAGE(AG120:AG124)</f>
        <v>34.058</v>
      </c>
      <c r="AE144" s="9">
        <f>AVERAGE(AH120:AH124)</f>
        <v>36.67</v>
      </c>
      <c r="AF144" s="9"/>
    </row>
    <row r="145" spans="28:32" x14ac:dyDescent="0.25">
      <c r="AB145" t="s">
        <v>243</v>
      </c>
      <c r="AC145">
        <v>10</v>
      </c>
      <c r="AD145" s="9">
        <v>33.340000000000003</v>
      </c>
      <c r="AE145" s="9">
        <v>37.5</v>
      </c>
      <c r="AF145" s="9"/>
    </row>
    <row r="146" spans="28:32" x14ac:dyDescent="0.25">
      <c r="AC146">
        <v>38</v>
      </c>
      <c r="AD146" s="9">
        <v>20</v>
      </c>
      <c r="AE146" s="9">
        <v>16.670000000000002</v>
      </c>
      <c r="AF146" s="9"/>
    </row>
    <row r="147" spans="28:32" x14ac:dyDescent="0.25">
      <c r="AC147">
        <v>12</v>
      </c>
      <c r="AD147" s="9">
        <v>12.5</v>
      </c>
      <c r="AE147" s="9">
        <v>20</v>
      </c>
      <c r="AF147" s="9"/>
    </row>
    <row r="148" spans="28:32" x14ac:dyDescent="0.25">
      <c r="AC148" t="s">
        <v>269</v>
      </c>
      <c r="AD148" s="9">
        <f>AVERAGE(AG125:AG127)</f>
        <v>21.946666666666669</v>
      </c>
      <c r="AE148" s="9">
        <f>AVERAGE(AH125:AH127)</f>
        <v>24.723333333333333</v>
      </c>
    </row>
    <row r="149" spans="28:32" x14ac:dyDescent="0.25">
      <c r="AB149" t="s">
        <v>244</v>
      </c>
      <c r="AC149">
        <v>1</v>
      </c>
      <c r="AD149" s="9">
        <v>25</v>
      </c>
      <c r="AE149" s="9">
        <v>16.659999999999997</v>
      </c>
    </row>
    <row r="150" spans="28:32" x14ac:dyDescent="0.25">
      <c r="AC150">
        <v>9</v>
      </c>
      <c r="AD150" s="9">
        <v>48.15</v>
      </c>
      <c r="AE150" s="9">
        <v>50</v>
      </c>
    </row>
    <row r="151" spans="28:32" x14ac:dyDescent="0.25">
      <c r="AC151">
        <v>34</v>
      </c>
      <c r="AD151" s="9">
        <v>68.66</v>
      </c>
      <c r="AE151" s="9">
        <v>75</v>
      </c>
    </row>
    <row r="152" spans="28:32" x14ac:dyDescent="0.25">
      <c r="AC152" t="s">
        <v>269</v>
      </c>
      <c r="AD152" s="9">
        <f>AVERAGE(AG128:AG130)</f>
        <v>47.27</v>
      </c>
      <c r="AE152" s="9">
        <f>AVERAGE(AH128:AH130)</f>
        <v>47.22</v>
      </c>
    </row>
    <row r="164" spans="19:19" x14ac:dyDescent="0.25">
      <c r="S164" t="s">
        <v>270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Llama3</vt:lpstr>
      <vt:lpstr>Claude 3.5 Sonnet</vt:lpstr>
      <vt:lpstr>ChatGPT</vt:lpstr>
      <vt:lpstr>Auswertung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Anja Hein</dc:creator>
  <cp:keywords/>
  <dc:description/>
  <cp:lastModifiedBy>Anja Hein</cp:lastModifiedBy>
  <cp:revision/>
  <dcterms:created xsi:type="dcterms:W3CDTF">2015-06-05T18:19:34Z</dcterms:created>
  <dcterms:modified xsi:type="dcterms:W3CDTF">2025-02-02T23:03:24Z</dcterms:modified>
  <cp:category/>
  <cp:contentStatus/>
</cp:coreProperties>
</file>