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kstop\"/>
    </mc:Choice>
  </mc:AlternateContent>
  <xr:revisionPtr revIDLastSave="0" documentId="13_ncr:1_{8E6EA2C8-3DCC-4407-84A6-F142E0D600E5}" xr6:coauthVersionLast="43" xr6:coauthVersionMax="43" xr10:uidLastSave="{00000000-0000-0000-0000-000000000000}"/>
  <bookViews>
    <workbookView xWindow="-108" yWindow="-108" windowWidth="23256" windowHeight="12576" xr2:uid="{EC286104-11CA-49B5-8E2F-920EAF38050B}"/>
  </bookViews>
  <sheets>
    <sheet name="Lis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  <c r="J23" i="1" l="1"/>
  <c r="L24" i="1" s="1"/>
  <c r="D24" i="1" l="1"/>
  <c r="AG3" i="1"/>
  <c r="C24" i="1" l="1"/>
  <c r="B24" i="1"/>
  <c r="I4" i="1"/>
  <c r="I3" i="1"/>
  <c r="AG15" i="1" l="1"/>
  <c r="AD15" i="1"/>
  <c r="AG14" i="1"/>
  <c r="AD14" i="1"/>
  <c r="AG13" i="1"/>
  <c r="AD13" i="1"/>
  <c r="AG12" i="1"/>
  <c r="AD12" i="1"/>
  <c r="AG11" i="1"/>
  <c r="AD11" i="1"/>
  <c r="AG10" i="1"/>
  <c r="AD10" i="1"/>
  <c r="AG9" i="1"/>
  <c r="AD9" i="1"/>
  <c r="AG8" i="1"/>
  <c r="AD8" i="1"/>
  <c r="AG7" i="1"/>
  <c r="AD7" i="1"/>
  <c r="AG6" i="1"/>
  <c r="AD6" i="1"/>
  <c r="AG5" i="1"/>
  <c r="AD5" i="1"/>
  <c r="AG4" i="1"/>
  <c r="AD4" i="1"/>
  <c r="AD3" i="1"/>
  <c r="AG2" i="1"/>
  <c r="AD2" i="1"/>
  <c r="Z15" i="1"/>
  <c r="AA15" i="1"/>
  <c r="AB15" i="1"/>
  <c r="Z96" i="1" l="1"/>
  <c r="S96" i="1"/>
  <c r="J96" i="1"/>
  <c r="B96" i="1"/>
  <c r="AB86" i="1"/>
  <c r="AA86" i="1"/>
  <c r="Z86" i="1"/>
  <c r="U86" i="1"/>
  <c r="T86" i="1"/>
  <c r="S86" i="1"/>
  <c r="N86" i="1"/>
  <c r="M86" i="1"/>
  <c r="L86" i="1"/>
  <c r="K86" i="1"/>
  <c r="J86" i="1"/>
  <c r="E86" i="1"/>
  <c r="D86" i="1"/>
  <c r="C86" i="1"/>
  <c r="B86" i="1"/>
  <c r="Z82" i="1"/>
  <c r="S82" i="1"/>
  <c r="J82" i="1"/>
  <c r="B82" i="1"/>
  <c r="AB72" i="1"/>
  <c r="AA72" i="1"/>
  <c r="Z72" i="1"/>
  <c r="U72" i="1"/>
  <c r="T72" i="1"/>
  <c r="S72" i="1"/>
  <c r="N72" i="1"/>
  <c r="M72" i="1"/>
  <c r="L72" i="1"/>
  <c r="K72" i="1"/>
  <c r="J72" i="1"/>
  <c r="E72" i="1"/>
  <c r="D72" i="1"/>
  <c r="C72" i="1"/>
  <c r="B72" i="1"/>
  <c r="Z68" i="1"/>
  <c r="S68" i="1"/>
  <c r="J68" i="1"/>
  <c r="B68" i="1"/>
  <c r="AB58" i="1"/>
  <c r="AA58" i="1"/>
  <c r="Z58" i="1"/>
  <c r="U58" i="1"/>
  <c r="T58" i="1"/>
  <c r="S58" i="1"/>
  <c r="N58" i="1"/>
  <c r="M58" i="1"/>
  <c r="L58" i="1"/>
  <c r="K58" i="1"/>
  <c r="J58" i="1"/>
  <c r="E58" i="1"/>
  <c r="D58" i="1"/>
  <c r="C58" i="1"/>
  <c r="B58" i="1"/>
  <c r="Z54" i="1"/>
  <c r="S54" i="1"/>
  <c r="J54" i="1"/>
  <c r="B54" i="1"/>
  <c r="AB44" i="1"/>
  <c r="AA44" i="1"/>
  <c r="Z44" i="1"/>
  <c r="U44" i="1"/>
  <c r="T44" i="1"/>
  <c r="S44" i="1"/>
  <c r="N44" i="1"/>
  <c r="M44" i="1"/>
  <c r="L44" i="1"/>
  <c r="K44" i="1"/>
  <c r="J44" i="1"/>
  <c r="E44" i="1"/>
  <c r="D44" i="1"/>
  <c r="C44" i="1"/>
  <c r="B44" i="1"/>
  <c r="Z40" i="1"/>
  <c r="S40" i="1"/>
  <c r="J40" i="1"/>
  <c r="B40" i="1"/>
  <c r="AB30" i="1"/>
  <c r="AA30" i="1"/>
  <c r="Z30" i="1"/>
  <c r="U30" i="1"/>
  <c r="T30" i="1"/>
  <c r="S30" i="1"/>
  <c r="N30" i="1"/>
  <c r="M30" i="1"/>
  <c r="L30" i="1"/>
  <c r="K30" i="1"/>
  <c r="J30" i="1"/>
  <c r="E30" i="1"/>
  <c r="D30" i="1"/>
  <c r="C30" i="1"/>
  <c r="B30" i="1"/>
  <c r="Z26" i="1"/>
  <c r="S26" i="1"/>
  <c r="J26" i="1"/>
  <c r="B26" i="1"/>
  <c r="AB19" i="1"/>
  <c r="AA17" i="1"/>
  <c r="S17" i="1"/>
  <c r="AB16" i="1"/>
  <c r="AB17" i="1" s="1"/>
  <c r="AA16" i="1"/>
  <c r="Z16" i="1"/>
  <c r="Z17" i="1" s="1"/>
  <c r="U16" i="1"/>
  <c r="U17" i="1" s="1"/>
  <c r="T16" i="1"/>
  <c r="T17" i="1" s="1"/>
  <c r="S16" i="1"/>
  <c r="N16" i="1"/>
  <c r="M16" i="1"/>
  <c r="M17" i="1" s="1"/>
  <c r="L16" i="1"/>
  <c r="L17" i="1" s="1"/>
  <c r="K16" i="1"/>
  <c r="J16" i="1"/>
  <c r="J17" i="1" s="1"/>
  <c r="E16" i="1"/>
  <c r="E17" i="1" s="1"/>
  <c r="D16" i="1"/>
  <c r="D17" i="1" s="1"/>
  <c r="C16" i="1"/>
  <c r="B16" i="1"/>
  <c r="B17" i="1" s="1"/>
  <c r="U15" i="1"/>
  <c r="T15" i="1"/>
  <c r="U19" i="1" s="1"/>
  <c r="S15" i="1"/>
  <c r="N15" i="1"/>
  <c r="M15" i="1"/>
  <c r="L15" i="1"/>
  <c r="K15" i="1"/>
  <c r="K17" i="1" s="1"/>
  <c r="J15" i="1"/>
  <c r="E15" i="1"/>
  <c r="D15" i="1"/>
  <c r="C15" i="1"/>
  <c r="C17" i="1" s="1"/>
  <c r="B15" i="1"/>
  <c r="O6" i="1"/>
  <c r="S75" i="1" s="1"/>
  <c r="R4" i="1"/>
  <c r="R5" i="1" s="1"/>
  <c r="R6" i="1" s="1"/>
  <c r="N17" i="1" l="1"/>
  <c r="E19" i="1"/>
  <c r="M19" i="1"/>
  <c r="L19" i="1"/>
  <c r="B19" i="1"/>
  <c r="J19" i="1"/>
  <c r="N19" i="1"/>
  <c r="Z19" i="1"/>
  <c r="D19" i="1"/>
  <c r="T19" i="1"/>
  <c r="S61" i="1"/>
  <c r="S89" i="1"/>
  <c r="S47" i="1"/>
  <c r="S33" i="1"/>
  <c r="C19" i="1"/>
  <c r="K19" i="1"/>
  <c r="S19" i="1"/>
  <c r="AA19" i="1"/>
  <c r="Z20" i="1" l="1"/>
  <c r="AB21" i="1" s="1"/>
  <c r="B20" i="1"/>
  <c r="C21" i="1" s="1"/>
  <c r="S20" i="1"/>
  <c r="U21" i="1" s="1"/>
  <c r="J20" i="1"/>
  <c r="M21" i="1" s="1"/>
  <c r="D21" i="1" l="1"/>
  <c r="D29" i="1" s="1"/>
  <c r="L21" i="1"/>
  <c r="L22" i="1" s="1"/>
  <c r="J21" i="1"/>
  <c r="J22" i="1" s="1"/>
  <c r="M22" i="1"/>
  <c r="M24" i="1"/>
  <c r="M29" i="1" s="1"/>
  <c r="C22" i="1"/>
  <c r="C29" i="1"/>
  <c r="U22" i="1"/>
  <c r="U24" i="1"/>
  <c r="U29" i="1" s="1"/>
  <c r="N21" i="1"/>
  <c r="Z21" i="1"/>
  <c r="Z24" i="1" s="1"/>
  <c r="K21" i="1"/>
  <c r="D22" i="1"/>
  <c r="B21" i="1"/>
  <c r="AB22" i="1"/>
  <c r="AB24" i="1"/>
  <c r="AB29" i="1" s="1"/>
  <c r="AA21" i="1"/>
  <c r="J24" i="1"/>
  <c r="E21" i="1"/>
  <c r="S21" i="1"/>
  <c r="T21" i="1"/>
  <c r="T24" i="1" s="1"/>
  <c r="L29" i="1" l="1"/>
  <c r="M33" i="1" s="1"/>
  <c r="E22" i="1"/>
  <c r="E24" i="1"/>
  <c r="E29" i="1" s="1"/>
  <c r="E33" i="1" s="1"/>
  <c r="Z22" i="1"/>
  <c r="Z29" i="1"/>
  <c r="K22" i="1"/>
  <c r="P22" i="1" s="1"/>
  <c r="K24" i="1"/>
  <c r="K29" i="1" s="1"/>
  <c r="N22" i="1"/>
  <c r="N24" i="1"/>
  <c r="N29" i="1" s="1"/>
  <c r="N31" i="1" s="1"/>
  <c r="AB31" i="1"/>
  <c r="T22" i="1"/>
  <c r="T29" i="1"/>
  <c r="J29" i="1"/>
  <c r="B22" i="1"/>
  <c r="T33" i="1"/>
  <c r="U31" i="1"/>
  <c r="L33" i="1"/>
  <c r="M31" i="1"/>
  <c r="C31" i="1"/>
  <c r="B33" i="1"/>
  <c r="S22" i="1"/>
  <c r="S24" i="1"/>
  <c r="AA22" i="1"/>
  <c r="AA24" i="1"/>
  <c r="D31" i="1"/>
  <c r="L31" i="1" l="1"/>
  <c r="J25" i="1"/>
  <c r="O25" i="1" s="1"/>
  <c r="G22" i="1"/>
  <c r="S29" i="1"/>
  <c r="S25" i="1"/>
  <c r="V25" i="1" s="1"/>
  <c r="K31" i="1"/>
  <c r="J33" i="1"/>
  <c r="W22" i="1"/>
  <c r="AD22" i="1" s="1"/>
  <c r="K33" i="1"/>
  <c r="N33" i="1"/>
  <c r="J31" i="1"/>
  <c r="D33" i="1"/>
  <c r="E31" i="1"/>
  <c r="Z31" i="1"/>
  <c r="Z25" i="1"/>
  <c r="AC25" i="1" s="1"/>
  <c r="AA29" i="1"/>
  <c r="AB33" i="1" s="1"/>
  <c r="B29" i="1"/>
  <c r="B25" i="1"/>
  <c r="F25" i="1" s="1"/>
  <c r="U33" i="1"/>
  <c r="T31" i="1"/>
  <c r="S31" i="1" l="1"/>
  <c r="AA31" i="1"/>
  <c r="Z33" i="1"/>
  <c r="J34" i="1"/>
  <c r="S34" i="1"/>
  <c r="C33" i="1"/>
  <c r="B31" i="1"/>
  <c r="AA33" i="1"/>
  <c r="L35" i="1" l="1"/>
  <c r="L38" i="1" s="1"/>
  <c r="M35" i="1"/>
  <c r="J35" i="1"/>
  <c r="B34" i="1"/>
  <c r="N35" i="1"/>
  <c r="K35" i="1"/>
  <c r="S35" i="1"/>
  <c r="T35" i="1"/>
  <c r="T38" i="1" s="1"/>
  <c r="Z34" i="1"/>
  <c r="AB35" i="1" s="1"/>
  <c r="U35" i="1"/>
  <c r="AB36" i="1" l="1"/>
  <c r="AB38" i="1"/>
  <c r="AB43" i="1" s="1"/>
  <c r="AA35" i="1"/>
  <c r="Z35" i="1"/>
  <c r="Z38" i="1" s="1"/>
  <c r="N36" i="1"/>
  <c r="N38" i="1"/>
  <c r="N43" i="1" s="1"/>
  <c r="N45" i="1" s="1"/>
  <c r="J36" i="1"/>
  <c r="J38" i="1"/>
  <c r="T36" i="1"/>
  <c r="T43" i="1"/>
  <c r="E35" i="1"/>
  <c r="B35" i="1"/>
  <c r="D35" i="1"/>
  <c r="D38" i="1" s="1"/>
  <c r="M36" i="1"/>
  <c r="M38" i="1"/>
  <c r="M43" i="1" s="1"/>
  <c r="K36" i="1"/>
  <c r="K38" i="1"/>
  <c r="K43" i="1" s="1"/>
  <c r="U36" i="1"/>
  <c r="U38" i="1"/>
  <c r="U43" i="1" s="1"/>
  <c r="S36" i="1"/>
  <c r="S38" i="1"/>
  <c r="C35" i="1"/>
  <c r="L36" i="1"/>
  <c r="L43" i="1"/>
  <c r="W36" i="1" l="1"/>
  <c r="Z36" i="1"/>
  <c r="T47" i="1"/>
  <c r="U45" i="1"/>
  <c r="L47" i="1"/>
  <c r="M45" i="1"/>
  <c r="E36" i="1"/>
  <c r="E38" i="1"/>
  <c r="E43" i="1" s="1"/>
  <c r="P36" i="1"/>
  <c r="AA36" i="1"/>
  <c r="AA38" i="1"/>
  <c r="B36" i="1"/>
  <c r="B38" i="1"/>
  <c r="C36" i="1"/>
  <c r="C38" i="1"/>
  <c r="C43" i="1" s="1"/>
  <c r="U47" i="1"/>
  <c r="T45" i="1"/>
  <c r="AB45" i="1"/>
  <c r="M47" i="1"/>
  <c r="L45" i="1"/>
  <c r="J39" i="1"/>
  <c r="O39" i="1" s="1"/>
  <c r="J43" i="1"/>
  <c r="J41" i="1"/>
  <c r="S43" i="1"/>
  <c r="S39" i="1"/>
  <c r="V39" i="1" s="1"/>
  <c r="S41" i="1"/>
  <c r="J47" i="1"/>
  <c r="K45" i="1"/>
  <c r="D36" i="1"/>
  <c r="D43" i="1"/>
  <c r="G36" i="1" l="1"/>
  <c r="K47" i="1"/>
  <c r="J45" i="1"/>
  <c r="N47" i="1"/>
  <c r="B47" i="1"/>
  <c r="C45" i="1"/>
  <c r="Z39" i="1"/>
  <c r="AC39" i="1" s="1"/>
  <c r="AA43" i="1"/>
  <c r="S48" i="1"/>
  <c r="S49" i="1" s="1"/>
  <c r="E47" i="1"/>
  <c r="D45" i="1"/>
  <c r="Z43" i="1"/>
  <c r="Z41" i="1"/>
  <c r="D47" i="1"/>
  <c r="E45" i="1"/>
  <c r="S45" i="1"/>
  <c r="B39" i="1"/>
  <c r="F39" i="1" s="1"/>
  <c r="B43" i="1"/>
  <c r="B41" i="1"/>
  <c r="AD36" i="1"/>
  <c r="J48" i="1" l="1"/>
  <c r="J49" i="1" s="1"/>
  <c r="J52" i="1" s="1"/>
  <c r="S50" i="1"/>
  <c r="S52" i="1"/>
  <c r="C47" i="1"/>
  <c r="B45" i="1"/>
  <c r="AB47" i="1"/>
  <c r="Z45" i="1"/>
  <c r="AA47" i="1"/>
  <c r="T49" i="1"/>
  <c r="T52" i="1" s="1"/>
  <c r="Z47" i="1"/>
  <c r="AA45" i="1"/>
  <c r="U49" i="1"/>
  <c r="M49" i="1" l="1"/>
  <c r="M50" i="1" s="1"/>
  <c r="K49" i="1"/>
  <c r="K52" i="1" s="1"/>
  <c r="K57" i="1" s="1"/>
  <c r="N49" i="1"/>
  <c r="N50" i="1" s="1"/>
  <c r="L49" i="1"/>
  <c r="L52" i="1" s="1"/>
  <c r="J50" i="1"/>
  <c r="T50" i="1"/>
  <c r="T57" i="1"/>
  <c r="J57" i="1"/>
  <c r="Z48" i="1"/>
  <c r="Z49" i="1" s="1"/>
  <c r="Z52" i="1" s="1"/>
  <c r="S57" i="1"/>
  <c r="U50" i="1"/>
  <c r="U52" i="1"/>
  <c r="U57" i="1" s="1"/>
  <c r="B48" i="1"/>
  <c r="M52" i="1" l="1"/>
  <c r="M57" i="1" s="1"/>
  <c r="M59" i="1" s="1"/>
  <c r="K50" i="1"/>
  <c r="L57" i="1"/>
  <c r="L50" i="1"/>
  <c r="N52" i="1"/>
  <c r="N57" i="1" s="1"/>
  <c r="N59" i="1" s="1"/>
  <c r="W50" i="1"/>
  <c r="S55" i="1"/>
  <c r="Z50" i="1"/>
  <c r="AB49" i="1"/>
  <c r="D49" i="1"/>
  <c r="D52" i="1" s="1"/>
  <c r="B49" i="1"/>
  <c r="E49" i="1"/>
  <c r="S53" i="1"/>
  <c r="V53" i="1" s="1"/>
  <c r="AA49" i="1"/>
  <c r="T61" i="1"/>
  <c r="U59" i="1"/>
  <c r="S59" i="1"/>
  <c r="C49" i="1"/>
  <c r="U61" i="1"/>
  <c r="T59" i="1"/>
  <c r="K59" i="1"/>
  <c r="N61" i="1"/>
  <c r="J59" i="1"/>
  <c r="L61" i="1" l="1"/>
  <c r="P50" i="1"/>
  <c r="L59" i="1"/>
  <c r="M61" i="1"/>
  <c r="K61" i="1"/>
  <c r="J61" i="1"/>
  <c r="J53" i="1"/>
  <c r="O53" i="1" s="1"/>
  <c r="J55" i="1"/>
  <c r="AB50" i="1"/>
  <c r="AB52" i="1"/>
  <c r="AB57" i="1" s="1"/>
  <c r="S62" i="1"/>
  <c r="S63" i="1" s="1"/>
  <c r="E50" i="1"/>
  <c r="E52" i="1"/>
  <c r="E57" i="1" s="1"/>
  <c r="Z57" i="1"/>
  <c r="D50" i="1"/>
  <c r="D57" i="1"/>
  <c r="C50" i="1"/>
  <c r="C52" i="1"/>
  <c r="C57" i="1" s="1"/>
  <c r="AA50" i="1"/>
  <c r="AA52" i="1"/>
  <c r="B50" i="1"/>
  <c r="B52" i="1"/>
  <c r="J62" i="1" l="1"/>
  <c r="K63" i="1" s="1"/>
  <c r="K64" i="1" s="1"/>
  <c r="B55" i="1"/>
  <c r="AD50" i="1"/>
  <c r="Z55" i="1"/>
  <c r="S64" i="1"/>
  <c r="S66" i="1"/>
  <c r="B57" i="1"/>
  <c r="B53" i="1"/>
  <c r="F53" i="1" s="1"/>
  <c r="B61" i="1"/>
  <c r="C59" i="1"/>
  <c r="Z59" i="1"/>
  <c r="U63" i="1"/>
  <c r="T63" i="1"/>
  <c r="T66" i="1" s="1"/>
  <c r="D61" i="1"/>
  <c r="E59" i="1"/>
  <c r="AB59" i="1"/>
  <c r="G50" i="1"/>
  <c r="AA57" i="1"/>
  <c r="AB61" i="1" s="1"/>
  <c r="Z53" i="1"/>
  <c r="AC53" i="1" s="1"/>
  <c r="E61" i="1"/>
  <c r="D59" i="1"/>
  <c r="N63" i="1" l="1"/>
  <c r="N64" i="1" s="1"/>
  <c r="K66" i="1"/>
  <c r="K71" i="1" s="1"/>
  <c r="K73" i="1" s="1"/>
  <c r="J63" i="1"/>
  <c r="J64" i="1" s="1"/>
  <c r="M63" i="1"/>
  <c r="M66" i="1" s="1"/>
  <c r="M71" i="1" s="1"/>
  <c r="M73" i="1" s="1"/>
  <c r="L63" i="1"/>
  <c r="AA61" i="1"/>
  <c r="T64" i="1"/>
  <c r="T71" i="1"/>
  <c r="U64" i="1"/>
  <c r="U66" i="1"/>
  <c r="U71" i="1" s="1"/>
  <c r="Z61" i="1"/>
  <c r="AA59" i="1"/>
  <c r="S71" i="1"/>
  <c r="C61" i="1"/>
  <c r="B62" i="1" s="1"/>
  <c r="D63" i="1" s="1"/>
  <c r="D66" i="1" s="1"/>
  <c r="B59" i="1"/>
  <c r="S69" i="1" l="1"/>
  <c r="S67" i="1"/>
  <c r="V67" i="1" s="1"/>
  <c r="W64" i="1"/>
  <c r="L66" i="1"/>
  <c r="L71" i="1" s="1"/>
  <c r="N66" i="1"/>
  <c r="N71" i="1" s="1"/>
  <c r="N73" i="1" s="1"/>
  <c r="J66" i="1"/>
  <c r="M64" i="1"/>
  <c r="L75" i="1"/>
  <c r="L64" i="1"/>
  <c r="D64" i="1"/>
  <c r="D71" i="1"/>
  <c r="S73" i="1"/>
  <c r="C63" i="1"/>
  <c r="E63" i="1"/>
  <c r="U75" i="1"/>
  <c r="T73" i="1"/>
  <c r="B63" i="1"/>
  <c r="Z62" i="1"/>
  <c r="AB63" i="1" s="1"/>
  <c r="T75" i="1"/>
  <c r="U73" i="1"/>
  <c r="J75" i="1" l="1"/>
  <c r="J69" i="1"/>
  <c r="M75" i="1"/>
  <c r="L73" i="1"/>
  <c r="P64" i="1"/>
  <c r="J71" i="1"/>
  <c r="N75" i="1" s="1"/>
  <c r="J67" i="1"/>
  <c r="O67" i="1" s="1"/>
  <c r="S76" i="1"/>
  <c r="S77" i="1" s="1"/>
  <c r="Z63" i="1"/>
  <c r="Z66" i="1" s="1"/>
  <c r="E64" i="1"/>
  <c r="E66" i="1"/>
  <c r="E71" i="1" s="1"/>
  <c r="E75" i="1" s="1"/>
  <c r="B64" i="1"/>
  <c r="B66" i="1"/>
  <c r="AA63" i="1"/>
  <c r="C64" i="1"/>
  <c r="C66" i="1"/>
  <c r="C71" i="1" s="1"/>
  <c r="D73" i="1"/>
  <c r="AB64" i="1"/>
  <c r="AB66" i="1"/>
  <c r="AB71" i="1" s="1"/>
  <c r="K75" i="1" l="1"/>
  <c r="J76" i="1" s="1"/>
  <c r="N77" i="1" s="1"/>
  <c r="J73" i="1"/>
  <c r="U77" i="1"/>
  <c r="U78" i="1" s="1"/>
  <c r="AB73" i="1"/>
  <c r="B75" i="1"/>
  <c r="C73" i="1"/>
  <c r="B71" i="1"/>
  <c r="B67" i="1"/>
  <c r="F67" i="1" s="1"/>
  <c r="B69" i="1"/>
  <c r="Z64" i="1"/>
  <c r="AA64" i="1"/>
  <c r="AA66" i="1"/>
  <c r="G64" i="1"/>
  <c r="S78" i="1"/>
  <c r="S80" i="1"/>
  <c r="D75" i="1"/>
  <c r="E73" i="1"/>
  <c r="T77" i="1"/>
  <c r="T80" i="1" s="1"/>
  <c r="U80" i="1" l="1"/>
  <c r="U85" i="1" s="1"/>
  <c r="U87" i="1" s="1"/>
  <c r="N78" i="1"/>
  <c r="N80" i="1"/>
  <c r="N85" i="1" s="1"/>
  <c r="N87" i="1" s="1"/>
  <c r="AA71" i="1"/>
  <c r="Z67" i="1"/>
  <c r="AC67" i="1" s="1"/>
  <c r="T78" i="1"/>
  <c r="W78" i="1" s="1"/>
  <c r="T85" i="1"/>
  <c r="K77" i="1"/>
  <c r="Z71" i="1"/>
  <c r="Z69" i="1"/>
  <c r="C75" i="1"/>
  <c r="B73" i="1"/>
  <c r="L77" i="1"/>
  <c r="L80" i="1" s="1"/>
  <c r="J77" i="1"/>
  <c r="M77" i="1"/>
  <c r="S85" i="1"/>
  <c r="AD64" i="1"/>
  <c r="T89" i="1" l="1"/>
  <c r="S81" i="1"/>
  <c r="V81" i="1" s="1"/>
  <c r="S87" i="1"/>
  <c r="J78" i="1"/>
  <c r="J80" i="1"/>
  <c r="K78" i="1"/>
  <c r="K80" i="1"/>
  <c r="K85" i="1" s="1"/>
  <c r="Z75" i="1"/>
  <c r="AA73" i="1"/>
  <c r="U89" i="1"/>
  <c r="T87" i="1"/>
  <c r="M78" i="1"/>
  <c r="M80" i="1"/>
  <c r="M85" i="1" s="1"/>
  <c r="B76" i="1"/>
  <c r="C77" i="1" s="1"/>
  <c r="L78" i="1"/>
  <c r="L85" i="1"/>
  <c r="S83" i="1"/>
  <c r="AB75" i="1"/>
  <c r="Z73" i="1"/>
  <c r="AA75" i="1"/>
  <c r="C78" i="1" l="1"/>
  <c r="C80" i="1"/>
  <c r="C85" i="1" s="1"/>
  <c r="M89" i="1"/>
  <c r="L87" i="1"/>
  <c r="L89" i="1"/>
  <c r="M87" i="1"/>
  <c r="J85" i="1"/>
  <c r="J81" i="1"/>
  <c r="O81" i="1" s="1"/>
  <c r="J83" i="1"/>
  <c r="S90" i="1"/>
  <c r="E77" i="1"/>
  <c r="B77" i="1"/>
  <c r="D77" i="1"/>
  <c r="D80" i="1" s="1"/>
  <c r="K87" i="1"/>
  <c r="J89" i="1"/>
  <c r="Z76" i="1"/>
  <c r="Z77" i="1" s="1"/>
  <c r="Z80" i="1" s="1"/>
  <c r="P78" i="1"/>
  <c r="Z78" i="1" l="1"/>
  <c r="S91" i="1"/>
  <c r="T91" i="1"/>
  <c r="T94" i="1" s="1"/>
  <c r="U91" i="1"/>
  <c r="AA77" i="1"/>
  <c r="AB77" i="1"/>
  <c r="C87" i="1"/>
  <c r="B89" i="1"/>
  <c r="D78" i="1"/>
  <c r="D85" i="1"/>
  <c r="B78" i="1"/>
  <c r="B80" i="1"/>
  <c r="E78" i="1"/>
  <c r="E80" i="1"/>
  <c r="E85" i="1" s="1"/>
  <c r="K89" i="1"/>
  <c r="N89" i="1"/>
  <c r="J87" i="1"/>
  <c r="T92" i="1" l="1"/>
  <c r="AA78" i="1"/>
  <c r="AA80" i="1"/>
  <c r="S92" i="1"/>
  <c r="S94" i="1"/>
  <c r="E89" i="1"/>
  <c r="D87" i="1"/>
  <c r="D89" i="1"/>
  <c r="E87" i="1"/>
  <c r="B85" i="1"/>
  <c r="B81" i="1"/>
  <c r="F81" i="1" s="1"/>
  <c r="B83" i="1"/>
  <c r="U92" i="1"/>
  <c r="U94" i="1"/>
  <c r="Z85" i="1"/>
  <c r="J90" i="1"/>
  <c r="N91" i="1" s="1"/>
  <c r="AB78" i="1"/>
  <c r="AB80" i="1"/>
  <c r="AB85" i="1" s="1"/>
  <c r="G78" i="1"/>
  <c r="AD78" i="1" l="1"/>
  <c r="Z83" i="1"/>
  <c r="C89" i="1"/>
  <c r="B87" i="1"/>
  <c r="AB87" i="1"/>
  <c r="Z87" i="1"/>
  <c r="S95" i="1"/>
  <c r="V95" i="1" s="1"/>
  <c r="S97" i="1"/>
  <c r="W92" i="1"/>
  <c r="N92" i="1"/>
  <c r="N94" i="1"/>
  <c r="L91" i="1"/>
  <c r="L94" i="1" s="1"/>
  <c r="J91" i="1"/>
  <c r="M91" i="1"/>
  <c r="Z81" i="1"/>
  <c r="AC81" i="1" s="1"/>
  <c r="AA85" i="1"/>
  <c r="K91" i="1"/>
  <c r="AA87" i="1" l="1"/>
  <c r="Z89" i="1"/>
  <c r="AB89" i="1"/>
  <c r="L92" i="1"/>
  <c r="M92" i="1"/>
  <c r="M94" i="1"/>
  <c r="K92" i="1"/>
  <c r="K94" i="1"/>
  <c r="J92" i="1"/>
  <c r="J94" i="1"/>
  <c r="AA89" i="1"/>
  <c r="B90" i="1"/>
  <c r="J95" i="1" l="1"/>
  <c r="O95" i="1" s="1"/>
  <c r="J97" i="1"/>
  <c r="P92" i="1"/>
  <c r="Z90" i="1"/>
  <c r="AA91" i="1" s="1"/>
  <c r="B91" i="1"/>
  <c r="E91" i="1"/>
  <c r="D91" i="1"/>
  <c r="D94" i="1" s="1"/>
  <c r="C91" i="1"/>
  <c r="AB91" i="1" l="1"/>
  <c r="AB92" i="1" s="1"/>
  <c r="AA92" i="1"/>
  <c r="AA94" i="1"/>
  <c r="B92" i="1"/>
  <c r="B94" i="1"/>
  <c r="C92" i="1"/>
  <c r="C94" i="1"/>
  <c r="D92" i="1"/>
  <c r="Z91" i="1"/>
  <c r="Z94" i="1" s="1"/>
  <c r="E92" i="1"/>
  <c r="E94" i="1"/>
  <c r="AB94" i="1" l="1"/>
  <c r="Z95" i="1" s="1"/>
  <c r="AC95" i="1" s="1"/>
  <c r="Z92" i="1"/>
  <c r="AD92" i="1" s="1"/>
  <c r="G92" i="1"/>
  <c r="B95" i="1"/>
  <c r="F95" i="1" s="1"/>
  <c r="B97" i="1"/>
  <c r="Z97" i="1" l="1"/>
</calcChain>
</file>

<file path=xl/sharedStrings.xml><?xml version="1.0" encoding="utf-8"?>
<sst xmlns="http://schemas.openxmlformats.org/spreadsheetml/2006/main" count="479" uniqueCount="69">
  <si>
    <t>STATIČKI SUSTAV B</t>
  </si>
  <si>
    <r>
      <t>X</t>
    </r>
    <r>
      <rPr>
        <sz val="9"/>
        <color theme="1"/>
        <rFont val="Calibri"/>
        <family val="2"/>
        <charset val="238"/>
        <scheme val="minor"/>
      </rPr>
      <t>1</t>
    </r>
  </si>
  <si>
    <r>
      <t>X</t>
    </r>
    <r>
      <rPr>
        <sz val="9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/>
    </r>
  </si>
  <si>
    <r>
      <t>X</t>
    </r>
    <r>
      <rPr>
        <sz val="9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/>
    </r>
  </si>
  <si>
    <r>
      <t>X</t>
    </r>
    <r>
      <rPr>
        <sz val="9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charset val="238"/>
        <scheme val="minor"/>
      </rPr>
      <t/>
    </r>
  </si>
  <si>
    <r>
      <t>X</t>
    </r>
    <r>
      <rPr>
        <sz val="9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charset val="238"/>
        <scheme val="minor"/>
      </rPr>
      <t/>
    </r>
  </si>
  <si>
    <r>
      <t>X</t>
    </r>
    <r>
      <rPr>
        <sz val="9"/>
        <color theme="1"/>
        <rFont val="Calibri"/>
        <family val="2"/>
        <charset val="238"/>
        <scheme val="minor"/>
      </rPr>
      <t>6</t>
    </r>
    <r>
      <rPr>
        <sz val="11"/>
        <color theme="1"/>
        <rFont val="Calibri"/>
        <family val="2"/>
        <charset val="238"/>
        <scheme val="minor"/>
      </rPr>
      <t/>
    </r>
  </si>
  <si>
    <t>fraktili %</t>
  </si>
  <si>
    <r>
      <t>X=X</t>
    </r>
    <r>
      <rPr>
        <b/>
        <sz val="9"/>
        <color theme="1"/>
        <rFont val="Calibri"/>
        <family val="2"/>
        <charset val="238"/>
        <scheme val="minor"/>
      </rPr>
      <t>k</t>
    </r>
    <r>
      <rPr>
        <b/>
        <sz val="11"/>
        <color theme="1"/>
        <rFont val="Calibri"/>
        <family val="2"/>
        <charset val="238"/>
        <scheme val="minor"/>
      </rPr>
      <t>-k</t>
    </r>
    <r>
      <rPr>
        <b/>
        <sz val="11"/>
        <color theme="1"/>
        <rFont val="Calibri"/>
        <family val="2"/>
        <charset val="238"/>
      </rPr>
      <t>∙σ</t>
    </r>
  </si>
  <si>
    <r>
      <t>f</t>
    </r>
    <r>
      <rPr>
        <b/>
        <sz val="9"/>
        <color theme="1"/>
        <rFont val="Calibri"/>
        <family val="2"/>
        <charset val="238"/>
        <scheme val="minor"/>
      </rPr>
      <t>y</t>
    </r>
  </si>
  <si>
    <r>
      <t>W</t>
    </r>
    <r>
      <rPr>
        <b/>
        <sz val="9"/>
        <color theme="1"/>
        <rFont val="Calibri"/>
        <family val="2"/>
        <charset val="238"/>
        <scheme val="minor"/>
      </rPr>
      <t>pl,y</t>
    </r>
  </si>
  <si>
    <t>p</t>
  </si>
  <si>
    <t>l</t>
  </si>
  <si>
    <r>
      <t>χ</t>
    </r>
    <r>
      <rPr>
        <b/>
        <sz val="9"/>
        <color theme="1"/>
        <rFont val="Calibri"/>
        <family val="2"/>
        <charset val="238"/>
      </rPr>
      <t>LT</t>
    </r>
  </si>
  <si>
    <t>E</t>
  </si>
  <si>
    <r>
      <t>X</t>
    </r>
    <r>
      <rPr>
        <sz val="10"/>
        <color theme="1"/>
        <rFont val="Calibri"/>
        <family val="2"/>
        <charset val="238"/>
        <scheme val="minor"/>
      </rPr>
      <t>k</t>
    </r>
  </si>
  <si>
    <t>k</t>
  </si>
  <si>
    <r>
      <t>X</t>
    </r>
    <r>
      <rPr>
        <b/>
        <sz val="9"/>
        <color theme="1"/>
        <rFont val="Calibri"/>
        <family val="2"/>
        <charset val="238"/>
        <scheme val="minor"/>
      </rPr>
      <t>i</t>
    </r>
  </si>
  <si>
    <t>V</t>
  </si>
  <si>
    <r>
      <t>σ</t>
    </r>
    <r>
      <rPr>
        <b/>
        <sz val="9"/>
        <color theme="1"/>
        <rFont val="Calibri"/>
        <family val="2"/>
        <charset val="238"/>
      </rPr>
      <t>i</t>
    </r>
  </si>
  <si>
    <t>X</t>
  </si>
  <si>
    <t>A</t>
  </si>
  <si>
    <r>
      <t>[cm</t>
    </r>
    <r>
      <rPr>
        <sz val="11"/>
        <color theme="1"/>
        <rFont val="Calibri"/>
        <family val="2"/>
        <charset val="238"/>
      </rPr>
      <t>²]</t>
    </r>
  </si>
  <si>
    <t>tw</t>
  </si>
  <si>
    <r>
      <t>[cm</t>
    </r>
    <r>
      <rPr>
        <sz val="11"/>
        <color theme="1"/>
        <rFont val="Calibri"/>
        <family val="2"/>
        <charset val="238"/>
      </rPr>
      <t>]</t>
    </r>
  </si>
  <si>
    <r>
      <t>A</t>
    </r>
    <r>
      <rPr>
        <b/>
        <sz val="10"/>
        <color theme="1"/>
        <rFont val="Calibri"/>
        <family val="2"/>
        <charset val="238"/>
        <scheme val="minor"/>
      </rPr>
      <t>v</t>
    </r>
  </si>
  <si>
    <t>σ</t>
  </si>
  <si>
    <t>b</t>
  </si>
  <si>
    <t>tf</t>
  </si>
  <si>
    <t>Iy</t>
  </si>
  <si>
    <r>
      <t>[cm</t>
    </r>
    <r>
      <rPr>
        <sz val="11"/>
        <color theme="1"/>
        <rFont val="Calibri"/>
        <family val="2"/>
        <charset val="238"/>
      </rPr>
      <t>⁴]</t>
    </r>
  </si>
  <si>
    <t>r</t>
  </si>
  <si>
    <t>1. JEDNADŽBA (M)</t>
  </si>
  <si>
    <r>
      <t>2. JEDNADŽBA (χ</t>
    </r>
    <r>
      <rPr>
        <b/>
        <sz val="10"/>
        <color theme="1"/>
        <rFont val="Calibri"/>
        <family val="2"/>
        <charset val="238"/>
        <scheme val="minor"/>
      </rPr>
      <t>LT</t>
    </r>
    <r>
      <rPr>
        <b/>
        <sz val="12"/>
        <color theme="1"/>
        <rFont val="Calibri"/>
        <family val="2"/>
        <charset val="238"/>
        <scheme val="minor"/>
      </rPr>
      <t>)</t>
    </r>
  </si>
  <si>
    <t>3. JEDNADŽBA (V)</t>
  </si>
  <si>
    <r>
      <t xml:space="preserve">4. JEDNADŽBA (W) - </t>
    </r>
    <r>
      <rPr>
        <b/>
        <sz val="12"/>
        <color rgb="FFFF0000"/>
        <rFont val="Calibri"/>
        <family val="2"/>
        <charset val="238"/>
        <scheme val="minor"/>
      </rPr>
      <t>GSU</t>
    </r>
  </si>
  <si>
    <t>χLT</t>
  </si>
  <si>
    <t>DISTRIBUCIJA</t>
  </si>
  <si>
    <t>normalna</t>
  </si>
  <si>
    <t>G</t>
  </si>
  <si>
    <r>
      <t xml:space="preserve">G = X1 </t>
    </r>
    <r>
      <rPr>
        <b/>
        <i/>
        <sz val="11"/>
        <color theme="1"/>
        <rFont val="Calibri"/>
        <family val="2"/>
        <charset val="238"/>
      </rPr>
      <t>∙ X2 - 0,125 ∙ X3 ∙ X4</t>
    </r>
    <r>
      <rPr>
        <b/>
        <sz val="11"/>
        <color theme="1"/>
        <rFont val="Calibri"/>
        <family val="2"/>
        <charset val="238"/>
      </rPr>
      <t>²</t>
    </r>
  </si>
  <si>
    <r>
      <t xml:space="preserve">G = X1 </t>
    </r>
    <r>
      <rPr>
        <b/>
        <i/>
        <sz val="11"/>
        <color theme="1"/>
        <rFont val="Calibri"/>
        <family val="2"/>
        <charset val="238"/>
      </rPr>
      <t>∙ X2 ∙ X5 - 0,125 ∙ X3 ∙ X4</t>
    </r>
    <r>
      <rPr>
        <b/>
        <sz val="11"/>
        <color theme="1"/>
        <rFont val="Calibri"/>
        <family val="2"/>
        <charset val="238"/>
      </rPr>
      <t>²</t>
    </r>
  </si>
  <si>
    <r>
      <t>G = (Av/</t>
    </r>
    <r>
      <rPr>
        <b/>
        <sz val="11"/>
        <color theme="1"/>
        <rFont val="Calibri"/>
        <family val="2"/>
        <charset val="238"/>
      </rPr>
      <t>√</t>
    </r>
    <r>
      <rPr>
        <b/>
        <i/>
        <sz val="11"/>
        <color theme="1"/>
        <rFont val="Calibri"/>
        <family val="2"/>
        <charset val="238"/>
      </rPr>
      <t>3) ∙ X1 - 0,5 ∙ X3 ∙ X4</t>
    </r>
  </si>
  <si>
    <r>
      <t>G = (X4/300</t>
    </r>
    <r>
      <rPr>
        <b/>
        <i/>
        <sz val="10"/>
        <color theme="1"/>
        <rFont val="Calibri"/>
        <family val="2"/>
        <charset val="238"/>
      </rPr>
      <t>) - (X3 ∙ X4</t>
    </r>
    <r>
      <rPr>
        <b/>
        <sz val="10"/>
        <color theme="1"/>
        <rFont val="Calibri"/>
        <family val="2"/>
        <charset val="238"/>
      </rPr>
      <t>⁴</t>
    </r>
    <r>
      <rPr>
        <b/>
        <i/>
        <sz val="10"/>
        <color theme="1"/>
        <rFont val="Calibri"/>
        <family val="2"/>
        <charset val="238"/>
      </rPr>
      <t>)/(185 ∙ X6 ∙ I)</t>
    </r>
  </si>
  <si>
    <r>
      <t>∂G/∂X</t>
    </r>
    <r>
      <rPr>
        <sz val="9"/>
        <color theme="1"/>
        <rFont val="Calibri"/>
        <family val="2"/>
        <charset val="238"/>
      </rPr>
      <t>i</t>
    </r>
  </si>
  <si>
    <r>
      <rPr>
        <sz val="11"/>
        <color theme="1"/>
        <rFont val="Calibri"/>
        <family val="2"/>
        <charset val="238"/>
      </rPr>
      <t>σ</t>
    </r>
    <r>
      <rPr>
        <sz val="9"/>
        <color theme="1"/>
        <rFont val="Calibri"/>
        <family val="2"/>
        <charset val="238"/>
        <scheme val="minor"/>
      </rPr>
      <t>z</t>
    </r>
  </si>
  <si>
    <r>
      <t>α</t>
    </r>
    <r>
      <rPr>
        <sz val="8"/>
        <color theme="1"/>
        <rFont val="Calibri"/>
        <family val="2"/>
        <charset val="238"/>
      </rPr>
      <t>xi</t>
    </r>
  </si>
  <si>
    <r>
      <t>α</t>
    </r>
    <r>
      <rPr>
        <sz val="8"/>
        <color theme="1"/>
        <rFont val="Calibri"/>
        <family val="2"/>
        <charset val="238"/>
      </rPr>
      <t>xi</t>
    </r>
    <r>
      <rPr>
        <sz val="11"/>
        <color theme="1"/>
        <rFont val="Calibri"/>
        <family val="2"/>
        <charset val="238"/>
      </rPr>
      <t>²</t>
    </r>
  </si>
  <si>
    <r>
      <t>→ ∑(</t>
    </r>
    <r>
      <rPr>
        <b/>
        <sz val="12"/>
        <color theme="1"/>
        <rFont val="Calibri"/>
        <family val="2"/>
        <charset val="238"/>
      </rPr>
      <t>α</t>
    </r>
    <r>
      <rPr>
        <b/>
        <sz val="8"/>
        <color theme="1"/>
        <rFont val="Calibri"/>
        <family val="2"/>
        <charset val="238"/>
      </rPr>
      <t>xi</t>
    </r>
    <r>
      <rPr>
        <b/>
        <sz val="11"/>
        <color theme="1"/>
        <rFont val="Calibri"/>
        <family val="2"/>
        <charset val="238"/>
      </rPr>
      <t>²) =</t>
    </r>
  </si>
  <si>
    <t>β</t>
  </si>
  <si>
    <r>
      <t>X</t>
    </r>
    <r>
      <rPr>
        <sz val="9"/>
        <color theme="1"/>
        <rFont val="Calibri"/>
        <family val="2"/>
        <charset val="238"/>
        <scheme val="minor"/>
      </rPr>
      <t>i</t>
    </r>
    <r>
      <rPr>
        <sz val="11"/>
        <color theme="1"/>
        <rFont val="Calibri"/>
        <family val="2"/>
        <charset val="238"/>
        <scheme val="minor"/>
      </rPr>
      <t>*</t>
    </r>
  </si>
  <si>
    <t>G(Xi*)</t>
  </si>
  <si>
    <r>
      <t>p</t>
    </r>
    <r>
      <rPr>
        <sz val="9"/>
        <color theme="1"/>
        <rFont val="Calibri"/>
        <family val="2"/>
        <charset val="238"/>
        <scheme val="minor"/>
      </rPr>
      <t>f</t>
    </r>
  </si>
  <si>
    <t>1.ITERACIJA</t>
  </si>
  <si>
    <t>1. ITERACIJA</t>
  </si>
  <si>
    <t>2.ITERACIJA</t>
  </si>
  <si>
    <t>2. ITERACIJA</t>
  </si>
  <si>
    <t>3.ITERACIJA</t>
  </si>
  <si>
    <t>3. ITERACIJA</t>
  </si>
  <si>
    <t>4.ITERACIJA</t>
  </si>
  <si>
    <t>4. ITERACIJA</t>
  </si>
  <si>
    <t>5.ITERACIJA</t>
  </si>
  <si>
    <t>5. ITERACIJA</t>
  </si>
  <si>
    <t>c</t>
  </si>
  <si>
    <t>gumbel</t>
  </si>
  <si>
    <t>k=</t>
  </si>
  <si>
    <t>β=</t>
  </si>
  <si>
    <r>
      <t>≈β</t>
    </r>
    <r>
      <rPr>
        <b/>
        <vertAlign val="subscript"/>
        <sz val="11"/>
        <rFont val="Calibri"/>
        <family val="2"/>
        <charset val="238"/>
        <scheme val="minor"/>
      </rPr>
      <t>N</t>
    </r>
  </si>
  <si>
    <r>
      <t>≈β</t>
    </r>
    <r>
      <rPr>
        <b/>
        <vertAlign val="subscript"/>
        <sz val="11"/>
        <rFont val="Calibri"/>
        <family val="2"/>
        <charset val="238"/>
        <scheme val="minor"/>
      </rPr>
      <t>ExI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</si>
</sst>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b/>
      <sz val="9"/>
      <color theme="1"/>
      <name val="Calibri"/>
      <family val="2"/>
      <charset val="238"/>
    </font>
    <font>
      <sz val="1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0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</font>
    <font>
      <b/>
      <i/>
      <sz val="10"/>
      <color theme="1"/>
      <name val="Calibri"/>
      <family val="2"/>
      <charset val="238"/>
      <scheme val="minor"/>
    </font>
    <font>
      <b/>
      <i/>
      <sz val="10"/>
      <color theme="1"/>
      <name val="Calibri"/>
      <family val="2"/>
      <charset val="238"/>
    </font>
    <font>
      <b/>
      <sz val="10"/>
      <color theme="1"/>
      <name val="Calibri"/>
      <family val="2"/>
      <charset val="238"/>
    </font>
    <font>
      <sz val="9"/>
      <color theme="1"/>
      <name val="Calibri"/>
      <family val="2"/>
      <charset val="238"/>
    </font>
    <font>
      <sz val="8"/>
      <color theme="1"/>
      <name val="Calibri"/>
      <family val="2"/>
      <charset val="238"/>
    </font>
    <font>
      <b/>
      <sz val="12"/>
      <color theme="1"/>
      <name val="Calibri"/>
      <family val="2"/>
      <charset val="238"/>
    </font>
    <font>
      <b/>
      <sz val="8"/>
      <color theme="1"/>
      <name val="Calibri"/>
      <family val="2"/>
      <charset val="238"/>
    </font>
    <font>
      <b/>
      <sz val="11"/>
      <color rgb="FFFF0000"/>
      <name val="Calibri"/>
      <family val="2"/>
      <charset val="238"/>
      <scheme val="minor"/>
    </font>
    <font>
      <sz val="8"/>
      <name val="Arial"/>
      <family val="2"/>
      <charset val="238"/>
    </font>
    <font>
      <b/>
      <sz val="11"/>
      <name val="Calibri"/>
      <family val="2"/>
      <charset val="238"/>
      <scheme val="minor"/>
    </font>
    <font>
      <b/>
      <vertAlign val="subscript"/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Font="1"/>
    <xf numFmtId="0" fontId="0" fillId="0" borderId="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24" fillId="0" borderId="1" xfId="0" applyNumberFormat="1" applyFont="1" applyBorder="1"/>
    <xf numFmtId="2" fontId="24" fillId="0" borderId="1" xfId="0" applyNumberFormat="1" applyFont="1" applyBorder="1"/>
    <xf numFmtId="1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5</xdr:col>
      <xdr:colOff>1</xdr:colOff>
      <xdr:row>8</xdr:row>
      <xdr:rowOff>57150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0A6E9866-B40B-4AAA-B70F-84C7BC624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238125"/>
          <a:ext cx="2438400" cy="13906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84DF8-CB9C-4096-8C98-946246573738}">
  <dimension ref="A1:AH97"/>
  <sheetViews>
    <sheetView tabSelected="1" topLeftCell="I1" zoomScaleNormal="100" workbookViewId="0">
      <selection activeCell="Z18" sqref="Z18:AB18"/>
    </sheetView>
  </sheetViews>
  <sheetFormatPr defaultRowHeight="14.4" x14ac:dyDescent="0.3"/>
  <cols>
    <col min="27" max="27" width="9.6640625" customWidth="1"/>
    <col min="28" max="28" width="12.21875" customWidth="1"/>
  </cols>
  <sheetData>
    <row r="1" spans="1:33" ht="18" x14ac:dyDescent="0.35">
      <c r="B1" s="44" t="s">
        <v>0</v>
      </c>
      <c r="C1" s="44"/>
      <c r="D1" s="44"/>
      <c r="E1" s="44"/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Q1" s="2" t="s">
        <v>7</v>
      </c>
      <c r="R1" s="3">
        <v>93</v>
      </c>
      <c r="T1" s="45" t="s">
        <v>8</v>
      </c>
      <c r="U1" s="45"/>
      <c r="AD1" s="42" t="s">
        <v>63</v>
      </c>
      <c r="AE1" s="42" t="s">
        <v>67</v>
      </c>
      <c r="AF1" s="42" t="s">
        <v>68</v>
      </c>
      <c r="AG1" s="42" t="s">
        <v>16</v>
      </c>
    </row>
    <row r="2" spans="1:33" ht="15" thickBot="1" x14ac:dyDescent="0.35">
      <c r="H2" s="4" t="s">
        <v>9</v>
      </c>
      <c r="I2" s="4" t="s">
        <v>10</v>
      </c>
      <c r="J2" s="4" t="s">
        <v>11</v>
      </c>
      <c r="K2" s="4" t="s">
        <v>12</v>
      </c>
      <c r="L2" s="5" t="s">
        <v>13</v>
      </c>
      <c r="M2" s="5" t="s">
        <v>14</v>
      </c>
      <c r="Q2" s="2" t="s">
        <v>15</v>
      </c>
      <c r="R2" s="3">
        <v>744.6</v>
      </c>
      <c r="T2" s="6" t="s">
        <v>7</v>
      </c>
      <c r="U2" s="6" t="s">
        <v>16</v>
      </c>
      <c r="AD2" s="37">
        <f>10^(-1)</f>
        <v>0.1</v>
      </c>
      <c r="AE2" s="38">
        <v>1.5</v>
      </c>
      <c r="AF2" s="38">
        <v>1.5</v>
      </c>
      <c r="AG2" s="38">
        <f>AF2/AE2</f>
        <v>1</v>
      </c>
    </row>
    <row r="3" spans="1:33" ht="15" thickBot="1" x14ac:dyDescent="0.35">
      <c r="G3" s="7" t="s">
        <v>17</v>
      </c>
      <c r="H3" s="8">
        <v>30.3</v>
      </c>
      <c r="I3" s="9">
        <f>R5</f>
        <v>723.19347319347321</v>
      </c>
      <c r="J3" s="10">
        <v>0.3</v>
      </c>
      <c r="K3" s="10">
        <v>450</v>
      </c>
      <c r="L3" s="10">
        <v>0.8</v>
      </c>
      <c r="M3" s="10">
        <v>21000</v>
      </c>
      <c r="Q3" s="2" t="s">
        <v>18</v>
      </c>
      <c r="R3" s="11">
        <v>0.02</v>
      </c>
      <c r="T3" s="1">
        <v>90</v>
      </c>
      <c r="U3" s="1">
        <v>1.29</v>
      </c>
      <c r="AD3" s="37">
        <f>10^(-2)</f>
        <v>0.01</v>
      </c>
      <c r="AE3" s="38">
        <v>2.25</v>
      </c>
      <c r="AF3" s="38">
        <v>3</v>
      </c>
      <c r="AG3" s="38">
        <f>AF3/AE3</f>
        <v>1.3333333333333333</v>
      </c>
    </row>
    <row r="4" spans="1:33" ht="15" thickBot="1" x14ac:dyDescent="0.35">
      <c r="G4" s="12" t="s">
        <v>19</v>
      </c>
      <c r="H4" s="10">
        <v>1.212</v>
      </c>
      <c r="I4" s="10">
        <f>R6</f>
        <v>14.463869463869464</v>
      </c>
      <c r="J4" s="10">
        <v>0.09</v>
      </c>
      <c r="K4" s="10">
        <v>0.2</v>
      </c>
      <c r="L4" s="10">
        <v>7.0000000000000007E-2</v>
      </c>
      <c r="M4" s="10">
        <v>630</v>
      </c>
      <c r="Q4" s="2" t="s">
        <v>16</v>
      </c>
      <c r="R4" s="13">
        <f>VLOOKUP(R1,T3:U6,2,FALSE)</f>
        <v>1.48</v>
      </c>
      <c r="T4" s="1">
        <v>93</v>
      </c>
      <c r="U4" s="1">
        <v>1.48</v>
      </c>
      <c r="AD4" s="37">
        <f>10^(-3)</f>
        <v>1E-3</v>
      </c>
      <c r="AE4" s="38">
        <v>3.1</v>
      </c>
      <c r="AF4" s="38">
        <v>4.9000000000000004</v>
      </c>
      <c r="AG4" s="38">
        <f t="shared" ref="AG4:AG15" si="0">AF4/AE4</f>
        <v>1.5806451612903227</v>
      </c>
    </row>
    <row r="5" spans="1:33" ht="15" thickBot="1" x14ac:dyDescent="0.35">
      <c r="H5" s="2"/>
      <c r="Q5" s="2" t="s">
        <v>20</v>
      </c>
      <c r="R5" s="14">
        <f>R2/(1+R4*R3)</f>
        <v>723.19347319347321</v>
      </c>
      <c r="T5" s="1">
        <v>95</v>
      </c>
      <c r="U5" s="1">
        <v>1.65</v>
      </c>
      <c r="AD5" s="37">
        <f>10^(-4)</f>
        <v>1E-4</v>
      </c>
      <c r="AE5" s="38">
        <v>3.6</v>
      </c>
      <c r="AF5" s="38">
        <v>6.6</v>
      </c>
      <c r="AG5" s="38">
        <f t="shared" si="0"/>
        <v>1.8333333333333333</v>
      </c>
    </row>
    <row r="6" spans="1:33" ht="15" thickBot="1" x14ac:dyDescent="0.35">
      <c r="G6" s="2" t="s">
        <v>21</v>
      </c>
      <c r="H6" s="3">
        <v>76.8</v>
      </c>
      <c r="I6" s="15" t="s">
        <v>22</v>
      </c>
      <c r="J6" s="2" t="s">
        <v>23</v>
      </c>
      <c r="K6" s="3">
        <v>0.8</v>
      </c>
      <c r="L6" s="15" t="s">
        <v>24</v>
      </c>
      <c r="N6" s="6" t="s">
        <v>25</v>
      </c>
      <c r="O6" s="16">
        <f>H6-2*H7*K7+(K6+2*H8)*K7</f>
        <v>25.200000000000003</v>
      </c>
      <c r="P6" s="15" t="s">
        <v>22</v>
      </c>
      <c r="Q6" s="2" t="s">
        <v>26</v>
      </c>
      <c r="R6" s="17">
        <f>R5*R3</f>
        <v>14.463869463869464</v>
      </c>
      <c r="T6" s="1">
        <v>97</v>
      </c>
      <c r="U6" s="1">
        <v>1.79</v>
      </c>
      <c r="AD6" s="37">
        <f>10^(-5)</f>
        <v>1.0000000000000001E-5</v>
      </c>
      <c r="AE6" s="38">
        <v>4.25</v>
      </c>
      <c r="AF6" s="38">
        <v>8.4</v>
      </c>
      <c r="AG6" s="38">
        <f t="shared" si="0"/>
        <v>1.9764705882352942</v>
      </c>
    </row>
    <row r="7" spans="1:33" ht="15" thickBot="1" x14ac:dyDescent="0.35">
      <c r="G7" s="2" t="s">
        <v>27</v>
      </c>
      <c r="H7" s="3">
        <v>24</v>
      </c>
      <c r="I7" s="15" t="s">
        <v>24</v>
      </c>
      <c r="J7" s="2" t="s">
        <v>28</v>
      </c>
      <c r="K7" s="3">
        <v>1.2</v>
      </c>
      <c r="L7" s="15" t="s">
        <v>24</v>
      </c>
      <c r="N7" s="7" t="s">
        <v>29</v>
      </c>
      <c r="O7" s="10">
        <v>7763</v>
      </c>
      <c r="P7" s="15" t="s">
        <v>30</v>
      </c>
      <c r="AD7" s="37">
        <f>10^(-6)</f>
        <v>9.9999999999999995E-7</v>
      </c>
      <c r="AE7" s="38">
        <v>4.7</v>
      </c>
      <c r="AF7" s="38">
        <v>10.199999999999999</v>
      </c>
      <c r="AG7" s="38">
        <f t="shared" si="0"/>
        <v>2.1702127659574466</v>
      </c>
    </row>
    <row r="8" spans="1:33" x14ac:dyDescent="0.3">
      <c r="G8" s="2" t="s">
        <v>31</v>
      </c>
      <c r="H8" s="3">
        <v>2.1</v>
      </c>
      <c r="I8" s="15" t="s">
        <v>24</v>
      </c>
      <c r="J8" s="2"/>
      <c r="AD8" s="37">
        <f>10^(-7)</f>
        <v>9.9999999999999995E-8</v>
      </c>
      <c r="AE8" s="38">
        <v>5.2</v>
      </c>
      <c r="AF8" s="38">
        <v>12</v>
      </c>
      <c r="AG8" s="38">
        <f t="shared" si="0"/>
        <v>2.3076923076923075</v>
      </c>
    </row>
    <row r="9" spans="1:33" x14ac:dyDescent="0.3">
      <c r="AD9" s="37">
        <f>10^(-8)</f>
        <v>1E-8</v>
      </c>
      <c r="AE9" s="38">
        <v>6.5</v>
      </c>
      <c r="AF9" s="38">
        <v>14</v>
      </c>
      <c r="AG9" s="38">
        <f t="shared" si="0"/>
        <v>2.1538461538461537</v>
      </c>
    </row>
    <row r="10" spans="1:33" x14ac:dyDescent="0.3">
      <c r="B10" s="46" t="s">
        <v>32</v>
      </c>
      <c r="C10" s="46"/>
      <c r="D10" s="46"/>
      <c r="E10" s="46"/>
      <c r="J10" s="46" t="s">
        <v>33</v>
      </c>
      <c r="K10" s="46"/>
      <c r="L10" s="46"/>
      <c r="M10" s="46"/>
      <c r="N10" s="46"/>
      <c r="S10" s="47" t="s">
        <v>34</v>
      </c>
      <c r="T10" s="48"/>
      <c r="U10" s="49"/>
      <c r="Z10" s="47" t="s">
        <v>35</v>
      </c>
      <c r="AA10" s="48"/>
      <c r="AB10" s="49"/>
      <c r="AD10" s="37">
        <f>10^(-9)</f>
        <v>1.0000000000000001E-9</v>
      </c>
      <c r="AE10" s="38">
        <v>7</v>
      </c>
      <c r="AF10" s="38">
        <v>16</v>
      </c>
      <c r="AG10" s="38">
        <f t="shared" si="0"/>
        <v>2.2857142857142856</v>
      </c>
    </row>
    <row r="11" spans="1:33" x14ac:dyDescent="0.3">
      <c r="B11" s="46"/>
      <c r="C11" s="46"/>
      <c r="D11" s="46"/>
      <c r="E11" s="46"/>
      <c r="J11" s="46"/>
      <c r="K11" s="46"/>
      <c r="L11" s="46"/>
      <c r="M11" s="46"/>
      <c r="N11" s="46"/>
      <c r="S11" s="50"/>
      <c r="T11" s="51"/>
      <c r="U11" s="52"/>
      <c r="Z11" s="50"/>
      <c r="AA11" s="51"/>
      <c r="AB11" s="52"/>
      <c r="AD11" s="37">
        <f>10^(-10)</f>
        <v>1E-10</v>
      </c>
      <c r="AE11" s="38">
        <v>7.5</v>
      </c>
      <c r="AF11" s="38">
        <v>18</v>
      </c>
      <c r="AG11" s="38">
        <f t="shared" si="0"/>
        <v>2.4</v>
      </c>
    </row>
    <row r="12" spans="1:33" x14ac:dyDescent="0.3">
      <c r="A12" s="2"/>
      <c r="B12" s="1" t="s">
        <v>1</v>
      </c>
      <c r="C12" s="1" t="s">
        <v>2</v>
      </c>
      <c r="D12" s="1" t="s">
        <v>3</v>
      </c>
      <c r="E12" s="1" t="s">
        <v>4</v>
      </c>
      <c r="I12" s="2"/>
      <c r="J12" s="18" t="s">
        <v>1</v>
      </c>
      <c r="K12" s="18" t="s">
        <v>2</v>
      </c>
      <c r="L12" s="18" t="s">
        <v>3</v>
      </c>
      <c r="M12" s="18" t="s">
        <v>4</v>
      </c>
      <c r="N12" s="18" t="s">
        <v>5</v>
      </c>
      <c r="R12" s="2"/>
      <c r="S12" s="18" t="s">
        <v>1</v>
      </c>
      <c r="T12" s="18" t="s">
        <v>3</v>
      </c>
      <c r="U12" s="18" t="s">
        <v>4</v>
      </c>
      <c r="Y12" s="2"/>
      <c r="Z12" s="1" t="s">
        <v>3</v>
      </c>
      <c r="AA12" s="1" t="s">
        <v>4</v>
      </c>
      <c r="AB12" s="1" t="s">
        <v>6</v>
      </c>
      <c r="AD12" s="37">
        <f>10^(-11)</f>
        <v>9.9999999999999994E-12</v>
      </c>
      <c r="AE12" s="38">
        <v>8</v>
      </c>
      <c r="AF12" s="38">
        <v>20</v>
      </c>
      <c r="AG12" s="38">
        <f t="shared" si="0"/>
        <v>2.5</v>
      </c>
    </row>
    <row r="13" spans="1:33" x14ac:dyDescent="0.3">
      <c r="A13" s="2"/>
      <c r="B13" s="4" t="s">
        <v>9</v>
      </c>
      <c r="C13" s="4" t="s">
        <v>10</v>
      </c>
      <c r="D13" s="4" t="s">
        <v>11</v>
      </c>
      <c r="E13" s="4" t="s">
        <v>12</v>
      </c>
      <c r="I13" s="2"/>
      <c r="J13" s="4" t="s">
        <v>9</v>
      </c>
      <c r="K13" s="4" t="s">
        <v>10</v>
      </c>
      <c r="L13" s="4" t="s">
        <v>11</v>
      </c>
      <c r="M13" s="4" t="s">
        <v>12</v>
      </c>
      <c r="N13" s="4" t="s">
        <v>36</v>
      </c>
      <c r="R13" s="2"/>
      <c r="S13" s="4" t="s">
        <v>9</v>
      </c>
      <c r="T13" s="4" t="s">
        <v>11</v>
      </c>
      <c r="U13" s="4" t="s">
        <v>12</v>
      </c>
      <c r="Y13" s="2"/>
      <c r="Z13" s="19" t="s">
        <v>11</v>
      </c>
      <c r="AA13" s="19" t="s">
        <v>12</v>
      </c>
      <c r="AB13" s="20" t="s">
        <v>14</v>
      </c>
      <c r="AD13" s="37">
        <f>10^(-12)</f>
        <v>9.9999999999999998E-13</v>
      </c>
      <c r="AE13" s="38">
        <v>8.5</v>
      </c>
      <c r="AF13" s="38">
        <v>22</v>
      </c>
      <c r="AG13" s="38">
        <f t="shared" si="0"/>
        <v>2.5882352941176472</v>
      </c>
    </row>
    <row r="14" spans="1:33" ht="15" thickBot="1" x14ac:dyDescent="0.35">
      <c r="A14" s="21" t="s">
        <v>37</v>
      </c>
      <c r="B14" s="22" t="s">
        <v>38</v>
      </c>
      <c r="C14" s="22" t="s">
        <v>38</v>
      </c>
      <c r="D14" s="22" t="s">
        <v>64</v>
      </c>
      <c r="E14" s="22" t="s">
        <v>38</v>
      </c>
      <c r="I14" s="21" t="s">
        <v>37</v>
      </c>
      <c r="J14" s="22" t="s">
        <v>38</v>
      </c>
      <c r="K14" s="22" t="s">
        <v>38</v>
      </c>
      <c r="L14" s="22" t="s">
        <v>64</v>
      </c>
      <c r="M14" s="22" t="s">
        <v>38</v>
      </c>
      <c r="N14" s="22" t="s">
        <v>38</v>
      </c>
      <c r="R14" s="21" t="s">
        <v>37</v>
      </c>
      <c r="S14" s="22" t="s">
        <v>38</v>
      </c>
      <c r="T14" s="22" t="s">
        <v>64</v>
      </c>
      <c r="U14" s="22" t="s">
        <v>38</v>
      </c>
      <c r="Y14" s="21" t="s">
        <v>37</v>
      </c>
      <c r="Z14" s="22" t="s">
        <v>64</v>
      </c>
      <c r="AA14" s="22" t="s">
        <v>38</v>
      </c>
      <c r="AB14" s="23" t="s">
        <v>38</v>
      </c>
      <c r="AD14" s="37">
        <f>10^(-13)</f>
        <v>1E-13</v>
      </c>
      <c r="AE14" s="38">
        <v>9</v>
      </c>
      <c r="AF14" s="38">
        <v>24</v>
      </c>
      <c r="AG14" s="38">
        <f t="shared" si="0"/>
        <v>2.6666666666666665</v>
      </c>
    </row>
    <row r="15" spans="1:33" ht="15" thickBot="1" x14ac:dyDescent="0.35">
      <c r="A15" s="7" t="s">
        <v>17</v>
      </c>
      <c r="B15" s="24">
        <f>$H$3</f>
        <v>30.3</v>
      </c>
      <c r="C15" s="24">
        <f>$I$3</f>
        <v>723.19347319347321</v>
      </c>
      <c r="D15" s="24">
        <f>$J$3</f>
        <v>0.3</v>
      </c>
      <c r="E15" s="24">
        <f>$K$3</f>
        <v>450</v>
      </c>
      <c r="I15" s="7" t="s">
        <v>17</v>
      </c>
      <c r="J15" s="24">
        <f>$H$3</f>
        <v>30.3</v>
      </c>
      <c r="K15" s="24">
        <f>$I$3</f>
        <v>723.19347319347321</v>
      </c>
      <c r="L15" s="24">
        <f>$J$3</f>
        <v>0.3</v>
      </c>
      <c r="M15" s="24">
        <f>$K$3</f>
        <v>450</v>
      </c>
      <c r="N15" s="24">
        <f>$L$3</f>
        <v>0.8</v>
      </c>
      <c r="R15" s="7" t="s">
        <v>17</v>
      </c>
      <c r="S15" s="24">
        <f>$H$3</f>
        <v>30.3</v>
      </c>
      <c r="T15" s="24">
        <f>$J$3</f>
        <v>0.3</v>
      </c>
      <c r="U15" s="24">
        <f>$K$3</f>
        <v>450</v>
      </c>
      <c r="Y15" s="7" t="s">
        <v>17</v>
      </c>
      <c r="Z15" s="24">
        <f>$J$3</f>
        <v>0.3</v>
      </c>
      <c r="AA15" s="24">
        <f>$K$3</f>
        <v>450</v>
      </c>
      <c r="AB15" s="24">
        <f>$M$3</f>
        <v>21000</v>
      </c>
      <c r="AD15" s="37">
        <f>10^(-14)</f>
        <v>1E-14</v>
      </c>
      <c r="AE15" s="38">
        <v>9.5</v>
      </c>
      <c r="AF15" s="38">
        <v>26</v>
      </c>
      <c r="AG15" s="38">
        <f t="shared" si="0"/>
        <v>2.736842105263158</v>
      </c>
    </row>
    <row r="16" spans="1:33" ht="15" thickBot="1" x14ac:dyDescent="0.35">
      <c r="A16" s="12" t="s">
        <v>19</v>
      </c>
      <c r="B16" s="24">
        <f>$H$4</f>
        <v>1.212</v>
      </c>
      <c r="C16" s="24">
        <f>$I$4</f>
        <v>14.463869463869464</v>
      </c>
      <c r="D16" s="24">
        <f>$J$4</f>
        <v>0.09</v>
      </c>
      <c r="E16" s="24">
        <f>$K$4</f>
        <v>0.2</v>
      </c>
      <c r="I16" s="12" t="s">
        <v>19</v>
      </c>
      <c r="J16" s="24">
        <f>$H$4</f>
        <v>1.212</v>
      </c>
      <c r="K16" s="24">
        <f>$I$4</f>
        <v>14.463869463869464</v>
      </c>
      <c r="L16" s="24">
        <f>$J$4</f>
        <v>0.09</v>
      </c>
      <c r="M16" s="24">
        <f>$K$4</f>
        <v>0.2</v>
      </c>
      <c r="N16" s="24">
        <f>$L$4</f>
        <v>7.0000000000000007E-2</v>
      </c>
      <c r="R16" s="12" t="s">
        <v>19</v>
      </c>
      <c r="S16" s="24">
        <f>$H$4</f>
        <v>1.212</v>
      </c>
      <c r="T16" s="24">
        <f>$J$4</f>
        <v>0.09</v>
      </c>
      <c r="U16" s="24">
        <f>$K$4</f>
        <v>0.2</v>
      </c>
      <c r="Y16" s="12" t="s">
        <v>19</v>
      </c>
      <c r="Z16" s="24">
        <f>$J$4</f>
        <v>0.09</v>
      </c>
      <c r="AA16" s="24">
        <f>$K$4</f>
        <v>0.2</v>
      </c>
      <c r="AB16" s="24">
        <f>$M$4</f>
        <v>630</v>
      </c>
    </row>
    <row r="17" spans="1:34" x14ac:dyDescent="0.3">
      <c r="A17" s="25" t="s">
        <v>18</v>
      </c>
      <c r="B17" s="18">
        <f>B16/B15</f>
        <v>0.04</v>
      </c>
      <c r="C17" s="18">
        <f t="shared" ref="C17:E17" si="1">C16/C15</f>
        <v>0.02</v>
      </c>
      <c r="D17" s="18">
        <f t="shared" si="1"/>
        <v>0.3</v>
      </c>
      <c r="E17" s="18">
        <f t="shared" si="1"/>
        <v>4.4444444444444447E-4</v>
      </c>
      <c r="I17" s="25" t="s">
        <v>18</v>
      </c>
      <c r="J17" s="18">
        <f>J16/J15</f>
        <v>0.04</v>
      </c>
      <c r="K17" s="18">
        <f t="shared" ref="K17:N17" si="2">K16/K15</f>
        <v>0.02</v>
      </c>
      <c r="L17" s="18">
        <f t="shared" si="2"/>
        <v>0.3</v>
      </c>
      <c r="M17" s="18">
        <f t="shared" si="2"/>
        <v>4.4444444444444447E-4</v>
      </c>
      <c r="N17" s="18">
        <f t="shared" si="2"/>
        <v>8.7500000000000008E-2</v>
      </c>
      <c r="R17" s="25" t="s">
        <v>18</v>
      </c>
      <c r="S17" s="18">
        <f>S16/S15</f>
        <v>0.04</v>
      </c>
      <c r="T17" s="18">
        <f t="shared" ref="T17:U17" si="3">T16/T15</f>
        <v>0.3</v>
      </c>
      <c r="U17" s="18">
        <f t="shared" si="3"/>
        <v>4.4444444444444447E-4</v>
      </c>
      <c r="Y17" s="25" t="s">
        <v>18</v>
      </c>
      <c r="Z17" s="18">
        <f>Z16/Z15</f>
        <v>0.3</v>
      </c>
      <c r="AA17" s="18">
        <f t="shared" ref="AA17:AB17" si="4">AA16/AA15</f>
        <v>4.4444444444444447E-4</v>
      </c>
      <c r="AB17" s="18">
        <f t="shared" si="4"/>
        <v>0.03</v>
      </c>
    </row>
    <row r="18" spans="1:34" x14ac:dyDescent="0.3">
      <c r="A18" s="1" t="s">
        <v>39</v>
      </c>
      <c r="B18" s="66" t="s">
        <v>40</v>
      </c>
      <c r="C18" s="67"/>
      <c r="D18" s="67"/>
      <c r="E18" s="68"/>
      <c r="I18" s="1" t="s">
        <v>39</v>
      </c>
      <c r="J18" s="69" t="s">
        <v>41</v>
      </c>
      <c r="K18" s="69"/>
      <c r="L18" s="69"/>
      <c r="M18" s="69"/>
      <c r="N18" s="69"/>
      <c r="R18" s="1" t="s">
        <v>39</v>
      </c>
      <c r="S18" s="66" t="s">
        <v>42</v>
      </c>
      <c r="T18" s="67"/>
      <c r="U18" s="68"/>
      <c r="Y18" s="1" t="s">
        <v>39</v>
      </c>
      <c r="Z18" s="70" t="s">
        <v>43</v>
      </c>
      <c r="AA18" s="71"/>
      <c r="AB18" s="72"/>
    </row>
    <row r="19" spans="1:34" x14ac:dyDescent="0.3">
      <c r="A19" s="25" t="s">
        <v>44</v>
      </c>
      <c r="B19" s="1">
        <f>C15</f>
        <v>723.19347319347321</v>
      </c>
      <c r="C19" s="1">
        <f>B15</f>
        <v>30.3</v>
      </c>
      <c r="D19" s="1">
        <f>-0.125*E15^2</f>
        <v>-25312.5</v>
      </c>
      <c r="E19" s="1">
        <f>-0.125*D15*2*E15</f>
        <v>-33.75</v>
      </c>
      <c r="I19" s="25" t="s">
        <v>44</v>
      </c>
      <c r="J19" s="18">
        <f>K15*N15</f>
        <v>578.55477855477864</v>
      </c>
      <c r="K19" s="18">
        <f>J15*N15</f>
        <v>24.240000000000002</v>
      </c>
      <c r="L19" s="18">
        <f>-0.125*M15^2</f>
        <v>-25312.5</v>
      </c>
      <c r="M19" s="18">
        <f>-0.125*L15*2*M15</f>
        <v>-33.75</v>
      </c>
      <c r="N19" s="26">
        <f>J15*K15</f>
        <v>21912.762237762239</v>
      </c>
      <c r="R19" s="25" t="s">
        <v>44</v>
      </c>
      <c r="S19" s="18">
        <f>$O$6/SQRT(3)</f>
        <v>14.549226783578572</v>
      </c>
      <c r="T19" s="18">
        <f>-0.5*U15</f>
        <v>-225</v>
      </c>
      <c r="U19" s="18">
        <f>-0.5*T15</f>
        <v>-0.15</v>
      </c>
      <c r="Y19" s="25" t="s">
        <v>44</v>
      </c>
      <c r="Z19" s="18">
        <f>-(AA15^4)/(185*AB15*$O$7)</f>
        <v>-1.3596572594382719</v>
      </c>
      <c r="AA19" s="18">
        <f>(1/300)-(1/(185*AB15*$O$7))*Z15*4*AA15^3</f>
        <v>-2.9241935850205826E-4</v>
      </c>
      <c r="AB19" s="18">
        <f>(Z15*AA15^4)/(185*AB15^2*$O$7)</f>
        <v>1.9423675134832456E-5</v>
      </c>
    </row>
    <row r="20" spans="1:34" x14ac:dyDescent="0.3">
      <c r="A20" s="1" t="s">
        <v>45</v>
      </c>
      <c r="B20" s="63">
        <f>SQRT((B19*B16)^2+(C19*C16)^2+(D19*D16)^2+(E19*E16)^2)</f>
        <v>2479.967212666812</v>
      </c>
      <c r="C20" s="64"/>
      <c r="D20" s="64"/>
      <c r="E20" s="65"/>
      <c r="I20" s="1" t="s">
        <v>45</v>
      </c>
      <c r="J20" s="73">
        <f>SQRT((J19*J16)^2+(K19*K16)^2+(L19*L16)^2+(M19*M16)^2+(N19*N16)^2)</f>
        <v>2856.1065138151198</v>
      </c>
      <c r="K20" s="73"/>
      <c r="L20" s="73"/>
      <c r="M20" s="73"/>
      <c r="N20" s="73"/>
      <c r="R20" s="1" t="s">
        <v>45</v>
      </c>
      <c r="S20" s="73">
        <f>SQRT((S19*S16)^2+(T19*T16)^2+(U19*U16)^2)</f>
        <v>26.851619428257955</v>
      </c>
      <c r="T20" s="73"/>
      <c r="U20" s="73"/>
      <c r="Y20" s="1" t="s">
        <v>45</v>
      </c>
      <c r="Z20" s="73">
        <f>SQRT((Z19*Z16)^2+(AA19*AA16)^2+(AB19*AB16)^2)</f>
        <v>0.12297949100861373</v>
      </c>
      <c r="AA20" s="73"/>
      <c r="AB20" s="73"/>
    </row>
    <row r="21" spans="1:34" ht="15" thickBot="1" x14ac:dyDescent="0.35">
      <c r="A21" s="25" t="s">
        <v>46</v>
      </c>
      <c r="B21" s="1">
        <f>(B19*B16)/$B$20</f>
        <v>0.35343632167134231</v>
      </c>
      <c r="C21" s="1">
        <f t="shared" ref="C21:E21" si="5">(C19*C16)/$B$20</f>
        <v>0.17671816083567116</v>
      </c>
      <c r="D21" s="1">
        <f t="shared" si="5"/>
        <v>-0.91861093500112745</v>
      </c>
      <c r="E21" s="1">
        <f t="shared" si="5"/>
        <v>-2.7218101777811182E-3</v>
      </c>
      <c r="G21" s="2"/>
      <c r="I21" s="25" t="s">
        <v>46</v>
      </c>
      <c r="J21" s="18">
        <f>(J19*J16)/$J$20</f>
        <v>0.24551198921210191</v>
      </c>
      <c r="K21" s="18">
        <f t="shared" ref="K21:N21" si="6">(K19*K16)/$J$20</f>
        <v>0.12275599460605095</v>
      </c>
      <c r="L21" s="18">
        <f t="shared" si="6"/>
        <v>-0.79763306759765562</v>
      </c>
      <c r="M21" s="18">
        <f t="shared" si="6"/>
        <v>-2.3633572373263872E-3</v>
      </c>
      <c r="N21" s="18">
        <f t="shared" si="6"/>
        <v>0.53705747640147294</v>
      </c>
      <c r="O21" s="2"/>
      <c r="R21" s="25" t="s">
        <v>46</v>
      </c>
      <c r="S21" s="18">
        <f>(S19*S16)/$S$20</f>
        <v>0.6567076115766789</v>
      </c>
      <c r="T21" s="18">
        <f t="shared" ref="T21:U21" si="7">(T19*T16)/$S$20</f>
        <v>-0.75414445873940172</v>
      </c>
      <c r="U21" s="18">
        <f t="shared" si="7"/>
        <v>-1.1172510499842989E-3</v>
      </c>
      <c r="X21" s="2"/>
      <c r="Y21" s="25" t="s">
        <v>46</v>
      </c>
      <c r="Z21" s="18">
        <f>(Z19*Z16)/$Z$20</f>
        <v>-0.99503707769349514</v>
      </c>
      <c r="AA21" s="18">
        <f>(AA19*AA16)/$Z$20</f>
        <v>-4.755579261286366E-4</v>
      </c>
      <c r="AB21" s="18">
        <f>(AB19*AB16)/$Z$20</f>
        <v>9.9503707769349525E-2</v>
      </c>
    </row>
    <row r="22" spans="1:34" ht="16.2" thickBot="1" x14ac:dyDescent="0.35">
      <c r="A22" s="25" t="s">
        <v>47</v>
      </c>
      <c r="B22" s="27">
        <f>B21^2</f>
        <v>0.12491723347656855</v>
      </c>
      <c r="C22" s="27">
        <f t="shared" ref="C22:E22" si="8">C21^2</f>
        <v>3.1229308369142138E-2</v>
      </c>
      <c r="D22" s="27">
        <f t="shared" si="8"/>
        <v>0.84384604990364565</v>
      </c>
      <c r="E22" s="27">
        <f t="shared" si="8"/>
        <v>7.4082506438728824E-6</v>
      </c>
      <c r="F22" s="28" t="s">
        <v>48</v>
      </c>
      <c r="G22" s="29">
        <f>SUM(B22:E22)</f>
        <v>1.0000000000000002</v>
      </c>
      <c r="I22" s="25" t="s">
        <v>47</v>
      </c>
      <c r="J22" s="27">
        <f>J21^2</f>
        <v>6.0276136846883245E-2</v>
      </c>
      <c r="K22" s="27">
        <f t="shared" ref="K22:N22" si="9">K21^2</f>
        <v>1.5069034211720811E-2</v>
      </c>
      <c r="L22" s="27">
        <f t="shared" si="9"/>
        <v>0.63621851052524625</v>
      </c>
      <c r="M22" s="27">
        <f t="shared" si="9"/>
        <v>5.5854574312230132E-6</v>
      </c>
      <c r="N22" s="27">
        <f t="shared" si="9"/>
        <v>0.28843073295871868</v>
      </c>
      <c r="O22" s="28" t="s">
        <v>48</v>
      </c>
      <c r="P22" s="29">
        <f>SUM(J22:N22)</f>
        <v>1.0000000000000002</v>
      </c>
      <c r="R22" s="25" t="s">
        <v>47</v>
      </c>
      <c r="S22" s="27">
        <f>S21^2</f>
        <v>0.43126488710274619</v>
      </c>
      <c r="T22" s="27">
        <f t="shared" ref="T22:U22" si="10">T21^2</f>
        <v>0.56873386464734521</v>
      </c>
      <c r="U22" s="27">
        <f t="shared" si="10"/>
        <v>1.2482499086910183E-6</v>
      </c>
      <c r="V22" s="28" t="s">
        <v>48</v>
      </c>
      <c r="W22" s="29">
        <f>SUM(S22:U22)</f>
        <v>1.0000000000000002</v>
      </c>
      <c r="Y22" s="25" t="s">
        <v>47</v>
      </c>
      <c r="Z22" s="27">
        <f>Z21^2</f>
        <v>0.99009878598481071</v>
      </c>
      <c r="AA22" s="27">
        <f t="shared" ref="AA22" si="11">AA21^2</f>
        <v>2.2615534110376979E-7</v>
      </c>
      <c r="AB22" s="27">
        <f>AB21^2</f>
        <v>9.9009878598481094E-3</v>
      </c>
      <c r="AC22" s="28" t="s">
        <v>48</v>
      </c>
      <c r="AD22" s="30">
        <f>SUM(V22:X22)</f>
        <v>1.0000000000000002</v>
      </c>
      <c r="AE22" s="28"/>
      <c r="AF22" s="28"/>
      <c r="AG22" s="28"/>
      <c r="AH22" s="39"/>
    </row>
    <row r="23" spans="1:34" ht="15" thickBot="1" x14ac:dyDescent="0.35">
      <c r="A23" s="12" t="s">
        <v>49</v>
      </c>
      <c r="B23" s="53">
        <f>$G$24</f>
        <v>3.4921000000000002</v>
      </c>
      <c r="C23" s="54"/>
      <c r="D23" s="54"/>
      <c r="E23" s="55"/>
      <c r="F23" s="40" t="s">
        <v>65</v>
      </c>
      <c r="G23" s="8">
        <v>1.7760499999999999</v>
      </c>
      <c r="I23" s="12" t="s">
        <v>49</v>
      </c>
      <c r="J23" s="56">
        <f>$P$24</f>
        <v>2.7067999999999999</v>
      </c>
      <c r="K23" s="57"/>
      <c r="L23" s="57"/>
      <c r="M23" s="57"/>
      <c r="N23" s="58"/>
      <c r="O23" s="40" t="s">
        <v>65</v>
      </c>
      <c r="P23" s="10">
        <v>1.464</v>
      </c>
      <c r="R23" s="12" t="s">
        <v>49</v>
      </c>
      <c r="S23" s="56">
        <v>7.66</v>
      </c>
      <c r="T23" s="57"/>
      <c r="U23" s="58"/>
      <c r="V23" s="40" t="s">
        <v>65</v>
      </c>
      <c r="W23" s="10">
        <v>2.4319999999999999</v>
      </c>
      <c r="X23" s="2"/>
      <c r="Y23" s="12" t="s">
        <v>49</v>
      </c>
      <c r="Z23" s="56">
        <v>4.25</v>
      </c>
      <c r="AA23" s="57"/>
      <c r="AB23" s="58"/>
      <c r="AC23" s="40" t="s">
        <v>65</v>
      </c>
      <c r="AD23" s="10">
        <v>1.98</v>
      </c>
    </row>
    <row r="24" spans="1:34" ht="15" thickBot="1" x14ac:dyDescent="0.35">
      <c r="A24" s="1" t="s">
        <v>50</v>
      </c>
      <c r="B24" s="18">
        <f>B$15-B21*$B23*B16</f>
        <v>28.804107205562904</v>
      </c>
      <c r="C24" s="18">
        <f t="shared" ref="C24:E24" si="12">C$15-C21*$B23*C16</f>
        <v>714.26756638213612</v>
      </c>
      <c r="D24" s="18">
        <f>D$15-D21*$B23*D16*G23</f>
        <v>0.81276217384501881</v>
      </c>
      <c r="E24" s="36">
        <f t="shared" si="12"/>
        <v>450.00190096666438</v>
      </c>
      <c r="F24" s="41" t="s">
        <v>66</v>
      </c>
      <c r="G24" s="10">
        <v>3.4921000000000002</v>
      </c>
      <c r="I24" s="1" t="s">
        <v>50</v>
      </c>
      <c r="J24" s="18">
        <f>J$15-J21*$J23*J16</f>
        <v>29.494563154892028</v>
      </c>
      <c r="K24" s="18">
        <f t="shared" ref="K24:N24" si="13">K$15-K21*$J23*K16</f>
        <v>718.38747757093506</v>
      </c>
      <c r="L24" s="18">
        <f>L$15-L21*$J23*L16*P23</f>
        <v>0.58447421276831046</v>
      </c>
      <c r="M24" s="18">
        <f t="shared" si="13"/>
        <v>450.001279427074</v>
      </c>
      <c r="N24" s="18">
        <f t="shared" si="13"/>
        <v>0.69824049760135454</v>
      </c>
      <c r="O24" s="41" t="s">
        <v>66</v>
      </c>
      <c r="P24" s="10">
        <v>2.7067999999999999</v>
      </c>
      <c r="R24" s="1" t="s">
        <v>50</v>
      </c>
      <c r="S24" s="18">
        <f>S$15-S21*$S23*S16</f>
        <v>24.203179070731039</v>
      </c>
      <c r="T24" s="18">
        <f>T$15-T21*$S23*T16*W23</f>
        <v>1.5644142857272227</v>
      </c>
      <c r="U24" s="18">
        <f t="shared" ref="U24" si="14">U$15-U21*$S23*U16</f>
        <v>450.00171162860858</v>
      </c>
      <c r="V24" s="41" t="s">
        <v>66</v>
      </c>
      <c r="W24" s="10">
        <v>7.66</v>
      </c>
      <c r="X24" s="2"/>
      <c r="Y24" s="1" t="s">
        <v>50</v>
      </c>
      <c r="Z24" s="18">
        <f>Z$15-Z21*$Z23*Z16*AD23</f>
        <v>1.0535913307911686</v>
      </c>
      <c r="AA24" s="18">
        <f>AA$15-AA21*$Z23*AA16</f>
        <v>450.00040422423723</v>
      </c>
      <c r="AB24" s="18">
        <f t="shared" ref="AB24" si="15">AB$15-AB21*$Z23*AB16</f>
        <v>20733.578822447565</v>
      </c>
      <c r="AC24" s="41" t="s">
        <v>66</v>
      </c>
      <c r="AD24" s="10">
        <v>4.25</v>
      </c>
    </row>
    <row r="25" spans="1:34" ht="15.6" x14ac:dyDescent="0.3">
      <c r="A25" s="1" t="s">
        <v>51</v>
      </c>
      <c r="B25" s="59">
        <f>B24*C24-0.125*D24*E24^2</f>
        <v>0.6232134060592216</v>
      </c>
      <c r="C25" s="60"/>
      <c r="D25" s="60"/>
      <c r="E25" s="61"/>
      <c r="F25" s="31" t="str">
        <f>IF(AND(0&lt;B25,B25&lt;1),"≈ 0","")</f>
        <v>≈ 0</v>
      </c>
      <c r="G25" s="32"/>
      <c r="I25" s="1" t="s">
        <v>51</v>
      </c>
      <c r="J25" s="62">
        <f>J24*K24*N24-0.125*L24*M24^2</f>
        <v>9.8481140690637403E-2</v>
      </c>
      <c r="K25" s="62"/>
      <c r="L25" s="62"/>
      <c r="M25" s="62"/>
      <c r="N25" s="62"/>
      <c r="O25" s="33" t="str">
        <f>IF(AND(0&lt;J25,J25&lt;1),"≈ 0","")</f>
        <v>≈ 0</v>
      </c>
      <c r="R25" s="1" t="s">
        <v>51</v>
      </c>
      <c r="S25" s="63">
        <f>(O6/SQRT(3))*S24-0.5*T24*U24</f>
        <v>0.14298804687967959</v>
      </c>
      <c r="T25" s="64"/>
      <c r="U25" s="65"/>
      <c r="V25" s="33" t="str">
        <f>IF(AND(0&lt;S25,S25&lt;1),"≈ 0","")</f>
        <v>≈ 0</v>
      </c>
      <c r="Y25" s="1" t="s">
        <v>51</v>
      </c>
      <c r="Z25" s="63">
        <f>(AA24/300)-(Z24*AA24^4)/(185*AB24*$O$7)</f>
        <v>4.9065477717566752E-2</v>
      </c>
      <c r="AA25" s="64"/>
      <c r="AB25" s="65"/>
      <c r="AC25" s="33" t="str">
        <f>IF(AND(0&lt;Z25,Z25&lt;1),"≈ 0","")</f>
        <v>≈ 0</v>
      </c>
      <c r="AD25" s="33"/>
      <c r="AE25" s="33"/>
      <c r="AF25" s="33"/>
      <c r="AG25" s="33"/>
    </row>
    <row r="26" spans="1:34" x14ac:dyDescent="0.3">
      <c r="A26" s="1" t="s">
        <v>52</v>
      </c>
      <c r="B26" s="63">
        <f>NORMSDIST(-B23)</f>
        <v>2.396193959016143E-4</v>
      </c>
      <c r="C26" s="64"/>
      <c r="D26" s="64"/>
      <c r="E26" s="65"/>
      <c r="I26" s="1" t="s">
        <v>52</v>
      </c>
      <c r="J26" s="73">
        <f>NORMSDIST(-J23)</f>
        <v>3.3967585384273077E-3</v>
      </c>
      <c r="K26" s="73"/>
      <c r="L26" s="73"/>
      <c r="M26" s="73"/>
      <c r="N26" s="73"/>
      <c r="R26" s="1" t="s">
        <v>52</v>
      </c>
      <c r="S26" s="73">
        <f>NORMSDIST(-S23)</f>
        <v>9.296654178339855E-15</v>
      </c>
      <c r="T26" s="73"/>
      <c r="U26" s="73"/>
      <c r="Y26" s="1" t="s">
        <v>52</v>
      </c>
      <c r="Z26" s="63">
        <f>NORMSDIST(-Z23)</f>
        <v>1.06885257749344E-5</v>
      </c>
      <c r="AA26" s="64"/>
      <c r="AB26" s="65"/>
    </row>
    <row r="28" spans="1:34" ht="15" thickBot="1" x14ac:dyDescent="0.35">
      <c r="B28" s="74" t="s">
        <v>53</v>
      </c>
      <c r="C28" s="75"/>
      <c r="D28" s="75"/>
      <c r="E28" s="75"/>
      <c r="J28" s="76" t="s">
        <v>54</v>
      </c>
      <c r="K28" s="76"/>
      <c r="L28" s="76"/>
      <c r="M28" s="76"/>
      <c r="N28" s="76"/>
      <c r="S28" s="76" t="s">
        <v>54</v>
      </c>
      <c r="T28" s="76"/>
      <c r="U28" s="76"/>
      <c r="Z28" s="76" t="s">
        <v>54</v>
      </c>
      <c r="AA28" s="76"/>
      <c r="AB28" s="76"/>
    </row>
    <row r="29" spans="1:34" ht="15" thickBot="1" x14ac:dyDescent="0.35">
      <c r="A29" s="7" t="s">
        <v>17</v>
      </c>
      <c r="B29" s="34">
        <f>B24</f>
        <v>28.804107205562904</v>
      </c>
      <c r="C29" s="34">
        <f t="shared" ref="C29:E29" si="16">C24</f>
        <v>714.26756638213612</v>
      </c>
      <c r="D29" s="34">
        <f t="shared" si="16"/>
        <v>0.81276217384501881</v>
      </c>
      <c r="E29" s="34">
        <f t="shared" si="16"/>
        <v>450.00190096666438</v>
      </c>
      <c r="I29" s="7" t="s">
        <v>17</v>
      </c>
      <c r="J29" s="34">
        <f>J24</f>
        <v>29.494563154892028</v>
      </c>
      <c r="K29" s="34">
        <f t="shared" ref="K29:N29" si="17">K24</f>
        <v>718.38747757093506</v>
      </c>
      <c r="L29" s="34">
        <f t="shared" si="17"/>
        <v>0.58447421276831046</v>
      </c>
      <c r="M29" s="34">
        <f t="shared" si="17"/>
        <v>450.001279427074</v>
      </c>
      <c r="N29" s="34">
        <f t="shared" si="17"/>
        <v>0.69824049760135454</v>
      </c>
      <c r="R29" s="7" t="s">
        <v>17</v>
      </c>
      <c r="S29" s="34">
        <f>S24</f>
        <v>24.203179070731039</v>
      </c>
      <c r="T29" s="34">
        <f t="shared" ref="T29:U29" si="18">T24</f>
        <v>1.5644142857272227</v>
      </c>
      <c r="U29" s="34">
        <f t="shared" si="18"/>
        <v>450.00171162860858</v>
      </c>
      <c r="Y29" s="7" t="s">
        <v>17</v>
      </c>
      <c r="Z29" s="34">
        <f>Z24</f>
        <v>1.0535913307911686</v>
      </c>
      <c r="AA29" s="34">
        <f t="shared" ref="AA29:AB29" si="19">AA24</f>
        <v>450.00040422423723</v>
      </c>
      <c r="AB29" s="34">
        <f t="shared" si="19"/>
        <v>20733.578822447565</v>
      </c>
    </row>
    <row r="30" spans="1:34" ht="15" thickBot="1" x14ac:dyDescent="0.35">
      <c r="A30" s="12" t="s">
        <v>19</v>
      </c>
      <c r="B30" s="24">
        <f>$H$4</f>
        <v>1.212</v>
      </c>
      <c r="C30" s="24">
        <f>$I$4</f>
        <v>14.463869463869464</v>
      </c>
      <c r="D30" s="24">
        <f>$J$4</f>
        <v>0.09</v>
      </c>
      <c r="E30" s="24">
        <f>$K$4</f>
        <v>0.2</v>
      </c>
      <c r="I30" s="12" t="s">
        <v>19</v>
      </c>
      <c r="J30" s="24">
        <f>$H$4</f>
        <v>1.212</v>
      </c>
      <c r="K30" s="24">
        <f>$I$4</f>
        <v>14.463869463869464</v>
      </c>
      <c r="L30" s="24">
        <f>$J$4</f>
        <v>0.09</v>
      </c>
      <c r="M30" s="24">
        <f>$K$4</f>
        <v>0.2</v>
      </c>
      <c r="N30" s="24">
        <f>$L$4</f>
        <v>7.0000000000000007E-2</v>
      </c>
      <c r="R30" s="12" t="s">
        <v>19</v>
      </c>
      <c r="S30" s="24">
        <f>$H$4</f>
        <v>1.212</v>
      </c>
      <c r="T30" s="24">
        <f>$J$4</f>
        <v>0.09</v>
      </c>
      <c r="U30" s="24">
        <f>$K$4</f>
        <v>0.2</v>
      </c>
      <c r="Y30" s="12" t="s">
        <v>19</v>
      </c>
      <c r="Z30" s="24">
        <f>$J$4</f>
        <v>0.09</v>
      </c>
      <c r="AA30" s="24">
        <f>$K$4</f>
        <v>0.2</v>
      </c>
      <c r="AB30" s="24">
        <f>$M$4</f>
        <v>630</v>
      </c>
    </row>
    <row r="31" spans="1:34" x14ac:dyDescent="0.3">
      <c r="A31" s="25" t="s">
        <v>18</v>
      </c>
      <c r="B31" s="18">
        <f>B30/B29</f>
        <v>4.2077332630046864E-2</v>
      </c>
      <c r="C31" s="18">
        <f t="shared" ref="C31:E31" si="20">C30/C29</f>
        <v>2.0249931740749422E-2</v>
      </c>
      <c r="D31" s="18">
        <f t="shared" si="20"/>
        <v>0.11073349978164905</v>
      </c>
      <c r="E31" s="18">
        <f t="shared" si="20"/>
        <v>4.4444256695443557E-4</v>
      </c>
      <c r="I31" s="25" t="s">
        <v>18</v>
      </c>
      <c r="J31" s="18">
        <f>J30/J29</f>
        <v>4.109231907030212E-2</v>
      </c>
      <c r="K31" s="18">
        <f t="shared" ref="K31:N31" si="21">K30/K29</f>
        <v>2.0133799537786726E-2</v>
      </c>
      <c r="L31" s="18">
        <f t="shared" si="21"/>
        <v>0.15398455232733527</v>
      </c>
      <c r="M31" s="18">
        <f t="shared" si="21"/>
        <v>4.4444318081635916E-4</v>
      </c>
      <c r="N31" s="18">
        <f t="shared" si="21"/>
        <v>0.10025199088346921</v>
      </c>
      <c r="R31" s="25" t="s">
        <v>18</v>
      </c>
      <c r="S31" s="18">
        <f>S30/S29</f>
        <v>5.0076066307573386E-2</v>
      </c>
      <c r="T31" s="18">
        <f t="shared" ref="T31:U31" si="22">T30/T29</f>
        <v>5.7529518121322461E-2</v>
      </c>
      <c r="U31" s="18">
        <f t="shared" si="22"/>
        <v>4.4444275395348328E-4</v>
      </c>
      <c r="Y31" s="25" t="s">
        <v>18</v>
      </c>
      <c r="Z31" s="18">
        <f>Z30/Z29</f>
        <v>8.5422115169091886E-2</v>
      </c>
      <c r="AA31" s="18">
        <f t="shared" ref="AA31:AB31" si="23">AA30/AA29</f>
        <v>4.4444404521098855E-4</v>
      </c>
      <c r="AB31" s="18">
        <f t="shared" si="23"/>
        <v>3.0385492316353974E-2</v>
      </c>
    </row>
    <row r="32" spans="1:34" x14ac:dyDescent="0.3">
      <c r="A32" s="1" t="s">
        <v>39</v>
      </c>
      <c r="B32" s="66" t="s">
        <v>40</v>
      </c>
      <c r="C32" s="67"/>
      <c r="D32" s="67"/>
      <c r="E32" s="68"/>
      <c r="I32" s="1" t="s">
        <v>39</v>
      </c>
      <c r="J32" s="69" t="s">
        <v>41</v>
      </c>
      <c r="K32" s="69"/>
      <c r="L32" s="69"/>
      <c r="M32" s="69"/>
      <c r="N32" s="69"/>
      <c r="R32" s="1" t="s">
        <v>39</v>
      </c>
      <c r="S32" s="66" t="s">
        <v>42</v>
      </c>
      <c r="T32" s="67"/>
      <c r="U32" s="68"/>
      <c r="Y32" s="1" t="s">
        <v>39</v>
      </c>
      <c r="Z32" s="70" t="s">
        <v>43</v>
      </c>
      <c r="AA32" s="71"/>
      <c r="AB32" s="72"/>
    </row>
    <row r="33" spans="1:33" x14ac:dyDescent="0.3">
      <c r="A33" s="25" t="s">
        <v>44</v>
      </c>
      <c r="B33" s="1">
        <f>C29</f>
        <v>714.26756638213612</v>
      </c>
      <c r="C33" s="1">
        <f>B29</f>
        <v>28.804107205562904</v>
      </c>
      <c r="D33" s="1">
        <f>-0.125*E29^2</f>
        <v>-25312.713859201453</v>
      </c>
      <c r="E33" s="1">
        <f>-0.125*D29*2*E29</f>
        <v>-91.436130816014256</v>
      </c>
      <c r="I33" s="25" t="s">
        <v>44</v>
      </c>
      <c r="J33" s="18">
        <f>K29*N29</f>
        <v>501.60722980971161</v>
      </c>
      <c r="K33" s="18">
        <f>J29*N29</f>
        <v>20.594298453806388</v>
      </c>
      <c r="L33" s="18">
        <f>-0.125*M29^2</f>
        <v>-25312.643935750442</v>
      </c>
      <c r="M33" s="18">
        <f>-0.125*L29*2*M29</f>
        <v>-65.753535884467894</v>
      </c>
      <c r="N33" s="26">
        <f>J29*K29</f>
        <v>21188.524826899524</v>
      </c>
      <c r="R33" s="25" t="s">
        <v>44</v>
      </c>
      <c r="S33" s="18">
        <f>$O$6/SQRT(3)</f>
        <v>14.549226783578572</v>
      </c>
      <c r="T33" s="18">
        <f>-0.5*U29</f>
        <v>-225.00085581430429</v>
      </c>
      <c r="U33" s="18">
        <f>-0.5*T29</f>
        <v>-0.78220714286361137</v>
      </c>
      <c r="Y33" s="25" t="s">
        <v>44</v>
      </c>
      <c r="Z33" s="18">
        <f>-(AA29^4)/(185*AB29*$O$7)</f>
        <v>-1.3771334551576204</v>
      </c>
      <c r="AA33" s="18">
        <f>(1/300)-(1/(185*AB29*$O$7))*Z29*4*AA29^3</f>
        <v>-9.5638628120598979E-3</v>
      </c>
      <c r="AB33" s="18">
        <f>(Z29*AA29^4)/(185*AB29^2*$O$7)</f>
        <v>6.9980001143154152E-5</v>
      </c>
    </row>
    <row r="34" spans="1:33" x14ac:dyDescent="0.3">
      <c r="A34" s="1" t="s">
        <v>45</v>
      </c>
      <c r="B34" s="63">
        <f>SQRT((B33*B30)^2+(C33*C30)^2+(D33*D30)^2+(E33*E30)^2)</f>
        <v>2472.5027885541263</v>
      </c>
      <c r="C34" s="64"/>
      <c r="D34" s="64"/>
      <c r="E34" s="65"/>
      <c r="I34" s="1" t="s">
        <v>45</v>
      </c>
      <c r="J34" s="73">
        <f>SQRT((J33*J30)^2+(K33*K30)^2+(L33*L30)^2+(M33*M30)^2+(N33*N30)^2)</f>
        <v>2801.4794730224803</v>
      </c>
      <c r="K34" s="73"/>
      <c r="L34" s="73"/>
      <c r="M34" s="73"/>
      <c r="N34" s="73"/>
      <c r="R34" s="1" t="s">
        <v>45</v>
      </c>
      <c r="S34" s="73">
        <f>SQRT((S33*S30)^2+(T33*T30)^2+(U33*U30)^2)</f>
        <v>26.852116476911938</v>
      </c>
      <c r="T34" s="73"/>
      <c r="U34" s="73"/>
      <c r="Y34" s="1" t="s">
        <v>45</v>
      </c>
      <c r="Z34" s="73">
        <f>SQRT((Z33*Z30)^2+(AA33*AA30)^2+(AB33*AB30)^2)</f>
        <v>0.13156359558397693</v>
      </c>
      <c r="AA34" s="73"/>
      <c r="AB34" s="73"/>
    </row>
    <row r="35" spans="1:33" ht="15" thickBot="1" x14ac:dyDescent="0.35">
      <c r="A35" s="25" t="s">
        <v>46</v>
      </c>
      <c r="B35" s="1">
        <f>(B33*B30)/$B34</f>
        <v>0.35012793290372374</v>
      </c>
      <c r="C35" s="1">
        <f t="shared" ref="C35:E35" si="24">(C33*C30)/$B34</f>
        <v>0.16850086017019</v>
      </c>
      <c r="D35" s="1">
        <f t="shared" si="24"/>
        <v>-0.92139198300372693</v>
      </c>
      <c r="E35" s="1">
        <f t="shared" si="24"/>
        <v>-7.3962408648674902E-3</v>
      </c>
      <c r="G35" s="2"/>
      <c r="I35" s="25" t="s">
        <v>46</v>
      </c>
      <c r="J35" s="18">
        <f>(J33*J30)/$J34</f>
        <v>0.2170096080959191</v>
      </c>
      <c r="K35" s="18">
        <f t="shared" ref="K35:N35" si="25">(K33*K30)/$J34</f>
        <v>0.10632712015357113</v>
      </c>
      <c r="L35" s="18">
        <f t="shared" si="25"/>
        <v>-0.81319102144256861</v>
      </c>
      <c r="M35" s="18">
        <f t="shared" si="25"/>
        <v>-4.6942007976611905E-3</v>
      </c>
      <c r="N35" s="18">
        <f t="shared" si="25"/>
        <v>0.52943337695876991</v>
      </c>
      <c r="O35" s="2"/>
      <c r="R35" s="25" t="s">
        <v>46</v>
      </c>
      <c r="S35" s="18">
        <f>(S33*S30)/$S34</f>
        <v>0.65669545552802344</v>
      </c>
      <c r="T35" s="18">
        <f t="shared" ref="T35:U35" si="26">(T33*T30)/$S34</f>
        <v>-0.75413336750191973</v>
      </c>
      <c r="U35" s="18">
        <f t="shared" si="26"/>
        <v>-5.8260371657196629E-3</v>
      </c>
      <c r="Y35" s="25" t="s">
        <v>46</v>
      </c>
      <c r="Z35" s="18">
        <f>(Z33*Z30)/$Z34</f>
        <v>-0.94206919789656973</v>
      </c>
      <c r="AA35" s="18">
        <f t="shared" ref="AA35:AB35" si="27">(AA33*AA30)/$Z34</f>
        <v>-1.4538767764149915E-2</v>
      </c>
      <c r="AB35" s="18">
        <f t="shared" si="27"/>
        <v>0.33510334317403301</v>
      </c>
    </row>
    <row r="36" spans="1:33" ht="16.2" thickBot="1" x14ac:dyDescent="0.35">
      <c r="A36" s="25" t="s">
        <v>47</v>
      </c>
      <c r="B36" s="27">
        <f>B35^2</f>
        <v>0.12258956939943447</v>
      </c>
      <c r="C36" s="27">
        <f t="shared" ref="C36:E36" si="28">C35^2</f>
        <v>2.8392539878093925E-2</v>
      </c>
      <c r="D36" s="27">
        <f t="shared" si="28"/>
        <v>0.84896318634354018</v>
      </c>
      <c r="E36" s="27">
        <f t="shared" si="28"/>
        <v>5.4704378931135801E-5</v>
      </c>
      <c r="F36" s="28" t="s">
        <v>48</v>
      </c>
      <c r="G36" s="29">
        <f>SUM(B36:E36)</f>
        <v>0.99999999999999978</v>
      </c>
      <c r="I36" s="25" t="s">
        <v>47</v>
      </c>
      <c r="J36" s="27">
        <f>J35^2</f>
        <v>4.7093170005944394E-2</v>
      </c>
      <c r="K36" s="27">
        <f t="shared" ref="K36:N36" si="29">K35^2</f>
        <v>1.1305456480151951E-2</v>
      </c>
      <c r="L36" s="27">
        <f t="shared" si="29"/>
        <v>0.6612796373548081</v>
      </c>
      <c r="M36" s="27">
        <f t="shared" si="29"/>
        <v>2.2035521128762957E-5</v>
      </c>
      <c r="N36" s="27">
        <f t="shared" si="29"/>
        <v>0.28029970063796694</v>
      </c>
      <c r="O36" s="28" t="s">
        <v>48</v>
      </c>
      <c r="P36" s="29">
        <f>SUM(J36:N36)</f>
        <v>1.0000000000000002</v>
      </c>
      <c r="R36" s="25" t="s">
        <v>47</v>
      </c>
      <c r="S36" s="27">
        <f>S35^2</f>
        <v>0.43124892131115822</v>
      </c>
      <c r="T36" s="27">
        <f t="shared" ref="T36:U36" si="30">T35^2</f>
        <v>0.56871713597978557</v>
      </c>
      <c r="U36" s="27">
        <f t="shared" si="30"/>
        <v>3.3942709056346801E-5</v>
      </c>
      <c r="V36" s="28" t="s">
        <v>48</v>
      </c>
      <c r="W36" s="29">
        <f>SUM(S36:U36)</f>
        <v>1.0000000000000002</v>
      </c>
      <c r="Y36" s="25" t="s">
        <v>47</v>
      </c>
      <c r="Z36" s="27">
        <f>Z35^2</f>
        <v>0.88749437362548622</v>
      </c>
      <c r="AA36" s="27">
        <f t="shared" ref="AA36" si="31">AA35^2</f>
        <v>2.113757680998847E-4</v>
      </c>
      <c r="AB36" s="27">
        <f>AB35^2</f>
        <v>0.11229425060641374</v>
      </c>
      <c r="AC36" s="28" t="s">
        <v>48</v>
      </c>
      <c r="AD36" s="30">
        <f>SUM(Z36:AB36)</f>
        <v>0.99999999999999989</v>
      </c>
      <c r="AE36" s="28"/>
      <c r="AF36" s="28"/>
      <c r="AG36" s="28"/>
    </row>
    <row r="37" spans="1:33" ht="15" thickBot="1" x14ac:dyDescent="0.35">
      <c r="A37" s="12" t="s">
        <v>49</v>
      </c>
      <c r="B37" s="53">
        <v>3.4899</v>
      </c>
      <c r="C37" s="54"/>
      <c r="D37" s="54"/>
      <c r="E37" s="79"/>
      <c r="F37" s="40" t="s">
        <v>65</v>
      </c>
      <c r="G37" s="10">
        <v>1.77495</v>
      </c>
      <c r="I37" s="12" t="s">
        <v>49</v>
      </c>
      <c r="J37" s="56">
        <v>2.6966999999999999</v>
      </c>
      <c r="K37" s="57"/>
      <c r="L37" s="57"/>
      <c r="M37" s="57"/>
      <c r="N37" s="58"/>
      <c r="O37" s="40" t="s">
        <v>65</v>
      </c>
      <c r="P37" s="10">
        <v>1.4613799999999999</v>
      </c>
      <c r="R37" s="12" t="s">
        <v>49</v>
      </c>
      <c r="S37" s="56">
        <v>7.66</v>
      </c>
      <c r="T37" s="57"/>
      <c r="U37" s="58"/>
      <c r="V37" s="40" t="s">
        <v>65</v>
      </c>
      <c r="W37" s="10">
        <v>2.4319999999999999</v>
      </c>
      <c r="Y37" s="12" t="s">
        <v>49</v>
      </c>
      <c r="Z37" s="56">
        <v>4.25</v>
      </c>
      <c r="AA37" s="57"/>
      <c r="AB37" s="58"/>
      <c r="AC37" s="40" t="s">
        <v>65</v>
      </c>
      <c r="AD37" s="10">
        <v>1.98</v>
      </c>
    </row>
    <row r="38" spans="1:33" x14ac:dyDescent="0.3">
      <c r="A38" s="1" t="s">
        <v>50</v>
      </c>
      <c r="B38" s="35">
        <f>B$15-B35*$B37*B30</f>
        <v>28.819043294674664</v>
      </c>
      <c r="C38" s="35">
        <f t="shared" ref="C38:E38" si="32">C$15-C35*$B37*C30</f>
        <v>714.68797809419857</v>
      </c>
      <c r="D38" s="35">
        <f>D$15-D35*$B37*D30*G37</f>
        <v>0.81367217952071513</v>
      </c>
      <c r="E38" s="35">
        <f t="shared" si="32"/>
        <v>450.00516242819884</v>
      </c>
      <c r="F38" s="41"/>
      <c r="G38" s="43"/>
      <c r="I38" s="1" t="s">
        <v>50</v>
      </c>
      <c r="J38" s="35">
        <f>J$15-J35*$J37*J30</f>
        <v>29.590725710095455</v>
      </c>
      <c r="K38" s="35">
        <f t="shared" ref="K38:N38" si="33">K$15-K35*$J37*K30</f>
        <v>719.04621398550807</v>
      </c>
      <c r="L38" s="35">
        <f>L$15-L35*$J37*L30*P37</f>
        <v>0.58842365687933507</v>
      </c>
      <c r="M38" s="35">
        <f t="shared" si="33"/>
        <v>450.0025317702582</v>
      </c>
      <c r="N38" s="35">
        <f t="shared" si="33"/>
        <v>0.70005939086487001</v>
      </c>
      <c r="O38" s="2"/>
      <c r="R38" s="1" t="s">
        <v>50</v>
      </c>
      <c r="S38" s="35">
        <f>S$15-S35*$S37*S30</f>
        <v>24.203291926514275</v>
      </c>
      <c r="T38" s="35">
        <f>T$15-T35*$S37*T30*W37</f>
        <v>1.5643956899277627</v>
      </c>
      <c r="U38" s="35">
        <f t="shared" ref="U38" si="34">U$15-U35*$S37*U30</f>
        <v>450.0089254889379</v>
      </c>
      <c r="Y38" s="1" t="s">
        <v>50</v>
      </c>
      <c r="Z38" s="35">
        <f>Z$15-Z35*$Z37*Z30*AD37</f>
        <v>1.0134761070269671</v>
      </c>
      <c r="AA38" s="35">
        <f>AA$15-AA35*$Z37*AA30</f>
        <v>450.01235795259953</v>
      </c>
      <c r="AB38" s="35">
        <f t="shared" ref="AB38" si="35">AB$15-AB35*$Z37*AB30</f>
        <v>20102.760798651525</v>
      </c>
    </row>
    <row r="39" spans="1:33" ht="15.6" x14ac:dyDescent="0.3">
      <c r="A39" s="1" t="s">
        <v>51</v>
      </c>
      <c r="B39" s="59">
        <f>B38*C38-0.125*D38*E38^2</f>
        <v>7.4177078524371609E-2</v>
      </c>
      <c r="C39" s="60"/>
      <c r="D39" s="60"/>
      <c r="E39" s="61"/>
      <c r="F39" s="31" t="str">
        <f>IF(AND(0&lt;B39,B39&lt;1),"≈ 0","")</f>
        <v>≈ 0</v>
      </c>
      <c r="G39" s="32"/>
      <c r="I39" s="1" t="s">
        <v>51</v>
      </c>
      <c r="J39" s="62">
        <f>J38*K38*N38-0.125*L38*M38^2</f>
        <v>0.59175647832853429</v>
      </c>
      <c r="K39" s="62"/>
      <c r="L39" s="62"/>
      <c r="M39" s="62"/>
      <c r="N39" s="62"/>
      <c r="O39" s="33" t="str">
        <f>IF(AND(0&lt;J39,J39&lt;1),"≈ 0","")</f>
        <v>≈ 0</v>
      </c>
      <c r="R39" s="1" t="s">
        <v>51</v>
      </c>
      <c r="S39" s="63">
        <f>($O$6/SQRT(3))*S38-0.5*T38*U38</f>
        <v>0.14317141605340566</v>
      </c>
      <c r="T39" s="64"/>
      <c r="U39" s="65"/>
      <c r="V39" s="33" t="str">
        <f>IF(AND(0&lt;S39,S39&lt;1),"≈ 0","")</f>
        <v>≈ 0</v>
      </c>
      <c r="Y39" s="1" t="s">
        <v>51</v>
      </c>
      <c r="Z39" s="63">
        <f>(AA38/300)-(Z38*AA38^4)/(185*AB38*$O$7)</f>
        <v>6.0400029462290172E-2</v>
      </c>
      <c r="AA39" s="64"/>
      <c r="AB39" s="65"/>
      <c r="AC39" s="33" t="str">
        <f>IF(AND(0&lt;Z39,Z39&lt;1),"≈ 0","")</f>
        <v>≈ 0</v>
      </c>
      <c r="AD39" s="33"/>
      <c r="AE39" s="33"/>
      <c r="AF39" s="33"/>
      <c r="AG39" s="33"/>
    </row>
    <row r="40" spans="1:33" x14ac:dyDescent="0.3">
      <c r="A40" s="1" t="s">
        <v>52</v>
      </c>
      <c r="B40" s="63">
        <f>NORMSDIST(-B37)</f>
        <v>2.4160066156060037E-4</v>
      </c>
      <c r="C40" s="64"/>
      <c r="D40" s="64"/>
      <c r="E40" s="65"/>
      <c r="I40" s="1" t="s">
        <v>52</v>
      </c>
      <c r="J40" s="73">
        <f>NORMSDIST(-J37)</f>
        <v>3.5015164844961325E-3</v>
      </c>
      <c r="K40" s="73"/>
      <c r="L40" s="73"/>
      <c r="M40" s="73"/>
      <c r="N40" s="73"/>
      <c r="R40" s="1" t="s">
        <v>52</v>
      </c>
      <c r="S40" s="73">
        <f>NORMSDIST(-S37)</f>
        <v>9.296654178339855E-15</v>
      </c>
      <c r="T40" s="73"/>
      <c r="U40" s="73"/>
      <c r="Y40" s="1" t="s">
        <v>52</v>
      </c>
      <c r="Z40" s="63">
        <f>NORMSDIST(-Z37)</f>
        <v>1.06885257749344E-5</v>
      </c>
      <c r="AA40" s="64"/>
      <c r="AB40" s="65"/>
    </row>
    <row r="41" spans="1:33" x14ac:dyDescent="0.3">
      <c r="B41" s="77" t="str">
        <f>IF(AND(ABS(B29-B38)&lt;0.1,ABS(C29-C38)&lt;0.1,ABS(D29-D38)&lt;0.1,ABS(E29-E38)&lt;0.1),"GOTOVO !!","")</f>
        <v/>
      </c>
      <c r="C41" s="77"/>
      <c r="D41" s="77"/>
      <c r="E41" s="77"/>
      <c r="J41" s="78" t="str">
        <f>IF(AND(ABS(J29-J38)&lt;0.1,ABS(K29-K38)&lt;0.1,ABS(L29-L38)&lt;0.1,ABS(M29-M38)&lt;0.1,ABS(N29-N38)&lt;0.1),"GOTOVO !!","")</f>
        <v/>
      </c>
      <c r="K41" s="78"/>
      <c r="L41" s="78"/>
      <c r="M41" s="78"/>
      <c r="N41" s="78"/>
      <c r="S41" s="78" t="str">
        <f>IF(AND(ABS(S29-S38)&lt;0.1,ABS(T29-T38)&lt;0.1,ABS(U29-U38)&lt;0.1),"GOTOVO !!","")</f>
        <v>GOTOVO !!</v>
      </c>
      <c r="T41" s="78"/>
      <c r="U41" s="78"/>
      <c r="Z41" s="78" t="str">
        <f>IF(AND(ABS(Z29-Z38)&lt;0.1,ABS(AA29-AA38)&lt;0.1,ABS(AB29-AB38)&lt;0.1),"GOTOVO !!","")</f>
        <v/>
      </c>
      <c r="AA41" s="78"/>
      <c r="AB41" s="78"/>
    </row>
    <row r="42" spans="1:33" ht="15" thickBot="1" x14ac:dyDescent="0.35">
      <c r="B42" s="74" t="s">
        <v>55</v>
      </c>
      <c r="C42" s="75"/>
      <c r="D42" s="75"/>
      <c r="E42" s="75"/>
      <c r="J42" s="76" t="s">
        <v>56</v>
      </c>
      <c r="K42" s="76"/>
      <c r="L42" s="76"/>
      <c r="M42" s="76"/>
      <c r="N42" s="76"/>
      <c r="S42" s="76" t="s">
        <v>56</v>
      </c>
      <c r="T42" s="76"/>
      <c r="U42" s="76"/>
      <c r="Z42" s="76" t="s">
        <v>56</v>
      </c>
      <c r="AA42" s="76"/>
      <c r="AB42" s="76"/>
    </row>
    <row r="43" spans="1:33" ht="15" thickBot="1" x14ac:dyDescent="0.35">
      <c r="A43" s="7" t="s">
        <v>17</v>
      </c>
      <c r="B43" s="34">
        <f>B38</f>
        <v>28.819043294674664</v>
      </c>
      <c r="C43" s="34">
        <f t="shared" ref="C43:E43" si="36">C38</f>
        <v>714.68797809419857</v>
      </c>
      <c r="D43" s="34">
        <f t="shared" si="36"/>
        <v>0.81367217952071513</v>
      </c>
      <c r="E43" s="34">
        <f t="shared" si="36"/>
        <v>450.00516242819884</v>
      </c>
      <c r="I43" s="7" t="s">
        <v>17</v>
      </c>
      <c r="J43" s="34">
        <f>J38</f>
        <v>29.590725710095455</v>
      </c>
      <c r="K43" s="34">
        <f t="shared" ref="K43:N43" si="37">K38</f>
        <v>719.04621398550807</v>
      </c>
      <c r="L43" s="34">
        <f t="shared" si="37"/>
        <v>0.58842365687933507</v>
      </c>
      <c r="M43" s="34">
        <f t="shared" si="37"/>
        <v>450.0025317702582</v>
      </c>
      <c r="N43" s="34">
        <f t="shared" si="37"/>
        <v>0.70005939086487001</v>
      </c>
      <c r="R43" s="7" t="s">
        <v>17</v>
      </c>
      <c r="S43" s="34">
        <f>S38</f>
        <v>24.203291926514275</v>
      </c>
      <c r="T43" s="34">
        <f t="shared" ref="T43:U43" si="38">T38</f>
        <v>1.5643956899277627</v>
      </c>
      <c r="U43" s="34">
        <f t="shared" si="38"/>
        <v>450.0089254889379</v>
      </c>
      <c r="Y43" s="7" t="s">
        <v>17</v>
      </c>
      <c r="Z43" s="34">
        <f>Z38</f>
        <v>1.0134761070269671</v>
      </c>
      <c r="AA43" s="34">
        <f t="shared" ref="AA43:AB43" si="39">AA38</f>
        <v>450.01235795259953</v>
      </c>
      <c r="AB43" s="34">
        <f t="shared" si="39"/>
        <v>20102.760798651525</v>
      </c>
    </row>
    <row r="44" spans="1:33" ht="15" thickBot="1" x14ac:dyDescent="0.35">
      <c r="A44" s="12" t="s">
        <v>19</v>
      </c>
      <c r="B44" s="24">
        <f>$H$4</f>
        <v>1.212</v>
      </c>
      <c r="C44" s="24">
        <f>$I$4</f>
        <v>14.463869463869464</v>
      </c>
      <c r="D44" s="24">
        <f>$J$4</f>
        <v>0.09</v>
      </c>
      <c r="E44" s="24">
        <f>$K$4</f>
        <v>0.2</v>
      </c>
      <c r="I44" s="12" t="s">
        <v>19</v>
      </c>
      <c r="J44" s="24">
        <f>$H$4</f>
        <v>1.212</v>
      </c>
      <c r="K44" s="24">
        <f>$I$4</f>
        <v>14.463869463869464</v>
      </c>
      <c r="L44" s="24">
        <f>$J$4</f>
        <v>0.09</v>
      </c>
      <c r="M44" s="24">
        <f>$K$4</f>
        <v>0.2</v>
      </c>
      <c r="N44" s="24">
        <f>$L$4</f>
        <v>7.0000000000000007E-2</v>
      </c>
      <c r="R44" s="12" t="s">
        <v>19</v>
      </c>
      <c r="S44" s="24">
        <f>$H$4</f>
        <v>1.212</v>
      </c>
      <c r="T44" s="24">
        <f>$J$4</f>
        <v>0.09</v>
      </c>
      <c r="U44" s="24">
        <f>$K$4</f>
        <v>0.2</v>
      </c>
      <c r="Y44" s="12" t="s">
        <v>19</v>
      </c>
      <c r="Z44" s="24">
        <f>$J$4</f>
        <v>0.09</v>
      </c>
      <c r="AA44" s="24">
        <f>$K$4</f>
        <v>0.2</v>
      </c>
      <c r="AB44" s="24">
        <f>$M$4</f>
        <v>630</v>
      </c>
    </row>
    <row r="45" spans="1:33" x14ac:dyDescent="0.3">
      <c r="A45" s="25" t="s">
        <v>18</v>
      </c>
      <c r="B45" s="18">
        <f>B44/B43</f>
        <v>4.2055525147288969E-2</v>
      </c>
      <c r="C45" s="18">
        <f t="shared" ref="C45:E45" si="40">C44/C43</f>
        <v>2.0238019817318199E-2</v>
      </c>
      <c r="D45" s="18">
        <f t="shared" si="40"/>
        <v>0.11060965615539851</v>
      </c>
      <c r="E45" s="18">
        <f t="shared" si="40"/>
        <v>4.4443934580841899E-4</v>
      </c>
      <c r="I45" s="25" t="s">
        <v>18</v>
      </c>
      <c r="J45" s="18">
        <f>J44/J43</f>
        <v>4.0958779175412463E-2</v>
      </c>
      <c r="K45" s="18">
        <f t="shared" ref="K45:N45" si="41">K44/K43</f>
        <v>2.0115354455035036E-2</v>
      </c>
      <c r="L45" s="18">
        <f t="shared" si="41"/>
        <v>0.15295102252908879</v>
      </c>
      <c r="M45" s="18">
        <f t="shared" si="41"/>
        <v>4.4444194394467742E-4</v>
      </c>
      <c r="N45" s="18">
        <f t="shared" si="41"/>
        <v>9.9991516310523804E-2</v>
      </c>
      <c r="R45" s="25" t="s">
        <v>18</v>
      </c>
      <c r="S45" s="18">
        <f>S44/S43</f>
        <v>5.0075832811497661E-2</v>
      </c>
      <c r="T45" s="18">
        <f t="shared" ref="T45:U45" si="42">T44/T43</f>
        <v>5.7530201968375293E-2</v>
      </c>
      <c r="U45" s="18">
        <f t="shared" si="42"/>
        <v>4.4443562932157084E-4</v>
      </c>
      <c r="Y45" s="25" t="s">
        <v>18</v>
      </c>
      <c r="Z45" s="18">
        <f>Z44/Z43</f>
        <v>8.8803277527691363E-2</v>
      </c>
      <c r="AA45" s="18">
        <f t="shared" ref="AA45:AB45" si="43">AA44/AA43</f>
        <v>4.444322393943375E-4</v>
      </c>
      <c r="AB45" s="18">
        <f t="shared" si="43"/>
        <v>3.1338979074071252E-2</v>
      </c>
    </row>
    <row r="46" spans="1:33" x14ac:dyDescent="0.3">
      <c r="A46" s="1" t="s">
        <v>39</v>
      </c>
      <c r="B46" s="66" t="s">
        <v>40</v>
      </c>
      <c r="C46" s="67"/>
      <c r="D46" s="67"/>
      <c r="E46" s="68"/>
      <c r="I46" s="1" t="s">
        <v>39</v>
      </c>
      <c r="J46" s="69" t="s">
        <v>41</v>
      </c>
      <c r="K46" s="69"/>
      <c r="L46" s="69"/>
      <c r="M46" s="69"/>
      <c r="N46" s="69"/>
      <c r="R46" s="1" t="s">
        <v>39</v>
      </c>
      <c r="S46" s="66" t="s">
        <v>42</v>
      </c>
      <c r="T46" s="67"/>
      <c r="U46" s="68"/>
      <c r="Y46" s="1" t="s">
        <v>39</v>
      </c>
      <c r="Z46" s="70" t="s">
        <v>43</v>
      </c>
      <c r="AA46" s="71"/>
      <c r="AB46" s="72"/>
    </row>
    <row r="47" spans="1:33" x14ac:dyDescent="0.3">
      <c r="A47" s="25" t="s">
        <v>44</v>
      </c>
      <c r="B47" s="1">
        <f>C43</f>
        <v>714.68797809419857</v>
      </c>
      <c r="C47" s="1">
        <f>B43</f>
        <v>28.819043294674664</v>
      </c>
      <c r="D47" s="1">
        <f>-0.125*E43^2</f>
        <v>-25313.080776503703</v>
      </c>
      <c r="E47" s="1">
        <f>-0.125*D43*2*E43</f>
        <v>-91.539170327131501</v>
      </c>
      <c r="I47" s="25" t="s">
        <v>44</v>
      </c>
      <c r="J47" s="18">
        <f>K43*N43</f>
        <v>503.37505456638576</v>
      </c>
      <c r="K47" s="18">
        <f>J43*N43</f>
        <v>20.715265415858873</v>
      </c>
      <c r="L47" s="18">
        <f>-0.125*M43^2</f>
        <v>-25312.784824955281</v>
      </c>
      <c r="M47" s="18">
        <f>-0.125*L43*2*M43</f>
        <v>-66.198033837303626</v>
      </c>
      <c r="N47" s="26">
        <f>J43*K43</f>
        <v>21277.099290927774</v>
      </c>
      <c r="R47" s="25" t="s">
        <v>44</v>
      </c>
      <c r="S47" s="18">
        <f>$O$6/SQRT(3)</f>
        <v>14.549226783578572</v>
      </c>
      <c r="T47" s="18">
        <f>-0.5*U43</f>
        <v>-225.00446274446895</v>
      </c>
      <c r="U47" s="18">
        <f>-0.5*T43</f>
        <v>-0.78219784496388134</v>
      </c>
      <c r="Y47" s="25" t="s">
        <v>44</v>
      </c>
      <c r="Z47" s="18">
        <f>-(AA43^4)/(185*AB43*$O$7)</f>
        <v>-1.4204983755721974</v>
      </c>
      <c r="AA47" s="18">
        <f>(1/300)-(1/(185*AB43*$O$7))*Z43*4*AA43^3</f>
        <v>-9.4631255929318037E-3</v>
      </c>
      <c r="AB47" s="18">
        <f>(Z43*AA43^4)/(185*AB43^2*$O$7)</f>
        <v>7.1614102069483476E-5</v>
      </c>
    </row>
    <row r="48" spans="1:33" x14ac:dyDescent="0.3">
      <c r="A48" s="1" t="s">
        <v>45</v>
      </c>
      <c r="B48" s="63">
        <f>SQRT((B47*B44)^2+(C47*C44)^2+(D47*D44)^2+(E47*E44)^2)</f>
        <v>2472.7482234505201</v>
      </c>
      <c r="C48" s="64"/>
      <c r="D48" s="64"/>
      <c r="E48" s="65"/>
      <c r="I48" s="1" t="s">
        <v>45</v>
      </c>
      <c r="J48" s="73">
        <f>SQRT((J47*J44)^2+(K47*K44)^2+(L47*L44)^2+(M47*M44)^2+(N47*N44)^2)</f>
        <v>2805.4292458168075</v>
      </c>
      <c r="K48" s="73"/>
      <c r="L48" s="73"/>
      <c r="M48" s="73"/>
      <c r="N48" s="73"/>
      <c r="R48" s="1" t="s">
        <v>45</v>
      </c>
      <c r="S48" s="73">
        <f>SQRT((S47*S44)^2+(T47*T44)^2+(U47*U44)^2)</f>
        <v>26.852361276499622</v>
      </c>
      <c r="T48" s="73"/>
      <c r="U48" s="73"/>
      <c r="Y48" s="1" t="s">
        <v>45</v>
      </c>
      <c r="Z48" s="73">
        <f>SQRT((Z47*Z44)^2+(AA47*AA44)^2+(AB47*AB44)^2)</f>
        <v>0.1355854782882224</v>
      </c>
      <c r="AA48" s="73"/>
      <c r="AB48" s="73"/>
    </row>
    <row r="49" spans="1:33" ht="15" thickBot="1" x14ac:dyDescent="0.35">
      <c r="A49" s="25" t="s">
        <v>46</v>
      </c>
      <c r="B49" s="1">
        <f>(B47*B44)/$B48</f>
        <v>0.35029924245237309</v>
      </c>
      <c r="C49" s="1">
        <f t="shared" ref="C49:E49" si="44">(C47*C44)/$B48</f>
        <v>0.1685715012691901</v>
      </c>
      <c r="D49" s="1">
        <f t="shared" si="44"/>
        <v>-0.92131388399354353</v>
      </c>
      <c r="E49" s="1">
        <f t="shared" si="44"/>
        <v>-7.4038407516796032E-3</v>
      </c>
      <c r="G49" s="2"/>
      <c r="I49" s="25" t="s">
        <v>46</v>
      </c>
      <c r="J49" s="18">
        <f>(J47*J44)/$J48</f>
        <v>0.21746781425486644</v>
      </c>
      <c r="K49" s="18">
        <f t="shared" ref="K49:N49" si="45">(K47*K44)/$J48</f>
        <v>0.10680108768779746</v>
      </c>
      <c r="L49" s="18">
        <f t="shared" si="45"/>
        <v>-0.81205064702413698</v>
      </c>
      <c r="M49" s="18">
        <f t="shared" si="45"/>
        <v>-4.7192802267968029E-3</v>
      </c>
      <c r="N49" s="18">
        <f t="shared" si="45"/>
        <v>0.53089806224334235</v>
      </c>
      <c r="O49" s="2"/>
      <c r="R49" s="25" t="s">
        <v>46</v>
      </c>
      <c r="S49" s="18">
        <f>(S47*S44)/$S48</f>
        <v>0.65668946876302003</v>
      </c>
      <c r="T49" s="18">
        <f t="shared" ref="T49:U49" si="46">(T47*T44)/$S48</f>
        <v>-0.75413858164960523</v>
      </c>
      <c r="U49" s="18">
        <f t="shared" si="46"/>
        <v>-5.8259148006357077E-3</v>
      </c>
      <c r="Y49" s="25" t="s">
        <v>46</v>
      </c>
      <c r="Z49" s="18">
        <f>(Z47*Z44)/$Z48</f>
        <v>-0.94290963468617262</v>
      </c>
      <c r="AA49" s="18">
        <f t="shared" ref="AA49:AB49" si="47">(AA47*AA44)/$Z48</f>
        <v>-1.3958907270018188E-2</v>
      </c>
      <c r="AB49" s="18">
        <f t="shared" si="47"/>
        <v>0.33275602131864634</v>
      </c>
    </row>
    <row r="50" spans="1:33" ht="16.2" thickBot="1" x14ac:dyDescent="0.35">
      <c r="A50" s="25" t="s">
        <v>47</v>
      </c>
      <c r="B50" s="27">
        <f>B49^2</f>
        <v>0.12270955926270646</v>
      </c>
      <c r="C50" s="27">
        <f t="shared" ref="C50:E50" si="48">C49^2</f>
        <v>2.8416351040148561E-2</v>
      </c>
      <c r="D50" s="27">
        <f t="shared" si="48"/>
        <v>0.84881927283926861</v>
      </c>
      <c r="E50" s="27">
        <f t="shared" si="48"/>
        <v>5.4816857876231592E-5</v>
      </c>
      <c r="F50" s="28" t="s">
        <v>48</v>
      </c>
      <c r="G50" s="29">
        <f>SUM(B50:E50)</f>
        <v>0.99999999999999989</v>
      </c>
      <c r="I50" s="25" t="s">
        <v>47</v>
      </c>
      <c r="J50" s="27">
        <f>J49^2</f>
        <v>4.7292250236789089E-2</v>
      </c>
      <c r="K50" s="27">
        <f t="shared" ref="K50:N50" si="49">K49^2</f>
        <v>1.1406472331296602E-2</v>
      </c>
      <c r="L50" s="27">
        <f t="shared" si="49"/>
        <v>0.65942625333231952</v>
      </c>
      <c r="M50" s="27">
        <f t="shared" si="49"/>
        <v>2.2271605859035285E-5</v>
      </c>
      <c r="N50" s="27">
        <f t="shared" si="49"/>
        <v>0.28185275249373581</v>
      </c>
      <c r="O50" s="28" t="s">
        <v>48</v>
      </c>
      <c r="P50" s="29">
        <f>SUM(J50:N50)</f>
        <v>1</v>
      </c>
      <c r="R50" s="25" t="s">
        <v>47</v>
      </c>
      <c r="S50" s="27">
        <f>S49^2</f>
        <v>0.43124105838425747</v>
      </c>
      <c r="T50" s="27">
        <f t="shared" ref="T50:U50" si="50">T49^2</f>
        <v>0.5687250003324783</v>
      </c>
      <c r="U50" s="27">
        <f t="shared" si="50"/>
        <v>3.3941283264266195E-5</v>
      </c>
      <c r="V50" s="28" t="s">
        <v>48</v>
      </c>
      <c r="W50" s="29">
        <f>SUM(S50:U50)</f>
        <v>1</v>
      </c>
      <c r="Y50" s="25" t="s">
        <v>47</v>
      </c>
      <c r="Z50" s="27">
        <f>Z49^2</f>
        <v>0.88907857918401145</v>
      </c>
      <c r="AA50" s="27">
        <f t="shared" ref="AA50" si="51">AA49^2</f>
        <v>1.9485109217296661E-4</v>
      </c>
      <c r="AB50" s="27">
        <f>AB49^2</f>
        <v>0.11072656972381542</v>
      </c>
      <c r="AC50" s="28" t="s">
        <v>48</v>
      </c>
      <c r="AD50" s="30">
        <f>SUM(Z50:AB50)</f>
        <v>0.99999999999999989</v>
      </c>
      <c r="AE50" s="28"/>
      <c r="AF50" s="28"/>
      <c r="AG50" s="28"/>
    </row>
    <row r="51" spans="1:33" ht="15" thickBot="1" x14ac:dyDescent="0.35">
      <c r="A51" s="12" t="s">
        <v>49</v>
      </c>
      <c r="B51" s="53">
        <v>3.4899</v>
      </c>
      <c r="C51" s="54"/>
      <c r="D51" s="54"/>
      <c r="E51" s="79"/>
      <c r="F51" s="40" t="s">
        <v>65</v>
      </c>
      <c r="G51" s="10">
        <v>1.77495</v>
      </c>
      <c r="I51" s="12" t="s">
        <v>49</v>
      </c>
      <c r="J51" s="56">
        <v>2.6972999999999998</v>
      </c>
      <c r="K51" s="57"/>
      <c r="L51" s="57"/>
      <c r="M51" s="57"/>
      <c r="N51" s="58"/>
      <c r="O51" s="40" t="s">
        <v>65</v>
      </c>
      <c r="P51" s="10">
        <v>1.4615588235293999</v>
      </c>
      <c r="R51" s="12" t="s">
        <v>49</v>
      </c>
      <c r="S51" s="56">
        <v>7.66</v>
      </c>
      <c r="T51" s="57"/>
      <c r="U51" s="58"/>
      <c r="V51" s="40" t="s">
        <v>65</v>
      </c>
      <c r="W51" s="10">
        <v>2.4319999999999999</v>
      </c>
      <c r="Y51" s="12" t="s">
        <v>49</v>
      </c>
      <c r="Z51" s="56">
        <v>4.25</v>
      </c>
      <c r="AA51" s="57"/>
      <c r="AB51" s="58"/>
      <c r="AC51" s="40" t="s">
        <v>65</v>
      </c>
      <c r="AD51" s="10">
        <v>1.98</v>
      </c>
    </row>
    <row r="52" spans="1:33" x14ac:dyDescent="0.3">
      <c r="A52" s="1" t="s">
        <v>50</v>
      </c>
      <c r="B52" s="35">
        <f>B$15-B49*$B51*B44</f>
        <v>28.818318696603743</v>
      </c>
      <c r="C52" s="35">
        <f t="shared" ref="C52:E52" si="52">C$15-C49*$B51*C44</f>
        <v>714.68441231108784</v>
      </c>
      <c r="D52" s="35">
        <f>D$15-D49*$B51*D44*G51</f>
        <v>0.81362863964895671</v>
      </c>
      <c r="E52" s="35">
        <f t="shared" si="52"/>
        <v>450.00516773276786</v>
      </c>
      <c r="F52" s="2"/>
      <c r="G52" s="2"/>
      <c r="I52" s="1" t="s">
        <v>50</v>
      </c>
      <c r="J52" s="35">
        <f>J$15-J49*$J51*J44</f>
        <v>29.589069966307743</v>
      </c>
      <c r="K52" s="35">
        <f t="shared" ref="K52:N52" si="53">K$15-K49*$J51*K44</f>
        <v>719.02680016187662</v>
      </c>
      <c r="L52" s="35">
        <f>L$15-L49*$J51*L44*P51</f>
        <v>0.58811852163098566</v>
      </c>
      <c r="M52" s="35">
        <f t="shared" si="53"/>
        <v>450.00254586291112</v>
      </c>
      <c r="N52" s="35">
        <f t="shared" si="53"/>
        <v>0.6997606059697723</v>
      </c>
      <c r="O52" s="2"/>
      <c r="R52" s="1" t="s">
        <v>50</v>
      </c>
      <c r="S52" s="35">
        <f>S$15-S49*$S51*S44</f>
        <v>24.203347507161624</v>
      </c>
      <c r="T52" s="35">
        <f>T$15-T49*$S51*T44*W51</f>
        <v>1.5644044320762265</v>
      </c>
      <c r="U52" s="35">
        <f t="shared" ref="U52" si="54">U$15-U49*$S51*U44</f>
        <v>450.00892530147456</v>
      </c>
      <c r="Y52" s="1" t="s">
        <v>50</v>
      </c>
      <c r="Z52" s="35">
        <f>Z$15-Z49*$Z51*Z44*AD51</f>
        <v>1.0141126118295727</v>
      </c>
      <c r="AA52" s="35">
        <f>AA$15-AA49*$Z51*AA44</f>
        <v>450.0118650711795</v>
      </c>
      <c r="AB52" s="35">
        <f t="shared" ref="AB52" si="55">AB$15-AB49*$Z51*AB44</f>
        <v>20109.045752919323</v>
      </c>
    </row>
    <row r="53" spans="1:33" ht="15.6" x14ac:dyDescent="0.3">
      <c r="A53" s="1" t="s">
        <v>51</v>
      </c>
      <c r="B53" s="59">
        <f>B52*C52-0.125*D52*E52^2</f>
        <v>0.55519841514978907</v>
      </c>
      <c r="C53" s="60"/>
      <c r="D53" s="60"/>
      <c r="E53" s="61"/>
      <c r="F53" s="31" t="str">
        <f>IF(AND(0&lt;B53,B53&lt;1),"≈ 0","")</f>
        <v>≈ 0</v>
      </c>
      <c r="G53" s="32"/>
      <c r="I53" s="1" t="s">
        <v>51</v>
      </c>
      <c r="J53" s="62">
        <f>J52*K52*N52-0.125*L52*M52^2</f>
        <v>0.72229828804120189</v>
      </c>
      <c r="K53" s="62"/>
      <c r="L53" s="62"/>
      <c r="M53" s="62"/>
      <c r="N53" s="62"/>
      <c r="O53" s="33" t="str">
        <f>IF(AND(0&lt;J53,J53&lt;1),"≈ 0","")</f>
        <v>≈ 0</v>
      </c>
      <c r="R53" s="1" t="s">
        <v>51</v>
      </c>
      <c r="S53" s="63">
        <f>($O$6/SQRT(3))*S52-0.5*T52*U52</f>
        <v>0.14201319571236581</v>
      </c>
      <c r="T53" s="64"/>
      <c r="U53" s="65"/>
      <c r="V53" s="33" t="str">
        <f>IF(AND(0&lt;S53,S53&lt;1),"≈ 0","")</f>
        <v>≈ 0</v>
      </c>
      <c r="Y53" s="1" t="s">
        <v>51</v>
      </c>
      <c r="Z53" s="63">
        <f>(AA52/300)-(Z52*AA52^4)/(185*AB52*$O$7)</f>
        <v>5.9950774872046253E-2</v>
      </c>
      <c r="AA53" s="64"/>
      <c r="AB53" s="65"/>
      <c r="AC53" s="33" t="str">
        <f>IF(AND(0&lt;Z53,Z53&lt;1),"≈ 0","")</f>
        <v>≈ 0</v>
      </c>
      <c r="AD53" s="33"/>
      <c r="AE53" s="33"/>
      <c r="AF53" s="33"/>
      <c r="AG53" s="33"/>
    </row>
    <row r="54" spans="1:33" x14ac:dyDescent="0.3">
      <c r="A54" s="1" t="s">
        <v>52</v>
      </c>
      <c r="B54" s="63">
        <f>NORMSDIST(-B51)</f>
        <v>2.4160066156060037E-4</v>
      </c>
      <c r="C54" s="64"/>
      <c r="D54" s="64"/>
      <c r="E54" s="65"/>
      <c r="I54" s="1" t="s">
        <v>52</v>
      </c>
      <c r="J54" s="73">
        <f>NORMSDIST(-J51)</f>
        <v>3.4952130999661873E-3</v>
      </c>
      <c r="K54" s="73"/>
      <c r="L54" s="73"/>
      <c r="M54" s="73"/>
      <c r="N54" s="73"/>
      <c r="R54" s="1" t="s">
        <v>52</v>
      </c>
      <c r="S54" s="73">
        <f>NORMSDIST(-S51)</f>
        <v>9.296654178339855E-15</v>
      </c>
      <c r="T54" s="73"/>
      <c r="U54" s="73"/>
      <c r="Y54" s="1" t="s">
        <v>52</v>
      </c>
      <c r="Z54" s="63">
        <f>NORMSDIST(-Z51)</f>
        <v>1.06885257749344E-5</v>
      </c>
      <c r="AA54" s="64"/>
      <c r="AB54" s="65"/>
    </row>
    <row r="55" spans="1:33" x14ac:dyDescent="0.3">
      <c r="B55" s="77" t="str">
        <f>IF(AND(ABS(B43-B52)&lt;0.1,ABS(C43-C52)&lt;0.1,ABS(D43-D52)&lt;0.1,ABS(E43-E52)&lt;0.1),"GOTOVO !!","")</f>
        <v>GOTOVO !!</v>
      </c>
      <c r="C55" s="77"/>
      <c r="D55" s="77"/>
      <c r="E55" s="77"/>
      <c r="J55" s="78" t="str">
        <f>IF(AND(ABS(J43-J52)&lt;0.1,ABS(K43-K52)&lt;0.1,ABS(L43-L52)&lt;0.1,ABS(M43-M52)&lt;0.1,ABS(N43-N52)&lt;0.1),"GOTOVO !!","")</f>
        <v>GOTOVO !!</v>
      </c>
      <c r="K55" s="78"/>
      <c r="L55" s="78"/>
      <c r="M55" s="78"/>
      <c r="N55" s="78"/>
      <c r="S55" s="78" t="str">
        <f>IF(AND(ABS(S43-S52)&lt;0.1,ABS(T43-T52)&lt;0.1,ABS(U43-U52)&lt;0.1),"GOTOVO !!","")</f>
        <v>GOTOVO !!</v>
      </c>
      <c r="T55" s="78"/>
      <c r="U55" s="78"/>
      <c r="Z55" s="78" t="str">
        <f>IF(AND(ABS(Z43-Z52)&lt;0.1,ABS(AA43-AA52)&lt;0.1,ABS(AB43-AB52)&lt;0.1),"GOTOVO !!","")</f>
        <v/>
      </c>
      <c r="AA55" s="78"/>
      <c r="AB55" s="78"/>
    </row>
    <row r="56" spans="1:33" ht="15" thickBot="1" x14ac:dyDescent="0.35">
      <c r="B56" s="74" t="s">
        <v>57</v>
      </c>
      <c r="C56" s="75"/>
      <c r="D56" s="75"/>
      <c r="E56" s="75"/>
      <c r="J56" s="76" t="s">
        <v>58</v>
      </c>
      <c r="K56" s="76"/>
      <c r="L56" s="76"/>
      <c r="M56" s="76"/>
      <c r="N56" s="76"/>
      <c r="S56" s="76" t="s">
        <v>58</v>
      </c>
      <c r="T56" s="76"/>
      <c r="U56" s="76"/>
      <c r="Z56" s="76" t="s">
        <v>58</v>
      </c>
      <c r="AA56" s="76"/>
      <c r="AB56" s="76"/>
    </row>
    <row r="57" spans="1:33" ht="15" thickBot="1" x14ac:dyDescent="0.35">
      <c r="A57" s="7" t="s">
        <v>17</v>
      </c>
      <c r="B57" s="34">
        <f>B52</f>
        <v>28.818318696603743</v>
      </c>
      <c r="C57" s="34">
        <f t="shared" ref="C57:E57" si="56">C52</f>
        <v>714.68441231108784</v>
      </c>
      <c r="D57" s="34">
        <f t="shared" si="56"/>
        <v>0.81362863964895671</v>
      </c>
      <c r="E57" s="34">
        <f t="shared" si="56"/>
        <v>450.00516773276786</v>
      </c>
      <c r="I57" s="7" t="s">
        <v>17</v>
      </c>
      <c r="J57" s="34">
        <f>J52</f>
        <v>29.589069966307743</v>
      </c>
      <c r="K57" s="34">
        <f t="shared" ref="K57:N57" si="57">K52</f>
        <v>719.02680016187662</v>
      </c>
      <c r="L57" s="34">
        <f t="shared" si="57"/>
        <v>0.58811852163098566</v>
      </c>
      <c r="M57" s="34">
        <f t="shared" si="57"/>
        <v>450.00254586291112</v>
      </c>
      <c r="N57" s="34">
        <f t="shared" si="57"/>
        <v>0.6997606059697723</v>
      </c>
      <c r="R57" s="7" t="s">
        <v>17</v>
      </c>
      <c r="S57" s="34">
        <f>S52</f>
        <v>24.203347507161624</v>
      </c>
      <c r="T57" s="34">
        <f t="shared" ref="T57:U57" si="58">T52</f>
        <v>1.5644044320762265</v>
      </c>
      <c r="U57" s="34">
        <f t="shared" si="58"/>
        <v>450.00892530147456</v>
      </c>
      <c r="Y57" s="7" t="s">
        <v>17</v>
      </c>
      <c r="Z57" s="34">
        <f>Z52</f>
        <v>1.0141126118295727</v>
      </c>
      <c r="AA57" s="34">
        <f t="shared" ref="AA57:AB57" si="59">AA52</f>
        <v>450.0118650711795</v>
      </c>
      <c r="AB57" s="34">
        <f t="shared" si="59"/>
        <v>20109.045752919323</v>
      </c>
    </row>
    <row r="58" spans="1:33" ht="15" thickBot="1" x14ac:dyDescent="0.35">
      <c r="A58" s="12" t="s">
        <v>19</v>
      </c>
      <c r="B58" s="24">
        <f>$H$4</f>
        <v>1.212</v>
      </c>
      <c r="C58" s="24">
        <f>$I$4</f>
        <v>14.463869463869464</v>
      </c>
      <c r="D58" s="24">
        <f>$J$4</f>
        <v>0.09</v>
      </c>
      <c r="E58" s="24">
        <f>$K$4</f>
        <v>0.2</v>
      </c>
      <c r="I58" s="12" t="s">
        <v>19</v>
      </c>
      <c r="J58" s="24">
        <f>$H$4</f>
        <v>1.212</v>
      </c>
      <c r="K58" s="24">
        <f>$I$4</f>
        <v>14.463869463869464</v>
      </c>
      <c r="L58" s="24">
        <f>$J$4</f>
        <v>0.09</v>
      </c>
      <c r="M58" s="24">
        <f>$K$4</f>
        <v>0.2</v>
      </c>
      <c r="N58" s="24">
        <f>$L$4</f>
        <v>7.0000000000000007E-2</v>
      </c>
      <c r="R58" s="12" t="s">
        <v>19</v>
      </c>
      <c r="S58" s="24">
        <f>$H$4</f>
        <v>1.212</v>
      </c>
      <c r="T58" s="24">
        <f>$J$4</f>
        <v>0.09</v>
      </c>
      <c r="U58" s="24">
        <f>$K$4</f>
        <v>0.2</v>
      </c>
      <c r="Y58" s="12" t="s">
        <v>19</v>
      </c>
      <c r="Z58" s="24">
        <f>$J$4</f>
        <v>0.09</v>
      </c>
      <c r="AA58" s="24">
        <f>$K$4</f>
        <v>0.2</v>
      </c>
      <c r="AB58" s="24">
        <f>$M$4</f>
        <v>630</v>
      </c>
    </row>
    <row r="59" spans="1:33" x14ac:dyDescent="0.3">
      <c r="A59" s="25" t="s">
        <v>18</v>
      </c>
      <c r="B59" s="18">
        <f>B58/B57</f>
        <v>4.2056582577207562E-2</v>
      </c>
      <c r="C59" s="18">
        <f t="shared" ref="C59:E59" si="60">C58/C57</f>
        <v>2.0238120791101894E-2</v>
      </c>
      <c r="D59" s="18">
        <f t="shared" si="60"/>
        <v>0.11061557523200125</v>
      </c>
      <c r="E59" s="18">
        <f t="shared" si="60"/>
        <v>4.4443934056945873E-4</v>
      </c>
      <c r="I59" s="25" t="s">
        <v>18</v>
      </c>
      <c r="J59" s="18">
        <f>J58/J57</f>
        <v>4.0961071144854193E-2</v>
      </c>
      <c r="K59" s="18">
        <f t="shared" ref="K59:N59" si="61">K58/K57</f>
        <v>2.011589757240366E-2</v>
      </c>
      <c r="L59" s="18">
        <f t="shared" si="61"/>
        <v>0.1530303785543255</v>
      </c>
      <c r="M59" s="18">
        <f t="shared" si="61"/>
        <v>4.4444193002616492E-4</v>
      </c>
      <c r="N59" s="18">
        <f t="shared" si="61"/>
        <v>0.10003421084699331</v>
      </c>
      <c r="R59" s="25" t="s">
        <v>18</v>
      </c>
      <c r="S59" s="18">
        <f>S58/S57</f>
        <v>5.0075717817189398E-2</v>
      </c>
      <c r="T59" s="18">
        <f t="shared" ref="T59:U59" si="62">T58/T57</f>
        <v>5.7529880480174128E-2</v>
      </c>
      <c r="U59" s="18">
        <f t="shared" si="62"/>
        <v>4.4443562950671251E-4</v>
      </c>
      <c r="Y59" s="25" t="s">
        <v>18</v>
      </c>
      <c r="Z59" s="18">
        <f>Z58/Z57</f>
        <v>8.874754041134536E-2</v>
      </c>
      <c r="AA59" s="18">
        <f t="shared" ref="AA59:AB59" si="63">AA58/AA57</f>
        <v>4.4443272616459902E-4</v>
      </c>
      <c r="AB59" s="18">
        <f t="shared" si="63"/>
        <v>3.1329184275615866E-2</v>
      </c>
    </row>
    <row r="60" spans="1:33" x14ac:dyDescent="0.3">
      <c r="A60" s="1" t="s">
        <v>39</v>
      </c>
      <c r="B60" s="66" t="s">
        <v>40</v>
      </c>
      <c r="C60" s="67"/>
      <c r="D60" s="67"/>
      <c r="E60" s="68"/>
      <c r="I60" s="1" t="s">
        <v>39</v>
      </c>
      <c r="J60" s="69" t="s">
        <v>41</v>
      </c>
      <c r="K60" s="69"/>
      <c r="L60" s="69"/>
      <c r="M60" s="69"/>
      <c r="N60" s="69"/>
      <c r="R60" s="1" t="s">
        <v>39</v>
      </c>
      <c r="S60" s="66" t="s">
        <v>42</v>
      </c>
      <c r="T60" s="67"/>
      <c r="U60" s="68"/>
      <c r="Y60" s="1" t="s">
        <v>39</v>
      </c>
      <c r="Z60" s="70" t="s">
        <v>43</v>
      </c>
      <c r="AA60" s="71"/>
      <c r="AB60" s="72"/>
    </row>
    <row r="61" spans="1:33" x14ac:dyDescent="0.3">
      <c r="A61" s="25" t="s">
        <v>44</v>
      </c>
      <c r="B61" s="1">
        <f>C57</f>
        <v>714.68441231108784</v>
      </c>
      <c r="C61" s="1">
        <f>B57</f>
        <v>28.818318696603743</v>
      </c>
      <c r="D61" s="1">
        <f>-0.125*E57^2</f>
        <v>-25313.081373274566</v>
      </c>
      <c r="E61" s="1">
        <f>-0.125*D57*2*E57</f>
        <v>-91.534273114353127</v>
      </c>
      <c r="I61" s="25" t="s">
        <v>44</v>
      </c>
      <c r="J61" s="18">
        <f>K57*N57</f>
        <v>503.14662938978114</v>
      </c>
      <c r="K61" s="18">
        <f>J57*N57</f>
        <v>20.705265529705496</v>
      </c>
      <c r="L61" s="18">
        <f>-0.125*M57^2</f>
        <v>-25312.786410387678</v>
      </c>
      <c r="M61" s="18">
        <f>-0.125*L57*2*M57</f>
        <v>-66.163708000768779</v>
      </c>
      <c r="N61" s="26">
        <f>J57*K57</f>
        <v>21275.334297640144</v>
      </c>
      <c r="R61" s="25" t="s">
        <v>44</v>
      </c>
      <c r="S61" s="18">
        <f>$O$6/SQRT(3)</f>
        <v>14.549226783578572</v>
      </c>
      <c r="T61" s="18">
        <f>-0.5*U57</f>
        <v>-225.00446265073728</v>
      </c>
      <c r="U61" s="18">
        <f>-0.5*T57</f>
        <v>-0.78220221603811324</v>
      </c>
      <c r="Y61" s="25" t="s">
        <v>44</v>
      </c>
      <c r="Z61" s="18">
        <f>-(AA57^4)/(185*AB57*$O$7)</f>
        <v>-1.4200481865294403</v>
      </c>
      <c r="AA61" s="18">
        <f>(1/300)-(1/(185*AB57*$O$7))*Z57*4*AA57^3</f>
        <v>-9.4671182737587276E-3</v>
      </c>
      <c r="AB61" s="18">
        <f>(Z57*AA57^4)/(185*AB57^2*$O$7)</f>
        <v>7.1613978756607791E-5</v>
      </c>
    </row>
    <row r="62" spans="1:33" x14ac:dyDescent="0.3">
      <c r="A62" s="1" t="s">
        <v>45</v>
      </c>
      <c r="B62" s="63">
        <f>SQRT((B61*B58)^2+(C61*C58)^2+(D61*D58)^2+(E61*E58)^2)</f>
        <v>2472.7449850954431</v>
      </c>
      <c r="C62" s="64"/>
      <c r="D62" s="64"/>
      <c r="E62" s="65"/>
      <c r="I62" s="1" t="s">
        <v>45</v>
      </c>
      <c r="J62" s="73">
        <f>SQRT((J61*J58)^2+(K61*K58)^2+(L61*L58)^2+(M61*M58)^2+(N61*N58)^2)</f>
        <v>2805.2881000056295</v>
      </c>
      <c r="K62" s="73"/>
      <c r="L62" s="73"/>
      <c r="M62" s="73"/>
      <c r="N62" s="73"/>
      <c r="R62" s="1" t="s">
        <v>45</v>
      </c>
      <c r="S62" s="73">
        <f>SQRT((S61*S58)^2+(T61*T58)^2+(U61*U58)^2)</f>
        <v>26.852361275230933</v>
      </c>
      <c r="T62" s="73"/>
      <c r="U62" s="73"/>
      <c r="Y62" s="1" t="s">
        <v>45</v>
      </c>
      <c r="Z62" s="73">
        <f>SQRT((Z61*Z58)^2+(AA61*AA58)^2+(AB61*AB58)^2)</f>
        <v>0.13554726037125467</v>
      </c>
      <c r="AA62" s="73"/>
      <c r="AB62" s="73"/>
    </row>
    <row r="63" spans="1:33" ht="15" thickBot="1" x14ac:dyDescent="0.35">
      <c r="A63" s="25" t="s">
        <v>46</v>
      </c>
      <c r="B63" s="1">
        <f>(B61*B58)/$B62</f>
        <v>0.35029795346551068</v>
      </c>
      <c r="C63" s="1">
        <f t="shared" ref="C63:E63" si="64">(C61*C58)/$B62</f>
        <v>0.16856748362984822</v>
      </c>
      <c r="D63" s="1">
        <f t="shared" si="64"/>
        <v>-0.92131511228472984</v>
      </c>
      <c r="E63" s="1">
        <f t="shared" si="64"/>
        <v>-7.4034543526388021E-3</v>
      </c>
      <c r="G63" s="2"/>
      <c r="I63" s="25" t="s">
        <v>46</v>
      </c>
      <c r="J63" s="18">
        <f>(J61*J58)/$J62</f>
        <v>0.21738006688838518</v>
      </c>
      <c r="K63" s="18">
        <f t="shared" ref="K63:N63" si="65">(K61*K58)/$J62</f>
        <v>0.10675490258409301</v>
      </c>
      <c r="L63" s="18">
        <f t="shared" si="65"/>
        <v>-0.81209155556262447</v>
      </c>
      <c r="M63" s="18">
        <f t="shared" si="65"/>
        <v>-4.7170704499574223E-3</v>
      </c>
      <c r="N63" s="18">
        <f t="shared" si="65"/>
        <v>0.53088073229691513</v>
      </c>
      <c r="O63" s="2"/>
      <c r="R63" s="25" t="s">
        <v>46</v>
      </c>
      <c r="S63" s="18">
        <f>(S61*S58)/$S62</f>
        <v>0.65668946879404655</v>
      </c>
      <c r="T63" s="18">
        <f t="shared" ref="T63:U63" si="66">(T61*T58)/$S62</f>
        <v>-0.75413858137107903</v>
      </c>
      <c r="U63" s="18">
        <f t="shared" si="66"/>
        <v>-5.8259473572600086E-3</v>
      </c>
      <c r="Y63" s="25" t="s">
        <v>46</v>
      </c>
      <c r="Z63" s="18">
        <f>(Z61*Z58)/$Z62</f>
        <v>-0.94287657631443311</v>
      </c>
      <c r="AA63" s="18">
        <f t="shared" ref="AA63:AB63" si="67">(AA61*AA58)/$Z62</f>
        <v>-1.3968734222778003E-2</v>
      </c>
      <c r="AB63" s="18">
        <f t="shared" si="67"/>
        <v>0.3328492696428616</v>
      </c>
    </row>
    <row r="64" spans="1:33" ht="16.2" thickBot="1" x14ac:dyDescent="0.35">
      <c r="A64" s="25" t="s">
        <v>47</v>
      </c>
      <c r="B64" s="27">
        <f>B63^2</f>
        <v>0.12270865620212508</v>
      </c>
      <c r="C64" s="27">
        <f t="shared" ref="C64:E64" si="68">C63^2</f>
        <v>2.8414996537299148E-2</v>
      </c>
      <c r="D64" s="27">
        <f t="shared" si="68"/>
        <v>0.8488215361242244</v>
      </c>
      <c r="E64" s="27">
        <f t="shared" si="68"/>
        <v>5.4811136351606425E-5</v>
      </c>
      <c r="F64" s="28" t="s">
        <v>48</v>
      </c>
      <c r="G64" s="29">
        <f>SUM(B64:E64)</f>
        <v>1.0000000000000002</v>
      </c>
      <c r="I64" s="25" t="s">
        <v>47</v>
      </c>
      <c r="J64" s="27">
        <f>J63^2</f>
        <v>4.7254093480398815E-2</v>
      </c>
      <c r="K64" s="27">
        <f t="shared" ref="K64:N64" si="69">K63^2</f>
        <v>1.1396609225739188E-2</v>
      </c>
      <c r="L64" s="27">
        <f t="shared" si="69"/>
        <v>0.65949269461612314</v>
      </c>
      <c r="M64" s="27">
        <f t="shared" si="69"/>
        <v>2.2250753629861518E-5</v>
      </c>
      <c r="N64" s="27">
        <f t="shared" si="69"/>
        <v>0.28183435192410888</v>
      </c>
      <c r="O64" s="28" t="s">
        <v>48</v>
      </c>
      <c r="P64" s="29">
        <f>SUM(J64:N64)</f>
        <v>0.99999999999999989</v>
      </c>
      <c r="R64" s="25" t="s">
        <v>47</v>
      </c>
      <c r="S64" s="27">
        <f>S63^2</f>
        <v>0.43124105842500704</v>
      </c>
      <c r="T64" s="27">
        <f t="shared" ref="T64:U64" si="70">T63^2</f>
        <v>0.56872499991238357</v>
      </c>
      <c r="U64" s="27">
        <f t="shared" si="70"/>
        <v>3.3941662609564879E-5</v>
      </c>
      <c r="V64" s="28" t="s">
        <v>48</v>
      </c>
      <c r="W64" s="29">
        <f>SUM(S64:U64)</f>
        <v>1.0000000000000002</v>
      </c>
      <c r="Y64" s="25" t="s">
        <v>47</v>
      </c>
      <c r="Z64" s="27">
        <f>Z63^2</f>
        <v>0.88901623816242703</v>
      </c>
      <c r="AA64" s="27">
        <f t="shared" ref="AA64" si="71">AA63^2</f>
        <v>1.9512553578660937E-4</v>
      </c>
      <c r="AB64" s="27">
        <f>AB63^2</f>
        <v>0.11078863630178638</v>
      </c>
      <c r="AC64" s="28" t="s">
        <v>48</v>
      </c>
      <c r="AD64" s="30">
        <f>SUM(Z64:AB64)</f>
        <v>1</v>
      </c>
      <c r="AE64" s="28"/>
      <c r="AF64" s="28"/>
      <c r="AG64" s="28"/>
    </row>
    <row r="65" spans="1:33" ht="15" thickBot="1" x14ac:dyDescent="0.35">
      <c r="A65" s="12" t="s">
        <v>49</v>
      </c>
      <c r="B65" s="53">
        <v>3.4899</v>
      </c>
      <c r="C65" s="54"/>
      <c r="D65" s="54"/>
      <c r="E65" s="79"/>
      <c r="F65" s="40" t="s">
        <v>65</v>
      </c>
      <c r="G65" s="10">
        <v>1.77495</v>
      </c>
      <c r="I65" s="12" t="s">
        <v>49</v>
      </c>
      <c r="J65" s="56">
        <v>2.6972999999999998</v>
      </c>
      <c r="K65" s="57"/>
      <c r="L65" s="57"/>
      <c r="M65" s="57"/>
      <c r="N65" s="58"/>
      <c r="O65" s="40" t="s">
        <v>65</v>
      </c>
      <c r="P65" s="10">
        <v>1.4615588235293999</v>
      </c>
      <c r="R65" s="12" t="s">
        <v>49</v>
      </c>
      <c r="S65" s="56">
        <v>7.66</v>
      </c>
      <c r="T65" s="57"/>
      <c r="U65" s="58"/>
      <c r="V65" s="40" t="s">
        <v>65</v>
      </c>
      <c r="W65" s="10">
        <v>2.4319999999999999</v>
      </c>
      <c r="Y65" s="12" t="s">
        <v>49</v>
      </c>
      <c r="Z65" s="56">
        <v>4.25</v>
      </c>
      <c r="AA65" s="57"/>
      <c r="AB65" s="58"/>
      <c r="AC65" s="40" t="s">
        <v>65</v>
      </c>
      <c r="AD65" s="10">
        <v>1.98</v>
      </c>
    </row>
    <row r="66" spans="1:33" x14ac:dyDescent="0.3">
      <c r="A66" s="1" t="s">
        <v>50</v>
      </c>
      <c r="B66" s="35">
        <f>B$15-B63*$B65*B58</f>
        <v>28.818324148707266</v>
      </c>
      <c r="C66" s="35">
        <f t="shared" ref="C66:E66" si="72">C$15-C63*$B65*C58</f>
        <v>714.68461511130909</v>
      </c>
      <c r="D66" s="35">
        <f>D$15-D63*$B65*D58*G65</f>
        <v>0.81362932441615943</v>
      </c>
      <c r="E66" s="35">
        <f t="shared" si="72"/>
        <v>450.00516746306903</v>
      </c>
      <c r="F66" s="2"/>
      <c r="G66" s="2"/>
      <c r="I66" s="1" t="s">
        <v>50</v>
      </c>
      <c r="J66" s="35">
        <f>J$15-J63*$J65*J58</f>
        <v>29.589356823645335</v>
      </c>
      <c r="K66" s="35">
        <f t="shared" ref="K66:N66" si="73">K$15-K63*$J65*K58</f>
        <v>719.02860199957536</v>
      </c>
      <c r="L66" s="35">
        <f>L$15-L63*$J65*L58*P65</f>
        <v>0.58813303612915679</v>
      </c>
      <c r="M66" s="35">
        <f t="shared" si="73"/>
        <v>450.00254467082493</v>
      </c>
      <c r="N66" s="35">
        <f t="shared" si="73"/>
        <v>0.69976387805428719</v>
      </c>
      <c r="O66" s="2"/>
      <c r="R66" s="1" t="s">
        <v>50</v>
      </c>
      <c r="S66" s="35">
        <f>S$15-S63*$S65*S58</f>
        <v>24.203347506873577</v>
      </c>
      <c r="T66" s="35">
        <f>T$15-T63*$S65*T58*W65</f>
        <v>1.5644044316092436</v>
      </c>
      <c r="U66" s="35">
        <f t="shared" ref="U66" si="74">U$15-U63*$S65*U58</f>
        <v>450.00892535135131</v>
      </c>
      <c r="Y66" s="1" t="s">
        <v>50</v>
      </c>
      <c r="Z66" s="35">
        <f>Z$15-Z63*$Z65*Z58*AD65</f>
        <v>1.0140875750717357</v>
      </c>
      <c r="AA66" s="35">
        <f>AA$15-AA63*$Z65*AA58</f>
        <v>450.01187342408934</v>
      </c>
      <c r="AB66" s="35">
        <f t="shared" ref="AB66" si="75">AB$15-AB63*$Z65*AB58</f>
        <v>20108.79608053124</v>
      </c>
    </row>
    <row r="67" spans="1:33" ht="15.6" x14ac:dyDescent="0.3">
      <c r="A67" s="1" t="s">
        <v>51</v>
      </c>
      <c r="B67" s="59">
        <f>B66*C66-0.125*D66*E66^2</f>
        <v>0.54763042984995991</v>
      </c>
      <c r="C67" s="60"/>
      <c r="D67" s="60"/>
      <c r="E67" s="61"/>
      <c r="F67" s="31" t="str">
        <f>IF(AND(0&lt;B67,B67&lt;1),"≈ 0","")</f>
        <v>≈ 0</v>
      </c>
      <c r="G67" s="32"/>
      <c r="I67" s="1" t="s">
        <v>51</v>
      </c>
      <c r="J67" s="62">
        <f>J66*K66*N66-0.125*L66*M66^2</f>
        <v>0.60622950422475697</v>
      </c>
      <c r="K67" s="62"/>
      <c r="L67" s="62"/>
      <c r="M67" s="62"/>
      <c r="N67" s="62"/>
      <c r="O67" s="33" t="str">
        <f>IF(AND(0&lt;J67,J67&lt;1),"≈ 0","")</f>
        <v>≈ 0</v>
      </c>
      <c r="R67" s="1" t="s">
        <v>51</v>
      </c>
      <c r="S67" s="63">
        <f>($O$6/SQRT(3))*S66-0.5*T66*U66</f>
        <v>0.14201325758108396</v>
      </c>
      <c r="T67" s="64"/>
      <c r="U67" s="65"/>
      <c r="V67" s="33" t="str">
        <f>IF(AND(0&lt;S67,S67&lt;1),"≈ 0","")</f>
        <v>≈ 0</v>
      </c>
      <c r="Y67" s="1" t="s">
        <v>51</v>
      </c>
      <c r="Z67" s="63">
        <f>(AA66/300)-(Z66*AA66^4)/(185*AB66*$O$7)</f>
        <v>5.9968369384270526E-2</v>
      </c>
      <c r="AA67" s="64"/>
      <c r="AB67" s="65"/>
      <c r="AC67" s="33" t="str">
        <f>IF(AND(0&lt;Z67,Z67&lt;1),"≈ 0","")</f>
        <v>≈ 0</v>
      </c>
      <c r="AD67" s="33"/>
      <c r="AE67" s="33"/>
      <c r="AF67" s="33"/>
      <c r="AG67" s="33"/>
    </row>
    <row r="68" spans="1:33" x14ac:dyDescent="0.3">
      <c r="A68" s="1" t="s">
        <v>52</v>
      </c>
      <c r="B68" s="63">
        <f>NORMSDIST(-B65)</f>
        <v>2.4160066156060037E-4</v>
      </c>
      <c r="C68" s="64"/>
      <c r="D68" s="64"/>
      <c r="E68" s="65"/>
      <c r="I68" s="1" t="s">
        <v>52</v>
      </c>
      <c r="J68" s="73">
        <f>NORMSDIST(-J65)</f>
        <v>3.4952130999661873E-3</v>
      </c>
      <c r="K68" s="73"/>
      <c r="L68" s="73"/>
      <c r="M68" s="73"/>
      <c r="N68" s="73"/>
      <c r="R68" s="1" t="s">
        <v>52</v>
      </c>
      <c r="S68" s="73">
        <f>NORMSDIST(-S65)</f>
        <v>9.296654178339855E-15</v>
      </c>
      <c r="T68" s="73"/>
      <c r="U68" s="73"/>
      <c r="Y68" s="1" t="s">
        <v>52</v>
      </c>
      <c r="Z68" s="63">
        <f>NORMSDIST(-Z65)</f>
        <v>1.06885257749344E-5</v>
      </c>
      <c r="AA68" s="64"/>
      <c r="AB68" s="65"/>
    </row>
    <row r="69" spans="1:33" x14ac:dyDescent="0.3">
      <c r="B69" s="77" t="str">
        <f>IF(AND(ABS(B57-B66)&lt;0.1,ABS(C57-C66)&lt;0.1,ABS(D57-D66)&lt;0.1,ABS(E57-E66)&lt;0.1),"GOTOVO !!","")</f>
        <v>GOTOVO !!</v>
      </c>
      <c r="C69" s="77"/>
      <c r="D69" s="77"/>
      <c r="E69" s="77"/>
      <c r="J69" s="78" t="str">
        <f>IF(AND(ABS(J57-J66)&lt;0.1,ABS(K57-K66)&lt;0.1,ABS(L57-L66)&lt;0.1,ABS(M57-M66)&lt;0.1,ABS(N57-N66)&lt;0.1),"GOTOVO !!","")</f>
        <v>GOTOVO !!</v>
      </c>
      <c r="K69" s="78"/>
      <c r="L69" s="78"/>
      <c r="M69" s="78"/>
      <c r="N69" s="78"/>
      <c r="S69" s="78" t="str">
        <f>IF(AND(ABS(S57-S66)&lt;0.1,ABS(T57-T66)&lt;0.1,ABS(U57-U66)&lt;0.1),"GOTOVO !!","")</f>
        <v>GOTOVO !!</v>
      </c>
      <c r="T69" s="78"/>
      <c r="U69" s="78"/>
      <c r="Z69" s="78" t="str">
        <f>IF(AND(ABS(Z57-Z66)&lt;0.1,ABS(AA57-AA66)&lt;0.1,ABS(AB57-AB66)&lt;0.1),"GOTOVO !!","")</f>
        <v/>
      </c>
      <c r="AA69" s="78"/>
      <c r="AB69" s="78"/>
    </row>
    <row r="70" spans="1:33" ht="15" thickBot="1" x14ac:dyDescent="0.35">
      <c r="B70" s="74" t="s">
        <v>59</v>
      </c>
      <c r="C70" s="75"/>
      <c r="D70" s="75"/>
      <c r="E70" s="75"/>
      <c r="J70" s="76" t="s">
        <v>60</v>
      </c>
      <c r="K70" s="76"/>
      <c r="L70" s="76"/>
      <c r="M70" s="76"/>
      <c r="N70" s="76"/>
      <c r="S70" s="76" t="s">
        <v>60</v>
      </c>
      <c r="T70" s="76"/>
      <c r="U70" s="76"/>
      <c r="Z70" s="76" t="s">
        <v>60</v>
      </c>
      <c r="AA70" s="76"/>
      <c r="AB70" s="76"/>
    </row>
    <row r="71" spans="1:33" ht="15" thickBot="1" x14ac:dyDescent="0.35">
      <c r="A71" s="7" t="s">
        <v>17</v>
      </c>
      <c r="B71" s="34">
        <f>B66</f>
        <v>28.818324148707266</v>
      </c>
      <c r="C71" s="34">
        <f t="shared" ref="C71:E71" si="76">C66</f>
        <v>714.68461511130909</v>
      </c>
      <c r="D71" s="34">
        <f t="shared" si="76"/>
        <v>0.81362932441615943</v>
      </c>
      <c r="E71" s="34">
        <f t="shared" si="76"/>
        <v>450.00516746306903</v>
      </c>
      <c r="I71" s="7" t="s">
        <v>17</v>
      </c>
      <c r="J71" s="34">
        <f>J66</f>
        <v>29.589356823645335</v>
      </c>
      <c r="K71" s="34">
        <f t="shared" ref="K71:N71" si="77">K66</f>
        <v>719.02860199957536</v>
      </c>
      <c r="L71" s="34">
        <f t="shared" si="77"/>
        <v>0.58813303612915679</v>
      </c>
      <c r="M71" s="34">
        <f t="shared" si="77"/>
        <v>450.00254467082493</v>
      </c>
      <c r="N71" s="34">
        <f t="shared" si="77"/>
        <v>0.69976387805428719</v>
      </c>
      <c r="R71" s="7" t="s">
        <v>17</v>
      </c>
      <c r="S71" s="34">
        <f>S66</f>
        <v>24.203347506873577</v>
      </c>
      <c r="T71" s="34">
        <f t="shared" ref="T71:U71" si="78">T66</f>
        <v>1.5644044316092436</v>
      </c>
      <c r="U71" s="34">
        <f t="shared" si="78"/>
        <v>450.00892535135131</v>
      </c>
      <c r="Y71" s="7" t="s">
        <v>17</v>
      </c>
      <c r="Z71" s="34">
        <f>Z66</f>
        <v>1.0140875750717357</v>
      </c>
      <c r="AA71" s="34">
        <f t="shared" ref="AA71:AB71" si="79">AA66</f>
        <v>450.01187342408934</v>
      </c>
      <c r="AB71" s="34">
        <f t="shared" si="79"/>
        <v>20108.79608053124</v>
      </c>
    </row>
    <row r="72" spans="1:33" ht="15" thickBot="1" x14ac:dyDescent="0.35">
      <c r="A72" s="12" t="s">
        <v>19</v>
      </c>
      <c r="B72" s="24">
        <f>$H$4</f>
        <v>1.212</v>
      </c>
      <c r="C72" s="24">
        <f>$I$4</f>
        <v>14.463869463869464</v>
      </c>
      <c r="D72" s="24">
        <f>$J$4</f>
        <v>0.09</v>
      </c>
      <c r="E72" s="24">
        <f>$K$4</f>
        <v>0.2</v>
      </c>
      <c r="I72" s="12" t="s">
        <v>19</v>
      </c>
      <c r="J72" s="24">
        <f>$H$4</f>
        <v>1.212</v>
      </c>
      <c r="K72" s="24">
        <f>$I$4</f>
        <v>14.463869463869464</v>
      </c>
      <c r="L72" s="24">
        <f>$J$4</f>
        <v>0.09</v>
      </c>
      <c r="M72" s="24">
        <f>$K$4</f>
        <v>0.2</v>
      </c>
      <c r="N72" s="24">
        <f>$L$4</f>
        <v>7.0000000000000007E-2</v>
      </c>
      <c r="R72" s="12" t="s">
        <v>19</v>
      </c>
      <c r="S72" s="24">
        <f>$H$4</f>
        <v>1.212</v>
      </c>
      <c r="T72" s="24">
        <f>$J$4</f>
        <v>0.09</v>
      </c>
      <c r="U72" s="24">
        <f>$K$4</f>
        <v>0.2</v>
      </c>
      <c r="Y72" s="12" t="s">
        <v>19</v>
      </c>
      <c r="Z72" s="24">
        <f>$J$4</f>
        <v>0.09</v>
      </c>
      <c r="AA72" s="24">
        <f>$K$4</f>
        <v>0.2</v>
      </c>
      <c r="AB72" s="24">
        <f>$M$4</f>
        <v>630</v>
      </c>
    </row>
    <row r="73" spans="1:33" x14ac:dyDescent="0.3">
      <c r="A73" s="25" t="s">
        <v>18</v>
      </c>
      <c r="B73" s="18">
        <f>B72/B71</f>
        <v>4.2056574620574112E-2</v>
      </c>
      <c r="C73" s="18">
        <f t="shared" ref="C73:E73" si="80">C72/C71</f>
        <v>2.0238115048295504E-2</v>
      </c>
      <c r="D73" s="18">
        <f t="shared" si="80"/>
        <v>0.1106154821356541</v>
      </c>
      <c r="E73" s="18">
        <f t="shared" si="80"/>
        <v>4.4443934083582184E-4</v>
      </c>
      <c r="I73" s="25" t="s">
        <v>18</v>
      </c>
      <c r="J73" s="18">
        <f>J72/J71</f>
        <v>4.0960674043157001E-2</v>
      </c>
      <c r="K73" s="18">
        <f t="shared" ref="K73:N73" si="81">K72/K71</f>
        <v>2.0115847163306593E-2</v>
      </c>
      <c r="L73" s="18">
        <f t="shared" si="81"/>
        <v>0.15302660192724757</v>
      </c>
      <c r="M73" s="18">
        <f t="shared" si="81"/>
        <v>4.4444193120352066E-4</v>
      </c>
      <c r="N73" s="18">
        <f t="shared" si="81"/>
        <v>0.10003374308865005</v>
      </c>
      <c r="R73" s="25" t="s">
        <v>18</v>
      </c>
      <c r="S73" s="18">
        <f>S72/S71</f>
        <v>5.0075717817785359E-2</v>
      </c>
      <c r="T73" s="18">
        <f t="shared" ref="T73:U73" si="82">T72/T71</f>
        <v>5.75298804973471E-2</v>
      </c>
      <c r="U73" s="18">
        <f t="shared" si="82"/>
        <v>4.4443562945745347E-4</v>
      </c>
      <c r="Y73" s="25" t="s">
        <v>18</v>
      </c>
      <c r="Z73" s="18">
        <f>Z72/Z71</f>
        <v>8.8749731494968245E-2</v>
      </c>
      <c r="AA73" s="18">
        <f t="shared" ref="AA73:AB73" si="83">AA72/AA71</f>
        <v>4.444327179152467E-4</v>
      </c>
      <c r="AB73" s="18">
        <f t="shared" si="83"/>
        <v>3.1329573261223133E-2</v>
      </c>
    </row>
    <row r="74" spans="1:33" x14ac:dyDescent="0.3">
      <c r="A74" s="1" t="s">
        <v>39</v>
      </c>
      <c r="B74" s="66" t="s">
        <v>40</v>
      </c>
      <c r="C74" s="67"/>
      <c r="D74" s="67"/>
      <c r="E74" s="68"/>
      <c r="I74" s="1" t="s">
        <v>39</v>
      </c>
      <c r="J74" s="69" t="s">
        <v>41</v>
      </c>
      <c r="K74" s="69"/>
      <c r="L74" s="69"/>
      <c r="M74" s="69"/>
      <c r="N74" s="69"/>
      <c r="R74" s="1" t="s">
        <v>39</v>
      </c>
      <c r="S74" s="66" t="s">
        <v>42</v>
      </c>
      <c r="T74" s="67"/>
      <c r="U74" s="68"/>
      <c r="Y74" s="1" t="s">
        <v>39</v>
      </c>
      <c r="Z74" s="70" t="s">
        <v>43</v>
      </c>
      <c r="AA74" s="71"/>
      <c r="AB74" s="72"/>
    </row>
    <row r="75" spans="1:33" x14ac:dyDescent="0.3">
      <c r="A75" s="25" t="s">
        <v>44</v>
      </c>
      <c r="B75" s="1">
        <f>C71</f>
        <v>714.68461511130909</v>
      </c>
      <c r="C75" s="1">
        <f>B71</f>
        <v>28.818324148707266</v>
      </c>
      <c r="D75" s="1">
        <f>-0.125*E71^2</f>
        <v>-25313.081342933099</v>
      </c>
      <c r="E75" s="1">
        <f>-0.125*D71*2*E71</f>
        <v>-91.53435009668938</v>
      </c>
      <c r="I75" s="25" t="s">
        <v>44</v>
      </c>
      <c r="J75" s="18">
        <f>K71*N71</f>
        <v>503.15024296717547</v>
      </c>
      <c r="K75" s="18">
        <f>J71*N71</f>
        <v>20.705563080046144</v>
      </c>
      <c r="L75" s="18">
        <f>-0.125*M71^2</f>
        <v>-25312.786276277224</v>
      </c>
      <c r="M75" s="18">
        <f>-0.125*L71*2*M71</f>
        <v>-66.16534071577469</v>
      </c>
      <c r="N75" s="26">
        <f>J71*K71</f>
        <v>21275.593870972301</v>
      </c>
      <c r="R75" s="25" t="s">
        <v>44</v>
      </c>
      <c r="S75" s="18">
        <f>$O$6/SQRT(3)</f>
        <v>14.549226783578572</v>
      </c>
      <c r="T75" s="18">
        <f>-0.5*U71</f>
        <v>-225.00446267567565</v>
      </c>
      <c r="U75" s="18">
        <f>-0.5*T71</f>
        <v>-0.78220221580462179</v>
      </c>
      <c r="Y75" s="25" t="s">
        <v>44</v>
      </c>
      <c r="Z75" s="18">
        <f>-(AA71^4)/(185*AB71*$O$7)</f>
        <v>-1.420065923393409</v>
      </c>
      <c r="AA75" s="18">
        <f>(1/300)-(1/(185*AB71*$O$7))*Z71*4*AA71^3</f>
        <v>-9.4669618921120607E-3</v>
      </c>
      <c r="AB75" s="18">
        <f>(Z71*AA71^4)/(185*AB71^2*$O$7)</f>
        <v>7.1613994340032275E-5</v>
      </c>
    </row>
    <row r="76" spans="1:33" x14ac:dyDescent="0.3">
      <c r="A76" s="1" t="s">
        <v>45</v>
      </c>
      <c r="B76" s="63">
        <f>SQRT((B75*B72)^2+(C75*C72)^2+(D75*D72)^2+(E75*E72)^2)</f>
        <v>2472.7450820876479</v>
      </c>
      <c r="C76" s="64"/>
      <c r="D76" s="64"/>
      <c r="E76" s="65"/>
      <c r="I76" s="1" t="s">
        <v>45</v>
      </c>
      <c r="J76" s="73">
        <f>SQRT((J75*J72)^2+(K75*K72)^2+(L75*L72)^2+(M75*M72)^2+(N75*N72)^2)</f>
        <v>2805.2991494555999</v>
      </c>
      <c r="K76" s="73"/>
      <c r="L76" s="73"/>
      <c r="M76" s="73"/>
      <c r="N76" s="73"/>
      <c r="R76" s="1" t="s">
        <v>45</v>
      </c>
      <c r="S76" s="73">
        <f>SQRT((S75*S72)^2+(T75*T72)^2+(U75*U72)^2)</f>
        <v>26.852361276923293</v>
      </c>
      <c r="T76" s="73"/>
      <c r="U76" s="73"/>
      <c r="Y76" s="1" t="s">
        <v>45</v>
      </c>
      <c r="Z76" s="73">
        <f>SQRT((Z75*Z72)^2+(AA75*AA72)^2+(AB75*AB72)^2)</f>
        <v>0.13554876833376805</v>
      </c>
      <c r="AA76" s="73"/>
      <c r="AB76" s="73"/>
    </row>
    <row r="77" spans="1:33" ht="15" thickBot="1" x14ac:dyDescent="0.35">
      <c r="A77" s="25" t="s">
        <v>46</v>
      </c>
      <c r="B77" s="1">
        <f>(B75*B72)/$B76</f>
        <v>0.35029803912646251</v>
      </c>
      <c r="C77" s="1">
        <f t="shared" ref="C77:E77" si="84">(C75*C72)/$B76</f>
        <v>0.16856750890895286</v>
      </c>
      <c r="D77" s="1">
        <f t="shared" si="84"/>
        <v>-0.92131507504226728</v>
      </c>
      <c r="E77" s="1">
        <f t="shared" si="84"/>
        <v>-7.4034602887096054E-3</v>
      </c>
      <c r="G77" s="2"/>
      <c r="I77" s="25" t="s">
        <v>46</v>
      </c>
      <c r="J77" s="18">
        <f>(J75*J72)/$J76</f>
        <v>0.21738077188472349</v>
      </c>
      <c r="K77" s="18">
        <f t="shared" ref="K77:N77" si="85">(K75*K72)/$J76</f>
        <v>0.10675601624298085</v>
      </c>
      <c r="L77" s="18">
        <f t="shared" si="85"/>
        <v>-0.81208835261189549</v>
      </c>
      <c r="M77" s="18">
        <f t="shared" si="85"/>
        <v>-4.7171682726681622E-3</v>
      </c>
      <c r="N77" s="18">
        <f t="shared" si="85"/>
        <v>0.53088511835077379</v>
      </c>
      <c r="O77" s="2"/>
      <c r="R77" s="25" t="s">
        <v>46</v>
      </c>
      <c r="S77" s="18">
        <f>(S75*S72)/$S76</f>
        <v>0.65668946875265899</v>
      </c>
      <c r="T77" s="18">
        <f t="shared" ref="T77:U77" si="86">(T75*T72)/$S76</f>
        <v>-0.75413858140713463</v>
      </c>
      <c r="U77" s="18">
        <f t="shared" si="86"/>
        <v>-5.8259473551537551E-3</v>
      </c>
      <c r="Y77" s="25" t="s">
        <v>46</v>
      </c>
      <c r="Z77" s="18">
        <f>(Z75*Z72)/$Z76</f>
        <v>-0.94287786363874804</v>
      </c>
      <c r="AA77" s="18">
        <f t="shared" ref="AA77:AB77" si="87">(AA75*AA72)/$Z76</f>
        <v>-1.3968348083844066E-2</v>
      </c>
      <c r="AB77" s="18">
        <f t="shared" si="87"/>
        <v>0.33284563916602389</v>
      </c>
    </row>
    <row r="78" spans="1:33" ht="16.2" thickBot="1" x14ac:dyDescent="0.35">
      <c r="A78" s="25" t="s">
        <v>47</v>
      </c>
      <c r="B78" s="27">
        <f>B77^2</f>
        <v>0.12270871621584466</v>
      </c>
      <c r="C78" s="27">
        <f t="shared" ref="C78:E78" si="88">C77^2</f>
        <v>2.8415005059769901E-2</v>
      </c>
      <c r="D78" s="27">
        <f t="shared" si="88"/>
        <v>0.84882146750013865</v>
      </c>
      <c r="E78" s="27">
        <f t="shared" si="88"/>
        <v>5.4811224246500113E-5</v>
      </c>
      <c r="F78" s="28" t="s">
        <v>48</v>
      </c>
      <c r="G78" s="29">
        <f>SUM(B78:E78)</f>
        <v>0.99999999999999978</v>
      </c>
      <c r="I78" s="25" t="s">
        <v>47</v>
      </c>
      <c r="J78" s="27">
        <f>J77^2</f>
        <v>4.7254399985198189E-2</v>
      </c>
      <c r="K78" s="27">
        <f t="shared" ref="K78:N78" si="89">K77^2</f>
        <v>1.1396847004071592E-2</v>
      </c>
      <c r="L78" s="27">
        <f t="shared" si="89"/>
        <v>0.65948749244790228</v>
      </c>
      <c r="M78" s="27">
        <f t="shared" si="89"/>
        <v>2.2251676512667132E-5</v>
      </c>
      <c r="N78" s="27">
        <f t="shared" si="89"/>
        <v>0.28183900888631508</v>
      </c>
      <c r="O78" s="28" t="s">
        <v>48</v>
      </c>
      <c r="P78" s="29">
        <f>SUM(J78:N78)</f>
        <v>0.99999999999999989</v>
      </c>
      <c r="R78" s="25" t="s">
        <v>47</v>
      </c>
      <c r="S78" s="27">
        <f>S77^2</f>
        <v>0.43124105837064947</v>
      </c>
      <c r="T78" s="27">
        <f t="shared" ref="T78:U78" si="90">T77^2</f>
        <v>0.5687249999667654</v>
      </c>
      <c r="U78" s="27">
        <f t="shared" si="90"/>
        <v>3.3941662585023034E-5</v>
      </c>
      <c r="V78" s="28" t="s">
        <v>48</v>
      </c>
      <c r="W78" s="29">
        <f>SUM(S78:U78)</f>
        <v>0.99999999999999978</v>
      </c>
      <c r="Y78" s="25" t="s">
        <v>47</v>
      </c>
      <c r="Z78" s="27">
        <f>Z77^2</f>
        <v>0.88901866573996957</v>
      </c>
      <c r="AA78" s="27">
        <f t="shared" ref="AA78" si="91">AA77^2</f>
        <v>1.9511474819143017E-4</v>
      </c>
      <c r="AB78" s="27">
        <f>AB77^2</f>
        <v>0.11078621951183898</v>
      </c>
      <c r="AC78" s="28" t="s">
        <v>48</v>
      </c>
      <c r="AD78" s="30">
        <f>SUM(Z78:AB78)</f>
        <v>1</v>
      </c>
      <c r="AE78" s="28"/>
      <c r="AF78" s="28"/>
      <c r="AG78" s="28"/>
    </row>
    <row r="79" spans="1:33" ht="15" thickBot="1" x14ac:dyDescent="0.35">
      <c r="A79" s="12" t="s">
        <v>49</v>
      </c>
      <c r="B79" s="53">
        <v>3.4899</v>
      </c>
      <c r="C79" s="54"/>
      <c r="D79" s="54"/>
      <c r="E79" s="79"/>
      <c r="F79" s="40" t="s">
        <v>65</v>
      </c>
      <c r="G79" s="10">
        <v>1.77495</v>
      </c>
      <c r="I79" s="12" t="s">
        <v>49</v>
      </c>
      <c r="J79" s="56">
        <v>2.6972999999999998</v>
      </c>
      <c r="K79" s="57"/>
      <c r="L79" s="57"/>
      <c r="M79" s="57"/>
      <c r="N79" s="58"/>
      <c r="O79" s="40" t="s">
        <v>65</v>
      </c>
      <c r="P79" s="10">
        <v>1.4615588235293999</v>
      </c>
      <c r="R79" s="12" t="s">
        <v>49</v>
      </c>
      <c r="S79" s="56">
        <v>7.66</v>
      </c>
      <c r="T79" s="57"/>
      <c r="U79" s="58"/>
      <c r="V79" s="40" t="s">
        <v>65</v>
      </c>
      <c r="W79" s="10">
        <v>2.4319999999999999</v>
      </c>
      <c r="Y79" s="12" t="s">
        <v>49</v>
      </c>
      <c r="Z79" s="56">
        <v>4.25</v>
      </c>
      <c r="AA79" s="57"/>
      <c r="AB79" s="58"/>
      <c r="AC79" s="40" t="s">
        <v>65</v>
      </c>
      <c r="AD79" s="10">
        <v>1.98</v>
      </c>
    </row>
    <row r="80" spans="1:33" x14ac:dyDescent="0.3">
      <c r="A80" s="1" t="s">
        <v>50</v>
      </c>
      <c r="B80" s="35">
        <f>B$15-B77*$B79*B72</f>
        <v>28.818323786382102</v>
      </c>
      <c r="C80" s="35">
        <f t="shared" ref="C80:E80" si="92">C$15-C77*$B79*C72</f>
        <v>714.68461383528415</v>
      </c>
      <c r="D80" s="35">
        <f>D$15-D77*$B79*D72*G79</f>
        <v>0.81362930365364217</v>
      </c>
      <c r="E80" s="35">
        <f t="shared" si="92"/>
        <v>450.00516746721229</v>
      </c>
      <c r="F80" s="2"/>
      <c r="G80" s="2"/>
      <c r="I80" s="1" t="s">
        <v>50</v>
      </c>
      <c r="J80" s="35">
        <f>J$15-J77*$J79*J72</f>
        <v>29.589354518922349</v>
      </c>
      <c r="K80" s="35">
        <f t="shared" ref="K80:N80" si="93">K$15-K77*$J79*K72</f>
        <v>719.02855855196117</v>
      </c>
      <c r="L80" s="35">
        <f>L$15-L77*$J79*L72*P79</f>
        <v>0.58813189971059432</v>
      </c>
      <c r="M80" s="35">
        <f t="shared" si="93"/>
        <v>450.00254472359637</v>
      </c>
      <c r="N80" s="35">
        <f t="shared" si="93"/>
        <v>0.69976304991907212</v>
      </c>
      <c r="O80" s="2"/>
      <c r="R80" s="1" t="s">
        <v>50</v>
      </c>
      <c r="S80" s="35">
        <f>S$15-S77*$S79*S72</f>
        <v>24.203347507257813</v>
      </c>
      <c r="T80" s="35">
        <f>T$15-T77*$S79*T72*W79</f>
        <v>1.5644044316696952</v>
      </c>
      <c r="U80" s="35">
        <f t="shared" ref="U80" si="94">U$15-U77*$S79*U72</f>
        <v>450.00892535134807</v>
      </c>
      <c r="Y80" s="1" t="s">
        <v>50</v>
      </c>
      <c r="Z80" s="35">
        <f>Z$15-Z77*$Z79*Z72*AD79</f>
        <v>1.0140885500268058</v>
      </c>
      <c r="AA80" s="35">
        <f>AA$15-AA77*$Z79*AA72</f>
        <v>450.01187309587129</v>
      </c>
      <c r="AB80" s="35">
        <f t="shared" ref="AB80" si="95">AB$15-AB77*$Z79*AB72</f>
        <v>20108.80580113297</v>
      </c>
    </row>
    <row r="81" spans="1:33" ht="15.6" x14ac:dyDescent="0.3">
      <c r="A81" s="1" t="s">
        <v>51</v>
      </c>
      <c r="B81" s="59">
        <f>B80*C80-0.125*D80*E80^2</f>
        <v>0.54785989276933833</v>
      </c>
      <c r="C81" s="60"/>
      <c r="D81" s="60"/>
      <c r="E81" s="61"/>
      <c r="F81" s="31" t="str">
        <f>IF(AND(0&lt;B81,B81&lt;1),"≈ 0","")</f>
        <v>≈ 0</v>
      </c>
      <c r="G81" s="32"/>
      <c r="I81" s="1" t="s">
        <v>51</v>
      </c>
      <c r="J81" s="62">
        <f>J80*K80*N80-0.125*L80*M80^2</f>
        <v>0.61531363753601909</v>
      </c>
      <c r="K81" s="62"/>
      <c r="L81" s="62"/>
      <c r="M81" s="62"/>
      <c r="N81" s="62"/>
      <c r="O81" s="33" t="str">
        <f>IF(AND(0&lt;J81,J81&lt;1),"≈ 0","")</f>
        <v>≈ 0</v>
      </c>
      <c r="R81" s="1" t="s">
        <v>51</v>
      </c>
      <c r="S81" s="63">
        <f>($O$6/SQRT(3))*S80-0.5*T80*U80</f>
        <v>0.14201324957201678</v>
      </c>
      <c r="T81" s="64"/>
      <c r="U81" s="65"/>
      <c r="V81" s="33" t="str">
        <f>IF(AND(0&lt;S81,S81&lt;1),"≈ 0","")</f>
        <v>≈ 0</v>
      </c>
      <c r="Y81" s="1" t="s">
        <v>51</v>
      </c>
      <c r="Z81" s="63">
        <f>(AA80/300)-(Z80*AA80^4)/(185*AB80*$O$7)</f>
        <v>5.9967684122478326E-2</v>
      </c>
      <c r="AA81" s="64"/>
      <c r="AB81" s="65"/>
      <c r="AC81" s="33" t="str">
        <f>IF(AND(0&lt;Z81,Z81&lt;1),"≈ 0","")</f>
        <v>≈ 0</v>
      </c>
      <c r="AD81" s="33"/>
      <c r="AE81" s="33"/>
      <c r="AF81" s="33"/>
      <c r="AG81" s="33"/>
    </row>
    <row r="82" spans="1:33" x14ac:dyDescent="0.3">
      <c r="A82" s="1" t="s">
        <v>52</v>
      </c>
      <c r="B82" s="63">
        <f>NORMSDIST(-B79)</f>
        <v>2.4160066156060037E-4</v>
      </c>
      <c r="C82" s="64"/>
      <c r="D82" s="64"/>
      <c r="E82" s="65"/>
      <c r="I82" s="1" t="s">
        <v>52</v>
      </c>
      <c r="J82" s="73">
        <f>NORMSDIST(-J79)</f>
        <v>3.4952130999661873E-3</v>
      </c>
      <c r="K82" s="73"/>
      <c r="L82" s="73"/>
      <c r="M82" s="73"/>
      <c r="N82" s="73"/>
      <c r="R82" s="1" t="s">
        <v>52</v>
      </c>
      <c r="S82" s="73">
        <f>NORMSDIST(-S79)</f>
        <v>9.296654178339855E-15</v>
      </c>
      <c r="T82" s="73"/>
      <c r="U82" s="73"/>
      <c r="Y82" s="1" t="s">
        <v>52</v>
      </c>
      <c r="Z82" s="63">
        <f>NORMSDIST(-Z79)</f>
        <v>1.06885257749344E-5</v>
      </c>
      <c r="AA82" s="64"/>
      <c r="AB82" s="65"/>
    </row>
    <row r="83" spans="1:33" x14ac:dyDescent="0.3">
      <c r="B83" s="77" t="str">
        <f>IF(AND(ABS(B71-B80)&lt;0.1,ABS(C71-C80)&lt;0.1,ABS(D71-D80)&lt;0.1,ABS(E71-E80)&lt;0.1),"GOTOVO !!","")</f>
        <v>GOTOVO !!</v>
      </c>
      <c r="C83" s="77"/>
      <c r="D83" s="77"/>
      <c r="E83" s="77"/>
      <c r="J83" s="78" t="str">
        <f>IF(AND(ABS(J71-J80)&lt;0.1,ABS(K71-K80)&lt;0.1,ABS(L71-L80)&lt;0.1,ABS(M71-M80)&lt;0.1,ABS(N71-N80)&lt;0.1),"GOTOVO !!","")</f>
        <v>GOTOVO !!</v>
      </c>
      <c r="K83" s="78"/>
      <c r="L83" s="78"/>
      <c r="M83" s="78"/>
      <c r="N83" s="78"/>
      <c r="S83" s="78" t="str">
        <f>IF(AND(ABS(S71-S80)&lt;0.1,ABS(T71-T80)&lt;0.1,ABS(U71-U80)&lt;0.1),"GOTOVO !!","")</f>
        <v>GOTOVO !!</v>
      </c>
      <c r="T83" s="78"/>
      <c r="U83" s="78"/>
      <c r="Z83" s="78" t="str">
        <f>IF(AND(ABS(Z71-Z80)&lt;0.1,ABS(AA71-AA80)&lt;0.1,ABS(AB71-AB80)&lt;0.1),"GOTOVO !!","")</f>
        <v>GOTOVO !!</v>
      </c>
      <c r="AA83" s="78"/>
      <c r="AB83" s="78"/>
    </row>
    <row r="84" spans="1:33" ht="15" thickBot="1" x14ac:dyDescent="0.35">
      <c r="B84" s="74" t="s">
        <v>61</v>
      </c>
      <c r="C84" s="75"/>
      <c r="D84" s="75"/>
      <c r="E84" s="75"/>
      <c r="J84" s="76" t="s">
        <v>62</v>
      </c>
      <c r="K84" s="76"/>
      <c r="L84" s="76"/>
      <c r="M84" s="76"/>
      <c r="N84" s="76"/>
      <c r="S84" s="76" t="s">
        <v>62</v>
      </c>
      <c r="T84" s="76"/>
      <c r="U84" s="76"/>
      <c r="Z84" s="76" t="s">
        <v>62</v>
      </c>
      <c r="AA84" s="76"/>
      <c r="AB84" s="76"/>
    </row>
    <row r="85" spans="1:33" ht="15" thickBot="1" x14ac:dyDescent="0.35">
      <c r="A85" s="7" t="s">
        <v>17</v>
      </c>
      <c r="B85" s="34">
        <f>B80</f>
        <v>28.818323786382102</v>
      </c>
      <c r="C85" s="34">
        <f t="shared" ref="C85:E85" si="96">C80</f>
        <v>714.68461383528415</v>
      </c>
      <c r="D85" s="34">
        <f t="shared" si="96"/>
        <v>0.81362930365364217</v>
      </c>
      <c r="E85" s="34">
        <f t="shared" si="96"/>
        <v>450.00516746721229</v>
      </c>
      <c r="I85" s="7" t="s">
        <v>17</v>
      </c>
      <c r="J85" s="34">
        <f>J80</f>
        <v>29.589354518922349</v>
      </c>
      <c r="K85" s="34">
        <f t="shared" ref="K85:N85" si="97">K80</f>
        <v>719.02855855196117</v>
      </c>
      <c r="L85" s="34">
        <f t="shared" si="97"/>
        <v>0.58813189971059432</v>
      </c>
      <c r="M85" s="34">
        <f t="shared" si="97"/>
        <v>450.00254472359637</v>
      </c>
      <c r="N85" s="34">
        <f t="shared" si="97"/>
        <v>0.69976304991907212</v>
      </c>
      <c r="R85" s="7" t="s">
        <v>17</v>
      </c>
      <c r="S85" s="34">
        <f>S80</f>
        <v>24.203347507257813</v>
      </c>
      <c r="T85" s="34">
        <f t="shared" ref="T85:U85" si="98">T80</f>
        <v>1.5644044316696952</v>
      </c>
      <c r="U85" s="34">
        <f t="shared" si="98"/>
        <v>450.00892535134807</v>
      </c>
      <c r="Y85" s="7" t="s">
        <v>17</v>
      </c>
      <c r="Z85" s="34">
        <f>Z80</f>
        <v>1.0140885500268058</v>
      </c>
      <c r="AA85" s="34">
        <f t="shared" ref="AA85:AB85" si="99">AA80</f>
        <v>450.01187309587129</v>
      </c>
      <c r="AB85" s="34">
        <f t="shared" si="99"/>
        <v>20108.80580113297</v>
      </c>
    </row>
    <row r="86" spans="1:33" ht="15" thickBot="1" x14ac:dyDescent="0.35">
      <c r="A86" s="12" t="s">
        <v>19</v>
      </c>
      <c r="B86" s="24">
        <f>$H$4</f>
        <v>1.212</v>
      </c>
      <c r="C86" s="24">
        <f>$I$4</f>
        <v>14.463869463869464</v>
      </c>
      <c r="D86" s="24">
        <f>$J$4</f>
        <v>0.09</v>
      </c>
      <c r="E86" s="24">
        <f>$K$4</f>
        <v>0.2</v>
      </c>
      <c r="I86" s="12" t="s">
        <v>19</v>
      </c>
      <c r="J86" s="24">
        <f>$H$4</f>
        <v>1.212</v>
      </c>
      <c r="K86" s="24">
        <f>$I$4</f>
        <v>14.463869463869464</v>
      </c>
      <c r="L86" s="24">
        <f>$J$4</f>
        <v>0.09</v>
      </c>
      <c r="M86" s="24">
        <f>$K$4</f>
        <v>0.2</v>
      </c>
      <c r="N86" s="24">
        <f>$L$4</f>
        <v>7.0000000000000007E-2</v>
      </c>
      <c r="R86" s="12" t="s">
        <v>19</v>
      </c>
      <c r="S86" s="24">
        <f>$H$4</f>
        <v>1.212</v>
      </c>
      <c r="T86" s="24">
        <f>$J$4</f>
        <v>0.09</v>
      </c>
      <c r="U86" s="24">
        <f>$K$4</f>
        <v>0.2</v>
      </c>
      <c r="Y86" s="12" t="s">
        <v>19</v>
      </c>
      <c r="Z86" s="24">
        <f>$J$4</f>
        <v>0.09</v>
      </c>
      <c r="AA86" s="24">
        <f>$K$4</f>
        <v>0.2</v>
      </c>
      <c r="AB86" s="24">
        <f>$M$4</f>
        <v>630</v>
      </c>
    </row>
    <row r="87" spans="1:33" x14ac:dyDescent="0.3">
      <c r="A87" s="25" t="s">
        <v>18</v>
      </c>
      <c r="B87" s="18">
        <f>B86/B85</f>
        <v>4.2056575149340303E-2</v>
      </c>
      <c r="C87" s="18">
        <f t="shared" ref="C87:E87" si="100">C86/C85</f>
        <v>2.0238115084429398E-2</v>
      </c>
      <c r="D87" s="18">
        <f t="shared" si="100"/>
        <v>0.11061548495838411</v>
      </c>
      <c r="E87" s="18">
        <f t="shared" si="100"/>
        <v>4.4443934083172979E-4</v>
      </c>
      <c r="I87" s="25" t="s">
        <v>18</v>
      </c>
      <c r="J87" s="18">
        <f>J86/J85</f>
        <v>4.09606772335952E-2</v>
      </c>
      <c r="K87" s="18">
        <f t="shared" ref="K87:N87" si="101">K86/K85</f>
        <v>2.0115848378815433E-2</v>
      </c>
      <c r="L87" s="18">
        <f t="shared" si="101"/>
        <v>0.15302689761308111</v>
      </c>
      <c r="M87" s="18">
        <f t="shared" si="101"/>
        <v>4.4444193115140133E-4</v>
      </c>
      <c r="N87" s="18">
        <f t="shared" si="101"/>
        <v>0.10003386147367389</v>
      </c>
      <c r="R87" s="25" t="s">
        <v>18</v>
      </c>
      <c r="S87" s="18">
        <f>S86/S85</f>
        <v>5.0075717816990384E-2</v>
      </c>
      <c r="T87" s="18">
        <f t="shared" ref="T87:U87" si="102">T86/T85</f>
        <v>5.7529880495124031E-2</v>
      </c>
      <c r="U87" s="18">
        <f t="shared" si="102"/>
        <v>4.4443562945745667E-4</v>
      </c>
      <c r="Y87" s="25" t="s">
        <v>18</v>
      </c>
      <c r="Z87" s="18">
        <f>Z86/Z85</f>
        <v>8.8749646170071639E-2</v>
      </c>
      <c r="AA87" s="18">
        <f t="shared" ref="AA87:AB87" si="103">AA86/AA85</f>
        <v>4.4443271823939561E-4</v>
      </c>
      <c r="AB87" s="18">
        <f t="shared" si="103"/>
        <v>3.1329558116499616E-2</v>
      </c>
    </row>
    <row r="88" spans="1:33" x14ac:dyDescent="0.3">
      <c r="A88" s="1" t="s">
        <v>39</v>
      </c>
      <c r="B88" s="66" t="s">
        <v>40</v>
      </c>
      <c r="C88" s="67"/>
      <c r="D88" s="67"/>
      <c r="E88" s="68"/>
      <c r="I88" s="1" t="s">
        <v>39</v>
      </c>
      <c r="J88" s="69" t="s">
        <v>41</v>
      </c>
      <c r="K88" s="69"/>
      <c r="L88" s="69"/>
      <c r="M88" s="69"/>
      <c r="N88" s="69"/>
      <c r="R88" s="1" t="s">
        <v>39</v>
      </c>
      <c r="S88" s="66" t="s">
        <v>42</v>
      </c>
      <c r="T88" s="67"/>
      <c r="U88" s="68"/>
      <c r="Y88" s="1" t="s">
        <v>39</v>
      </c>
      <c r="Z88" s="70" t="s">
        <v>43</v>
      </c>
      <c r="AA88" s="71"/>
      <c r="AB88" s="72"/>
    </row>
    <row r="89" spans="1:33" x14ac:dyDescent="0.3">
      <c r="A89" s="25" t="s">
        <v>44</v>
      </c>
      <c r="B89" s="1">
        <f>C85</f>
        <v>714.68461383528415</v>
      </c>
      <c r="C89" s="1">
        <f>B85</f>
        <v>28.818323786382102</v>
      </c>
      <c r="D89" s="1">
        <f>-0.125*E85^2</f>
        <v>-25313.081343399223</v>
      </c>
      <c r="E89" s="1">
        <f>-0.125*D85*2*E85</f>
        <v>-91.534347761722145</v>
      </c>
      <c r="I89" s="25" t="s">
        <v>44</v>
      </c>
      <c r="J89" s="18">
        <f>K85*N85</f>
        <v>503.14961711123448</v>
      </c>
      <c r="K89" s="18">
        <f>J85*N85</f>
        <v>20.705536963297781</v>
      </c>
      <c r="L89" s="18">
        <f>-0.125*M85^2</f>
        <v>-25312.786282214045</v>
      </c>
      <c r="M89" s="18">
        <f>-0.125*L85*2*M85</f>
        <v>-66.165212875722602</v>
      </c>
      <c r="N89" s="26">
        <f>J85*K85</f>
        <v>21275.590928223693</v>
      </c>
      <c r="R89" s="25" t="s">
        <v>44</v>
      </c>
      <c r="S89" s="18">
        <f>$O$6/SQRT(3)</f>
        <v>14.549226783578572</v>
      </c>
      <c r="T89" s="18">
        <f>-0.5*U85</f>
        <v>-225.00446267567403</v>
      </c>
      <c r="U89" s="18">
        <f>-0.5*T85</f>
        <v>-0.78220221583484761</v>
      </c>
      <c r="Y89" s="25" t="s">
        <v>44</v>
      </c>
      <c r="Z89" s="18">
        <f>-(AA85^4)/(185*AB85*$O$7)</f>
        <v>-1.4200652327902661</v>
      </c>
      <c r="AA89" s="18">
        <f>(1/300)-(1/(185*AB85*$O$7))*Z85*4*AA85^3</f>
        <v>-9.4669679827785059E-3</v>
      </c>
      <c r="AB89" s="18">
        <f>(Z85*AA85^4)/(185*AB85^2*$O$7)</f>
        <v>7.1613993745099603E-5</v>
      </c>
    </row>
    <row r="90" spans="1:33" x14ac:dyDescent="0.3">
      <c r="A90" s="1" t="s">
        <v>45</v>
      </c>
      <c r="B90" s="63">
        <f>SQRT((B89*B86)^2+(C89*C86)^2+(D89*D86)^2+(E89*E86)^2)</f>
        <v>2472.7450806976904</v>
      </c>
      <c r="C90" s="64"/>
      <c r="D90" s="64"/>
      <c r="E90" s="65"/>
      <c r="I90" s="1" t="s">
        <v>45</v>
      </c>
      <c r="J90" s="73">
        <f>SQRT((J89*J86)^2+(K89*K86)^2+(L89*L86)^2+(M89*M86)^2+(N89*N86)^2)</f>
        <v>2805.2988351922691</v>
      </c>
      <c r="K90" s="73"/>
      <c r="L90" s="73"/>
      <c r="M90" s="73"/>
      <c r="N90" s="73"/>
      <c r="R90" s="1" t="s">
        <v>45</v>
      </c>
      <c r="S90" s="73">
        <f>SQRT((S89*S86)^2+(T89*T86)^2+(U89*U86)^2)</f>
        <v>26.852361276923215</v>
      </c>
      <c r="T90" s="73"/>
      <c r="U90" s="73"/>
      <c r="Y90" s="1" t="s">
        <v>45</v>
      </c>
      <c r="Z90" s="73">
        <f>SQRT((Z89*Z86)^2+(AA89*AA86)^2+(AB89*AB86)^2)</f>
        <v>0.13554870962213439</v>
      </c>
      <c r="AA90" s="73"/>
      <c r="AB90" s="73"/>
    </row>
    <row r="91" spans="1:33" ht="15" thickBot="1" x14ac:dyDescent="0.35">
      <c r="A91" s="25" t="s">
        <v>46</v>
      </c>
      <c r="B91" s="1">
        <f>(B89*B86)/$B90</f>
        <v>0.35029803869793358</v>
      </c>
      <c r="C91" s="1">
        <f t="shared" ref="C91:E91" si="104">(C89*C86)/$B90</f>
        <v>0.16856750688435188</v>
      </c>
      <c r="D91" s="1">
        <f t="shared" si="104"/>
        <v>-0.92131507557711412</v>
      </c>
      <c r="E91" s="1">
        <f t="shared" si="104"/>
        <v>-7.4034601040148902E-3</v>
      </c>
      <c r="G91" s="2"/>
      <c r="I91" s="25" t="s">
        <v>46</v>
      </c>
      <c r="J91" s="18">
        <f>(J89*J86)/$J90</f>
        <v>0.21738052584227471</v>
      </c>
      <c r="K91" s="18">
        <f t="shared" ref="K91:N91" si="105">(K89*K86)/$J90</f>
        <v>0.10675589354669852</v>
      </c>
      <c r="L91" s="18">
        <f t="shared" si="105"/>
        <v>-0.81208844377648071</v>
      </c>
      <c r="M91" s="18">
        <f t="shared" si="105"/>
        <v>-4.7171596869242478E-3</v>
      </c>
      <c r="N91" s="18">
        <f t="shared" si="105"/>
        <v>0.53088510439337422</v>
      </c>
      <c r="O91" s="2"/>
      <c r="R91" s="25" t="s">
        <v>46</v>
      </c>
      <c r="S91" s="18">
        <f>(S89*S86)/$S90</f>
        <v>0.65668946875266088</v>
      </c>
      <c r="T91" s="18">
        <f t="shared" ref="T91:U91" si="106">(T89*T86)/$S90</f>
        <v>-0.75413858140713141</v>
      </c>
      <c r="U91" s="18">
        <f t="shared" si="106"/>
        <v>-5.8259473553788979E-3</v>
      </c>
      <c r="Y91" s="25" t="s">
        <v>46</v>
      </c>
      <c r="Z91" s="18">
        <f>(Z89*Z86)/$Z90</f>
        <v>-0.94287781349896316</v>
      </c>
      <c r="AA91" s="18">
        <f t="shared" ref="AA91:AB91" si="107">(AA89*AA86)/$Z90</f>
        <v>-1.3968363120784148E-2</v>
      </c>
      <c r="AB91" s="18">
        <f t="shared" si="107"/>
        <v>0.3328457805698315</v>
      </c>
    </row>
    <row r="92" spans="1:33" ht="16.2" thickBot="1" x14ac:dyDescent="0.35">
      <c r="A92" s="25" t="s">
        <v>47</v>
      </c>
      <c r="B92" s="27">
        <f>B91^2</f>
        <v>0.12270871591561897</v>
      </c>
      <c r="C92" s="27">
        <f t="shared" ref="C92:E92" si="108">C91^2</f>
        <v>2.8415004377206017E-2</v>
      </c>
      <c r="D92" s="27">
        <f t="shared" si="108"/>
        <v>0.84882146848566353</v>
      </c>
      <c r="E92" s="27">
        <f t="shared" si="108"/>
        <v>5.4811221511740172E-5</v>
      </c>
      <c r="F92" s="28" t="s">
        <v>48</v>
      </c>
      <c r="G92" s="29">
        <f>SUM(B92:E92)</f>
        <v>1.0000000000000002</v>
      </c>
      <c r="I92" s="25" t="s">
        <v>47</v>
      </c>
      <c r="J92" s="27">
        <f>J91^2</f>
        <v>4.7254293015463862E-2</v>
      </c>
      <c r="K92" s="27">
        <f t="shared" ref="K92:N92" si="109">K91^2</f>
        <v>1.1396820806954028E-2</v>
      </c>
      <c r="L92" s="27">
        <f t="shared" si="109"/>
        <v>0.65948764051530628</v>
      </c>
      <c r="M92" s="27">
        <f t="shared" si="109"/>
        <v>2.2251595511943266E-5</v>
      </c>
      <c r="N92" s="27">
        <f t="shared" si="109"/>
        <v>0.28183899406676383</v>
      </c>
      <c r="O92" s="28" t="s">
        <v>48</v>
      </c>
      <c r="P92" s="29">
        <f>SUM(J92:N92)</f>
        <v>1</v>
      </c>
      <c r="R92" s="25" t="s">
        <v>47</v>
      </c>
      <c r="S92" s="27">
        <f>S91^2</f>
        <v>0.43124105837065196</v>
      </c>
      <c r="T92" s="27">
        <f t="shared" ref="T92:U92" si="110">T91^2</f>
        <v>0.56872499996676062</v>
      </c>
      <c r="U92" s="27">
        <f t="shared" si="110"/>
        <v>3.3941662587646376E-5</v>
      </c>
      <c r="V92" s="28" t="s">
        <v>48</v>
      </c>
      <c r="W92" s="29">
        <f>SUM(S92:U92)</f>
        <v>1.0000000000000002</v>
      </c>
      <c r="Y92" s="25" t="s">
        <v>47</v>
      </c>
      <c r="Z92" s="27">
        <f>Z91^2</f>
        <v>0.88901857118858552</v>
      </c>
      <c r="AA92" s="27">
        <f t="shared" ref="AA92" si="111">AA91^2</f>
        <v>1.9511516827408265E-4</v>
      </c>
      <c r="AB92" s="27">
        <f>AB91^2</f>
        <v>0.11078631364314041</v>
      </c>
      <c r="AC92" s="28" t="s">
        <v>48</v>
      </c>
      <c r="AD92" s="30">
        <f>SUM(Z92:AB92)</f>
        <v>1</v>
      </c>
      <c r="AE92" s="28"/>
      <c r="AF92" s="28"/>
      <c r="AG92" s="28"/>
    </row>
    <row r="93" spans="1:33" ht="15" thickBot="1" x14ac:dyDescent="0.35">
      <c r="A93" s="12" t="s">
        <v>49</v>
      </c>
      <c r="B93" s="53">
        <v>3.4899</v>
      </c>
      <c r="C93" s="54"/>
      <c r="D93" s="54"/>
      <c r="E93" s="79"/>
      <c r="F93" s="40" t="s">
        <v>65</v>
      </c>
      <c r="G93" s="10">
        <v>1.77495</v>
      </c>
      <c r="I93" s="12" t="s">
        <v>49</v>
      </c>
      <c r="J93" s="56">
        <v>2.6972999999999998</v>
      </c>
      <c r="K93" s="57"/>
      <c r="L93" s="57"/>
      <c r="M93" s="57"/>
      <c r="N93" s="58"/>
      <c r="O93" s="40" t="s">
        <v>65</v>
      </c>
      <c r="P93" s="10">
        <v>1.4615588235293999</v>
      </c>
      <c r="R93" s="12" t="s">
        <v>49</v>
      </c>
      <c r="S93" s="56">
        <v>7.66</v>
      </c>
      <c r="T93" s="57"/>
      <c r="U93" s="58"/>
      <c r="V93" s="40" t="s">
        <v>65</v>
      </c>
      <c r="W93" s="10">
        <v>2.4319999999999999</v>
      </c>
      <c r="Y93" s="12" t="s">
        <v>49</v>
      </c>
      <c r="Z93" s="56">
        <v>4.25</v>
      </c>
      <c r="AA93" s="57"/>
      <c r="AB93" s="58"/>
      <c r="AC93" s="40" t="s">
        <v>65</v>
      </c>
      <c r="AD93" s="10">
        <v>1.98</v>
      </c>
    </row>
    <row r="94" spans="1:33" x14ac:dyDescent="0.3">
      <c r="A94" s="1" t="s">
        <v>50</v>
      </c>
      <c r="B94" s="35">
        <f>B$15-B91*$B93*B86</f>
        <v>28.818323788194675</v>
      </c>
      <c r="C94" s="35">
        <f t="shared" ref="C94:E94" si="112">C$15-C91*$B93*C86</f>
        <v>714.68461393748089</v>
      </c>
      <c r="D94" s="35">
        <f>D$15-D91*$B93*D86*G93</f>
        <v>0.81362930395181698</v>
      </c>
      <c r="E94" s="35">
        <f t="shared" si="112"/>
        <v>450.00516746708342</v>
      </c>
      <c r="F94" s="2"/>
      <c r="G94" s="2"/>
      <c r="I94" s="1" t="s">
        <v>50</v>
      </c>
      <c r="J94" s="35">
        <f>J$15-J91*$J93*J86</f>
        <v>29.589355323266506</v>
      </c>
      <c r="K94" s="35">
        <f t="shared" ref="K94:N94" si="113">K$15-K91*$J93*K86</f>
        <v>719.0285633387598</v>
      </c>
      <c r="L94" s="35">
        <f>L$15-L91*$J93*L86*P93</f>
        <v>0.58813193205612069</v>
      </c>
      <c r="M94" s="35">
        <f t="shared" si="113"/>
        <v>450.00254471896471</v>
      </c>
      <c r="N94" s="35">
        <f t="shared" si="113"/>
        <v>0.69976305255438265</v>
      </c>
      <c r="O94" s="2"/>
      <c r="R94" s="1" t="s">
        <v>50</v>
      </c>
      <c r="S94" s="35">
        <f>S$15-S91*$S93*S86</f>
        <v>24.203347507257796</v>
      </c>
      <c r="T94" s="35">
        <f>T$15-T91*$S93*T86*W93</f>
        <v>1.5644044316696899</v>
      </c>
      <c r="U94" s="35">
        <f t="shared" ref="U94" si="114">U$15-U91*$S93*U86</f>
        <v>450.00892535134847</v>
      </c>
      <c r="Y94" s="1" t="s">
        <v>50</v>
      </c>
      <c r="Z94" s="35">
        <f>Z$15-Z91*$Z93*Z86*AD93</f>
        <v>1.0140885120534395</v>
      </c>
      <c r="AA94" s="35">
        <f>AA$15-AA91*$Z93*AA86</f>
        <v>450.01187310865265</v>
      </c>
      <c r="AB94" s="35">
        <f t="shared" ref="AB94" si="115">AB$15-AB91*$Z93*AB86</f>
        <v>20108.805422524278</v>
      </c>
    </row>
    <row r="95" spans="1:33" ht="15.6" x14ac:dyDescent="0.3">
      <c r="A95" s="1" t="s">
        <v>51</v>
      </c>
      <c r="B95" s="59">
        <f>B94*C94-0.125*D94*E94^2</f>
        <v>0.54785659739354742</v>
      </c>
      <c r="C95" s="60"/>
      <c r="D95" s="60"/>
      <c r="E95" s="61"/>
      <c r="F95" s="31" t="str">
        <f>IF(AND(0&lt;B95,B95&lt;1),"≈ 0","")</f>
        <v>≈ 0</v>
      </c>
      <c r="G95" s="32"/>
      <c r="I95" s="1" t="s">
        <v>51</v>
      </c>
      <c r="J95" s="62">
        <f>J94*K94*N94-0.125*L94*M94^2</f>
        <v>0.61505507507899893</v>
      </c>
      <c r="K95" s="62"/>
      <c r="L95" s="62"/>
      <c r="M95" s="62"/>
      <c r="N95" s="62"/>
      <c r="O95" s="33" t="str">
        <f>IF(AND(0&lt;J95,J95&lt;1),"≈ 0","")</f>
        <v>≈ 0</v>
      </c>
      <c r="R95" s="1" t="s">
        <v>51</v>
      </c>
      <c r="S95" s="63">
        <f>($O$6/SQRT(3))*S94-0.5*T94*U94</f>
        <v>0.1420132495726989</v>
      </c>
      <c r="T95" s="64"/>
      <c r="U95" s="65"/>
      <c r="V95" s="33" t="str">
        <f>IF(AND(0&lt;S95,S95&lt;1),"≈ 0","")</f>
        <v>≈ 0</v>
      </c>
      <c r="Y95" s="1" t="s">
        <v>51</v>
      </c>
      <c r="Z95" s="63">
        <f>(AA94/300)-(Z94*AA94^4)/(185*AB94*$O$7)</f>
        <v>5.9967710812455E-2</v>
      </c>
      <c r="AA95" s="64"/>
      <c r="AB95" s="65"/>
      <c r="AC95" s="33" t="str">
        <f>IF(AND(0&lt;Z95,Z95&lt;1),"≈ 0","")</f>
        <v>≈ 0</v>
      </c>
      <c r="AD95" s="33"/>
      <c r="AE95" s="33"/>
      <c r="AF95" s="33"/>
      <c r="AG95" s="33"/>
    </row>
    <row r="96" spans="1:33" x14ac:dyDescent="0.3">
      <c r="A96" s="1" t="s">
        <v>52</v>
      </c>
      <c r="B96" s="63">
        <f>NORMSDIST(-B93)</f>
        <v>2.4160066156060037E-4</v>
      </c>
      <c r="C96" s="64"/>
      <c r="D96" s="64"/>
      <c r="E96" s="65"/>
      <c r="I96" s="1" t="s">
        <v>52</v>
      </c>
      <c r="J96" s="73">
        <f>NORMSDIST(-J93)</f>
        <v>3.4952130999661873E-3</v>
      </c>
      <c r="K96" s="73"/>
      <c r="L96" s="73"/>
      <c r="M96" s="73"/>
      <c r="N96" s="73"/>
      <c r="R96" s="1" t="s">
        <v>52</v>
      </c>
      <c r="S96" s="73">
        <f>NORMSDIST(-S93)</f>
        <v>9.296654178339855E-15</v>
      </c>
      <c r="T96" s="73"/>
      <c r="U96" s="73"/>
      <c r="Y96" s="1" t="s">
        <v>52</v>
      </c>
      <c r="Z96" s="63">
        <f>NORMSDIST(-Z93)</f>
        <v>1.06885257749344E-5</v>
      </c>
      <c r="AA96" s="64"/>
      <c r="AB96" s="65"/>
    </row>
    <row r="97" spans="2:28" x14ac:dyDescent="0.3">
      <c r="B97" s="77" t="str">
        <f>IF(AND(ABS(B85-B94)&lt;0.1,ABS(C85-C94)&lt;0.1,ABS(D85-D94)&lt;0.1,ABS(E85-E94)&lt;0.1),"GOTOVO !!","")</f>
        <v>GOTOVO !!</v>
      </c>
      <c r="C97" s="77"/>
      <c r="D97" s="77"/>
      <c r="E97" s="77"/>
      <c r="J97" s="78" t="str">
        <f>IF(AND(ABS(J85-J94)&lt;0.1,ABS(K85-K94)&lt;0.1,ABS(L85-L94)&lt;0.1,ABS(M85-M94)&lt;0.1,ABS(N85-N94)&lt;0.1),"GOTOVO !!","")</f>
        <v>GOTOVO !!</v>
      </c>
      <c r="K97" s="78"/>
      <c r="L97" s="78"/>
      <c r="M97" s="78"/>
      <c r="N97" s="78"/>
      <c r="S97" s="78" t="str">
        <f>IF(AND(ABS(S85-S94)&lt;0.1,ABS(T85-T94)&lt;0.1,ABS(U85-U94)&lt;0.1),"GOTOVO !!","")</f>
        <v>GOTOVO !!</v>
      </c>
      <c r="T97" s="78"/>
      <c r="U97" s="78"/>
      <c r="Z97" s="78" t="str">
        <f>IF(AND(ABS(Z85-Z94)&lt;0.1,ABS(AA85-AA94)&lt;0.1,ABS(AB85-AB94)&lt;0.1),"GOTOVO !!","")</f>
        <v>GOTOVO !!</v>
      </c>
      <c r="AA97" s="78"/>
      <c r="AB97" s="78"/>
    </row>
  </sheetData>
  <mergeCells count="166">
    <mergeCell ref="B96:E96"/>
    <mergeCell ref="J96:N96"/>
    <mergeCell ref="S96:U96"/>
    <mergeCell ref="Z96:AB96"/>
    <mergeCell ref="B97:E97"/>
    <mergeCell ref="J97:N97"/>
    <mergeCell ref="S97:U97"/>
    <mergeCell ref="Z97:AB97"/>
    <mergeCell ref="B93:E93"/>
    <mergeCell ref="J93:N93"/>
    <mergeCell ref="S93:U93"/>
    <mergeCell ref="Z93:AB93"/>
    <mergeCell ref="B95:E95"/>
    <mergeCell ref="J95:N95"/>
    <mergeCell ref="S95:U95"/>
    <mergeCell ref="Z95:AB95"/>
    <mergeCell ref="B88:E88"/>
    <mergeCell ref="J88:N88"/>
    <mergeCell ref="S88:U88"/>
    <mergeCell ref="Z88:AB88"/>
    <mergeCell ref="B90:E90"/>
    <mergeCell ref="J90:N90"/>
    <mergeCell ref="S90:U90"/>
    <mergeCell ref="Z90:AB90"/>
    <mergeCell ref="B83:E83"/>
    <mergeCell ref="J83:N83"/>
    <mergeCell ref="S83:U83"/>
    <mergeCell ref="Z83:AB83"/>
    <mergeCell ref="B84:E84"/>
    <mergeCell ref="J84:N84"/>
    <mergeCell ref="S84:U84"/>
    <mergeCell ref="Z84:AB84"/>
    <mergeCell ref="B81:E81"/>
    <mergeCell ref="J81:N81"/>
    <mergeCell ref="S81:U81"/>
    <mergeCell ref="Z81:AB81"/>
    <mergeCell ref="B82:E82"/>
    <mergeCell ref="J82:N82"/>
    <mergeCell ref="S82:U82"/>
    <mergeCell ref="Z82:AB82"/>
    <mergeCell ref="B76:E76"/>
    <mergeCell ref="J76:N76"/>
    <mergeCell ref="S76:U76"/>
    <mergeCell ref="Z76:AB76"/>
    <mergeCell ref="B79:E79"/>
    <mergeCell ref="J79:N79"/>
    <mergeCell ref="S79:U79"/>
    <mergeCell ref="Z79:AB79"/>
    <mergeCell ref="B70:E70"/>
    <mergeCell ref="J70:N70"/>
    <mergeCell ref="S70:U70"/>
    <mergeCell ref="Z70:AB70"/>
    <mergeCell ref="B74:E74"/>
    <mergeCell ref="J74:N74"/>
    <mergeCell ref="S74:U74"/>
    <mergeCell ref="Z74:AB74"/>
    <mergeCell ref="B68:E68"/>
    <mergeCell ref="J68:N68"/>
    <mergeCell ref="S68:U68"/>
    <mergeCell ref="Z68:AB68"/>
    <mergeCell ref="B69:E69"/>
    <mergeCell ref="J69:N69"/>
    <mergeCell ref="S69:U69"/>
    <mergeCell ref="Z69:AB69"/>
    <mergeCell ref="B65:E65"/>
    <mergeCell ref="J65:N65"/>
    <mergeCell ref="S65:U65"/>
    <mergeCell ref="Z65:AB65"/>
    <mergeCell ref="B67:E67"/>
    <mergeCell ref="J67:N67"/>
    <mergeCell ref="S67:U67"/>
    <mergeCell ref="Z67:AB67"/>
    <mergeCell ref="B60:E60"/>
    <mergeCell ref="J60:N60"/>
    <mergeCell ref="S60:U60"/>
    <mergeCell ref="Z60:AB60"/>
    <mergeCell ref="B62:E62"/>
    <mergeCell ref="J62:N62"/>
    <mergeCell ref="S62:U62"/>
    <mergeCell ref="Z62:AB62"/>
    <mergeCell ref="B55:E55"/>
    <mergeCell ref="J55:N55"/>
    <mergeCell ref="S55:U55"/>
    <mergeCell ref="Z55:AB55"/>
    <mergeCell ref="B56:E56"/>
    <mergeCell ref="J56:N56"/>
    <mergeCell ref="S56:U56"/>
    <mergeCell ref="Z56:AB56"/>
    <mergeCell ref="B53:E53"/>
    <mergeCell ref="J53:N53"/>
    <mergeCell ref="S53:U53"/>
    <mergeCell ref="Z53:AB53"/>
    <mergeCell ref="B54:E54"/>
    <mergeCell ref="J54:N54"/>
    <mergeCell ref="S54:U54"/>
    <mergeCell ref="Z54:AB54"/>
    <mergeCell ref="B48:E48"/>
    <mergeCell ref="J48:N48"/>
    <mergeCell ref="S48:U48"/>
    <mergeCell ref="Z48:AB48"/>
    <mergeCell ref="B51:E51"/>
    <mergeCell ref="J51:N51"/>
    <mergeCell ref="S51:U51"/>
    <mergeCell ref="Z51:AB51"/>
    <mergeCell ref="B42:E42"/>
    <mergeCell ref="J42:N42"/>
    <mergeCell ref="S42:U42"/>
    <mergeCell ref="Z42:AB42"/>
    <mergeCell ref="B46:E46"/>
    <mergeCell ref="J46:N46"/>
    <mergeCell ref="S46:U46"/>
    <mergeCell ref="Z46:AB46"/>
    <mergeCell ref="B40:E40"/>
    <mergeCell ref="J40:N40"/>
    <mergeCell ref="S40:U40"/>
    <mergeCell ref="Z40:AB40"/>
    <mergeCell ref="B41:E41"/>
    <mergeCell ref="J41:N41"/>
    <mergeCell ref="S41:U41"/>
    <mergeCell ref="Z41:AB41"/>
    <mergeCell ref="B37:E37"/>
    <mergeCell ref="J37:N37"/>
    <mergeCell ref="S37:U37"/>
    <mergeCell ref="Z37:AB37"/>
    <mergeCell ref="B39:E39"/>
    <mergeCell ref="J39:N39"/>
    <mergeCell ref="S39:U39"/>
    <mergeCell ref="Z39:AB39"/>
    <mergeCell ref="B32:E32"/>
    <mergeCell ref="J32:N32"/>
    <mergeCell ref="S32:U32"/>
    <mergeCell ref="Z32:AB32"/>
    <mergeCell ref="B34:E34"/>
    <mergeCell ref="J34:N34"/>
    <mergeCell ref="S34:U34"/>
    <mergeCell ref="Z34:AB34"/>
    <mergeCell ref="B26:E26"/>
    <mergeCell ref="J26:N26"/>
    <mergeCell ref="S26:U26"/>
    <mergeCell ref="Z26:AB26"/>
    <mergeCell ref="B28:E28"/>
    <mergeCell ref="J28:N28"/>
    <mergeCell ref="S28:U28"/>
    <mergeCell ref="Z28:AB28"/>
    <mergeCell ref="B25:E25"/>
    <mergeCell ref="J25:N25"/>
    <mergeCell ref="S25:U25"/>
    <mergeCell ref="Z25:AB25"/>
    <mergeCell ref="B18:E18"/>
    <mergeCell ref="J18:N18"/>
    <mergeCell ref="S18:U18"/>
    <mergeCell ref="Z18:AB18"/>
    <mergeCell ref="B20:E20"/>
    <mergeCell ref="J20:N20"/>
    <mergeCell ref="S20:U20"/>
    <mergeCell ref="Z20:AB20"/>
    <mergeCell ref="B1:E1"/>
    <mergeCell ref="T1:U1"/>
    <mergeCell ref="B10:E11"/>
    <mergeCell ref="J10:N11"/>
    <mergeCell ref="S10:U11"/>
    <mergeCell ref="Z10:AB11"/>
    <mergeCell ref="B23:E23"/>
    <mergeCell ref="J23:N23"/>
    <mergeCell ref="S23:U23"/>
    <mergeCell ref="Z23:AB23"/>
  </mergeCells>
  <pageMargins left="0.7" right="0.7" top="0.75" bottom="0.75" header="0.3" footer="0.3"/>
  <pageSetup paperSize="9" orientation="portrait" r:id="rId1"/>
  <ignoredErrors>
    <ignoredError sqref="D24 L9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</dc:creator>
  <cp:lastModifiedBy>Anja</cp:lastModifiedBy>
  <dcterms:created xsi:type="dcterms:W3CDTF">2019-04-25T16:59:33Z</dcterms:created>
  <dcterms:modified xsi:type="dcterms:W3CDTF">2019-05-09T16:10:16Z</dcterms:modified>
</cp:coreProperties>
</file>