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P" sheetId="1" r:id="rId4"/>
  </sheets>
  <definedNames/>
  <calcPr/>
</workbook>
</file>

<file path=xl/sharedStrings.xml><?xml version="1.0" encoding="utf-8"?>
<sst xmlns="http://schemas.openxmlformats.org/spreadsheetml/2006/main" count="219" uniqueCount="41">
  <si>
    <t>A4</t>
  </si>
  <si>
    <t>A5</t>
  </si>
  <si>
    <t>A6</t>
  </si>
  <si>
    <t>10% velocity</t>
  </si>
  <si>
    <t>PTP 10% velocity A4</t>
  </si>
  <si>
    <t>PTP 10% velocity A5</t>
  </si>
  <si>
    <t>PTP 10% velocity A6</t>
  </si>
  <si>
    <t>Joint 
Angle
Isolation</t>
  </si>
  <si>
    <t>Simulation</t>
  </si>
  <si>
    <t>Actual</t>
  </si>
  <si>
    <t>Difference (Actual - Simulation)</t>
  </si>
  <si>
    <t>Time(s)</t>
  </si>
  <si>
    <t>Position(deg)</t>
  </si>
  <si>
    <t>0° -&gt; -170°</t>
  </si>
  <si>
    <t>0° -&gt; -110°</t>
  </si>
  <si>
    <t>-170°</t>
  </si>
  <si>
    <t>-110°</t>
  </si>
  <si>
    <t>-170° -&gt; 0°</t>
  </si>
  <si>
    <t>-110° -&gt; 0°</t>
  </si>
  <si>
    <t>0°</t>
  </si>
  <si>
    <t>0° -&gt; 170°</t>
  </si>
  <si>
    <t>0° -&gt; 90°</t>
  </si>
  <si>
    <t>170°</t>
  </si>
  <si>
    <t>90°</t>
  </si>
  <si>
    <t>Radian to Degree</t>
  </si>
  <si>
    <t>50% velocity</t>
  </si>
  <si>
    <t>PTP 50% velocity A4</t>
  </si>
  <si>
    <t>PTP 50% velocity A5</t>
  </si>
  <si>
    <t>PTP 50% velocity A6</t>
  </si>
  <si>
    <t>70% velocity</t>
  </si>
  <si>
    <t>PTP 70% velocity A4</t>
  </si>
  <si>
    <t>PTP 70% velocity A5</t>
  </si>
  <si>
    <t>PTP 70% velocity A6</t>
  </si>
  <si>
    <t>100% velocity</t>
  </si>
  <si>
    <t>PTP 100% velocity A4</t>
  </si>
  <si>
    <t>PTP 100% velocity A5</t>
  </si>
  <si>
    <t>PTP 100% velocity A6</t>
  </si>
  <si>
    <t>Note:</t>
  </si>
  <si>
    <t>1. Phase 1 and phase 2 are the two phases in the plot where the slope is zero, i.e, the curve flattens.</t>
  </si>
  <si>
    <t>2. Phase 1 occurs when the axis position is -2.97 radian approximately for A4, A6 and -1.92 radian for A5.</t>
  </si>
  <si>
    <t>3. Phase 2 occurs when the axis position is 0 radian for A4, A5 and A6.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</si>
</sst>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sz val="11.0"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 shrinkToFit="0" vertical="center" wrapText="0"/>
    </xf>
    <xf borderId="4" fillId="0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5" fillId="0" fontId="2" numFmtId="0" xfId="0" applyBorder="1" applyFont="1"/>
    <xf borderId="6" fillId="0" fontId="0" numFmtId="0" xfId="0" applyAlignment="1" applyBorder="1" applyFont="1">
      <alignment horizontal="center" readingOrder="0" shrinkToFit="0" vertical="center" wrapText="0"/>
    </xf>
    <xf borderId="7" fillId="0" fontId="0" numFmtId="0" xfId="0" applyAlignment="1" applyBorder="1" applyFont="1">
      <alignment horizontal="center" readingOrder="0" shrinkToFit="0" vertical="center" wrapText="0"/>
    </xf>
    <xf borderId="8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readingOrder="0" shrinkToFit="0" vertical="bottom" wrapText="0"/>
    </xf>
    <xf borderId="10" fillId="0" fontId="0" numFmtId="0" xfId="0" applyAlignment="1" applyBorder="1" applyFont="1">
      <alignment readingOrder="0" shrinkToFit="0" vertical="bottom" wrapText="0"/>
    </xf>
    <xf borderId="11" fillId="0" fontId="0" numFmtId="11" xfId="0" applyAlignment="1" applyBorder="1" applyFont="1" applyNumberFormat="1">
      <alignment readingOrder="0" shrinkToFit="0" vertical="bottom" wrapText="0"/>
    </xf>
    <xf borderId="11" fillId="0" fontId="0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shrinkToFit="0" vertical="bottom" wrapText="0"/>
    </xf>
    <xf borderId="13" fillId="0" fontId="0" numFmtId="11" xfId="0" applyAlignment="1" applyBorder="1" applyFont="1" applyNumberForma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14" fillId="0" fontId="0" numFmtId="0" xfId="0" applyAlignment="1" applyBorder="1" applyFont="1">
      <alignment horizontal="center" readingOrder="0" shrinkToFit="0" vertical="bottom" wrapText="0"/>
    </xf>
    <xf borderId="15" fillId="0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18" fillId="0" fontId="0" numFmtId="0" xfId="0" applyAlignment="1" applyBorder="1" applyFont="1">
      <alignment horizontal="center" readingOrder="0" shrinkToFit="0" vertical="bottom" wrapText="0"/>
    </xf>
    <xf borderId="19" fillId="0" fontId="0" numFmtId="0" xfId="0" applyAlignment="1" applyBorder="1" applyFont="1">
      <alignment readingOrder="0" shrinkToFit="0" vertical="bottom" wrapText="0"/>
    </xf>
    <xf borderId="20" fillId="0" fontId="0" numFmtId="0" xfId="0" applyAlignment="1" applyBorder="1" applyFont="1">
      <alignment readingOrder="0" shrinkToFit="0" vertical="bottom" wrapText="0"/>
    </xf>
    <xf borderId="20" fillId="0" fontId="0" numFmtId="0" xfId="0" applyAlignment="1" applyBorder="1" applyFont="1">
      <alignment shrinkToFit="0" vertical="bottom" wrapText="0"/>
    </xf>
    <xf borderId="21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22" fillId="0" fontId="0" numFmtId="0" xfId="0" applyAlignment="1" applyBorder="1" applyFont="1">
      <alignment readingOrder="0" shrinkToFit="0" vertical="bottom" wrapText="0"/>
    </xf>
    <xf borderId="23" fillId="0" fontId="2" numFmtId="0" xfId="0" applyBorder="1" applyFont="1"/>
    <xf borderId="24" fillId="0" fontId="2" numFmtId="0" xfId="0" applyBorder="1" applyFont="1"/>
    <xf borderId="25" fillId="0" fontId="0" numFmtId="0" xfId="0" applyAlignment="1" applyBorder="1" applyFont="1">
      <alignment readingOrder="0" shrinkToFit="0" vertical="bottom" wrapText="0"/>
    </xf>
    <xf borderId="26" fillId="0" fontId="2" numFmtId="0" xfId="0" applyBorder="1" applyFont="1"/>
    <xf borderId="27" fillId="0" fontId="0" numFmtId="0" xfId="0" applyAlignment="1" applyBorder="1" applyFont="1">
      <alignment readingOrder="0" shrinkToFit="0" vertical="bottom" wrapText="0"/>
    </xf>
    <xf borderId="28" fillId="0" fontId="2" numFmtId="0" xfId="0" applyBorder="1" applyFont="1"/>
    <xf borderId="2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4.0"/>
    <col customWidth="1" min="3" max="3" width="12.38"/>
    <col customWidth="1" min="4" max="4" width="8.63"/>
    <col customWidth="1" min="5" max="5" width="10.88"/>
    <col customWidth="1" min="6" max="6" width="9.25"/>
    <col customWidth="1" min="7" max="7" width="10.63"/>
    <col customWidth="1" min="8" max="9" width="13.5"/>
    <col customWidth="1" min="10" max="10" width="7.63"/>
    <col customWidth="1" min="11" max="11" width="12.5"/>
    <col customWidth="1" min="12" max="12" width="8.63"/>
    <col customWidth="1" min="13" max="13" width="10.38"/>
    <col customWidth="1" min="14" max="14" width="16.25"/>
    <col customWidth="1" min="15" max="15" width="10.25"/>
    <col customWidth="1" min="16" max="17" width="13.5"/>
    <col customWidth="1" min="18" max="18" width="7.63"/>
    <col customWidth="1" min="19" max="19" width="12.38"/>
    <col customWidth="1" min="20" max="20" width="8.63"/>
    <col customWidth="1" min="21" max="21" width="11.63"/>
    <col customWidth="1" min="22" max="22" width="8.63"/>
    <col customWidth="1" min="23" max="23" width="12.25"/>
    <col customWidth="1" min="24" max="25" width="13.5"/>
    <col customWidth="1" min="26" max="27" width="8.63"/>
  </cols>
  <sheetData>
    <row r="1" ht="35.25" customHeight="1">
      <c r="A1" s="1"/>
      <c r="B1" s="1"/>
      <c r="C1" s="2" t="s">
        <v>0</v>
      </c>
      <c r="J1" s="1"/>
      <c r="K1" s="2" t="s">
        <v>1</v>
      </c>
      <c r="R1" s="1"/>
      <c r="S1" s="2" t="s">
        <v>2</v>
      </c>
      <c r="Z1" s="1"/>
      <c r="AA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3.5" customHeight="1">
      <c r="A3" s="3" t="s">
        <v>3</v>
      </c>
      <c r="B3" s="1"/>
      <c r="C3" s="4" t="s">
        <v>4</v>
      </c>
      <c r="D3" s="5"/>
      <c r="E3" s="5"/>
      <c r="F3" s="5"/>
      <c r="G3" s="5"/>
      <c r="H3" s="5"/>
      <c r="I3" s="6"/>
      <c r="J3" s="1"/>
      <c r="K3" s="4" t="s">
        <v>5</v>
      </c>
      <c r="L3" s="5"/>
      <c r="M3" s="5"/>
      <c r="N3" s="5"/>
      <c r="O3" s="5"/>
      <c r="P3" s="5"/>
      <c r="Q3" s="6"/>
      <c r="R3" s="7"/>
      <c r="S3" s="4" t="s">
        <v>6</v>
      </c>
      <c r="T3" s="5"/>
      <c r="U3" s="5"/>
      <c r="V3" s="5"/>
      <c r="W3" s="5"/>
      <c r="X3" s="5"/>
      <c r="Y3" s="6"/>
      <c r="Z3" s="1"/>
      <c r="AA3" s="1"/>
    </row>
    <row r="4" ht="13.5" customHeight="1">
      <c r="B4" s="1"/>
      <c r="C4" s="8" t="s">
        <v>7</v>
      </c>
      <c r="D4" s="9" t="s">
        <v>8</v>
      </c>
      <c r="E4" s="6"/>
      <c r="F4" s="9" t="s">
        <v>9</v>
      </c>
      <c r="G4" s="6"/>
      <c r="H4" s="9" t="s">
        <v>10</v>
      </c>
      <c r="I4" s="6"/>
      <c r="J4" s="1"/>
      <c r="K4" s="8" t="s">
        <v>7</v>
      </c>
      <c r="L4" s="9" t="s">
        <v>8</v>
      </c>
      <c r="M4" s="6"/>
      <c r="N4" s="9" t="s">
        <v>9</v>
      </c>
      <c r="O4" s="6"/>
      <c r="P4" s="9" t="s">
        <v>10</v>
      </c>
      <c r="Q4" s="6"/>
      <c r="R4" s="10"/>
      <c r="S4" s="8" t="s">
        <v>7</v>
      </c>
      <c r="T4" s="9" t="s">
        <v>8</v>
      </c>
      <c r="U4" s="6"/>
      <c r="V4" s="9" t="s">
        <v>9</v>
      </c>
      <c r="W4" s="6"/>
      <c r="X4" s="9" t="s">
        <v>10</v>
      </c>
      <c r="Y4" s="6"/>
      <c r="Z4" s="1"/>
      <c r="AA4" s="1"/>
    </row>
    <row r="5" ht="28.5" customHeight="1">
      <c r="B5" s="1"/>
      <c r="C5" s="11"/>
      <c r="D5" s="12" t="s">
        <v>11</v>
      </c>
      <c r="E5" s="13" t="s">
        <v>12</v>
      </c>
      <c r="F5" s="12" t="s">
        <v>11</v>
      </c>
      <c r="G5" s="13" t="s">
        <v>12</v>
      </c>
      <c r="H5" s="14" t="s">
        <v>11</v>
      </c>
      <c r="I5" s="13" t="s">
        <v>12</v>
      </c>
      <c r="J5" s="1"/>
      <c r="K5" s="11"/>
      <c r="L5" s="12" t="s">
        <v>11</v>
      </c>
      <c r="M5" s="13" t="s">
        <v>12</v>
      </c>
      <c r="N5" s="12" t="s">
        <v>11</v>
      </c>
      <c r="O5" s="13" t="s">
        <v>12</v>
      </c>
      <c r="P5" s="14" t="s">
        <v>11</v>
      </c>
      <c r="Q5" s="13" t="s">
        <v>12</v>
      </c>
      <c r="R5" s="10"/>
      <c r="S5" s="11"/>
      <c r="T5" s="12" t="s">
        <v>11</v>
      </c>
      <c r="U5" s="13" t="s">
        <v>12</v>
      </c>
      <c r="V5" s="12" t="s">
        <v>11</v>
      </c>
      <c r="W5" s="13" t="s">
        <v>12</v>
      </c>
      <c r="X5" s="14" t="s">
        <v>11</v>
      </c>
      <c r="Y5" s="13" t="s">
        <v>12</v>
      </c>
      <c r="Z5" s="1"/>
      <c r="AA5" s="1"/>
    </row>
    <row r="6" ht="13.5" customHeight="1">
      <c r="B6" s="1"/>
      <c r="C6" s="15" t="s">
        <v>13</v>
      </c>
      <c r="D6" s="16">
        <v>0.0</v>
      </c>
      <c r="E6" s="17">
        <f>-0.000001198 * 57.2958</f>
        <v>-0.0000686403684</v>
      </c>
      <c r="F6" s="18">
        <v>0.0</v>
      </c>
      <c r="G6" s="17">
        <f>-0.000001198 * 57.2958</f>
        <v>-0.0000686403684</v>
      </c>
      <c r="H6" s="19">
        <f t="shared" ref="H6:I6" si="1">F6-D6</f>
        <v>0</v>
      </c>
      <c r="I6" s="20">
        <f t="shared" si="1"/>
        <v>0</v>
      </c>
      <c r="J6" s="1"/>
      <c r="K6" s="15" t="s">
        <v>14</v>
      </c>
      <c r="L6" s="16">
        <v>0.0</v>
      </c>
      <c r="M6" s="17">
        <f>0.000002451 * O13</f>
        <v>0.0001404320058</v>
      </c>
      <c r="N6" s="21">
        <v>0.0</v>
      </c>
      <c r="O6" s="17">
        <f>0.000002451 * O13</f>
        <v>0.0001404320058</v>
      </c>
      <c r="P6" s="19">
        <f t="shared" ref="P6:Q6" si="2">N6-L6</f>
        <v>0</v>
      </c>
      <c r="Q6" s="20">
        <f t="shared" si="2"/>
        <v>0</v>
      </c>
      <c r="R6" s="1"/>
      <c r="S6" s="15" t="s">
        <v>13</v>
      </c>
      <c r="T6" s="16">
        <v>0.0</v>
      </c>
      <c r="U6" s="17">
        <f>0.000001879 *O13</f>
        <v>0.0001076588082</v>
      </c>
      <c r="V6" s="21">
        <v>0.0</v>
      </c>
      <c r="W6" s="17">
        <f>0.000001879 * O13</f>
        <v>0.0001076588082</v>
      </c>
      <c r="X6" s="19">
        <f t="shared" ref="X6:Y6" si="3">V6-T6</f>
        <v>0</v>
      </c>
      <c r="Y6" s="20">
        <f t="shared" si="3"/>
        <v>0</v>
      </c>
      <c r="Z6" s="1"/>
      <c r="AA6" s="1"/>
    </row>
    <row r="7" ht="13.5" customHeight="1">
      <c r="B7" s="1"/>
      <c r="C7" s="22" t="s">
        <v>15</v>
      </c>
      <c r="D7" s="23">
        <v>3.516</v>
      </c>
      <c r="E7" s="24">
        <f t="shared" ref="E7:E8" si="7">-2.966 * 57.2958</f>
        <v>-169.9393428</v>
      </c>
      <c r="F7" s="24">
        <v>3.624</v>
      </c>
      <c r="G7" s="24">
        <f t="shared" ref="G7:G8" si="8">-2.966 * 57.2958</f>
        <v>-169.9393428</v>
      </c>
      <c r="H7" s="25">
        <f t="shared" ref="H7:I7" si="4">F7-D7</f>
        <v>0.108</v>
      </c>
      <c r="I7" s="26">
        <f t="shared" si="4"/>
        <v>0</v>
      </c>
      <c r="J7" s="1"/>
      <c r="K7" s="22" t="s">
        <v>16</v>
      </c>
      <c r="L7" s="23">
        <v>2.364</v>
      </c>
      <c r="M7" s="24">
        <f> -1.919 * O13</f>
        <v>-109.9506402</v>
      </c>
      <c r="N7" s="24">
        <v>2.388</v>
      </c>
      <c r="O7" s="24">
        <f> -1.919 * O13</f>
        <v>-109.9506402</v>
      </c>
      <c r="P7" s="25">
        <f t="shared" ref="P7:Q7" si="5">N7-L7</f>
        <v>0.024</v>
      </c>
      <c r="Q7" s="26">
        <f t="shared" si="5"/>
        <v>0</v>
      </c>
      <c r="R7" s="1"/>
      <c r="S7" s="22" t="s">
        <v>15</v>
      </c>
      <c r="T7" s="23">
        <v>2.628</v>
      </c>
      <c r="U7" s="24">
        <f>-2.966 * O13</f>
        <v>-169.9393428</v>
      </c>
      <c r="V7" s="24">
        <v>2.88</v>
      </c>
      <c r="W7" s="24">
        <f>-2.966 *O13</f>
        <v>-169.9393428</v>
      </c>
      <c r="X7" s="25">
        <f t="shared" ref="X7:Y7" si="6">V7-T7</f>
        <v>0.252</v>
      </c>
      <c r="Y7" s="26">
        <f t="shared" si="6"/>
        <v>0</v>
      </c>
      <c r="Z7" s="1"/>
      <c r="AA7" s="1"/>
    </row>
    <row r="8" ht="13.5" customHeight="1">
      <c r="B8" s="1"/>
      <c r="C8" s="22" t="s">
        <v>17</v>
      </c>
      <c r="D8" s="23">
        <v>3.636</v>
      </c>
      <c r="E8" s="24">
        <f t="shared" si="7"/>
        <v>-169.9393428</v>
      </c>
      <c r="F8" s="24">
        <v>3.756</v>
      </c>
      <c r="G8" s="24">
        <f t="shared" si="8"/>
        <v>-169.9393428</v>
      </c>
      <c r="H8" s="25">
        <f t="shared" ref="H8:I8" si="9">F8-D8</f>
        <v>0.12</v>
      </c>
      <c r="I8" s="26">
        <f t="shared" si="9"/>
        <v>0</v>
      </c>
      <c r="J8" s="1"/>
      <c r="K8" s="22" t="s">
        <v>18</v>
      </c>
      <c r="L8" s="23">
        <v>2.46</v>
      </c>
      <c r="M8" s="24">
        <f>-1.919 * O13</f>
        <v>-109.9506402</v>
      </c>
      <c r="N8" s="24">
        <v>2.484</v>
      </c>
      <c r="O8" s="24">
        <f>-1.919 * O13</f>
        <v>-109.9506402</v>
      </c>
      <c r="P8" s="25">
        <f t="shared" ref="P8:Q8" si="10">N8-L8</f>
        <v>0.024</v>
      </c>
      <c r="Q8" s="26">
        <f t="shared" si="10"/>
        <v>0</v>
      </c>
      <c r="R8" s="1"/>
      <c r="S8" s="22" t="s">
        <v>17</v>
      </c>
      <c r="T8" s="23">
        <v>2.736</v>
      </c>
      <c r="U8" s="24">
        <f> -2.966 * O13</f>
        <v>-169.9393428</v>
      </c>
      <c r="V8" s="24">
        <v>3.012</v>
      </c>
      <c r="W8" s="24">
        <f>-2.966 * O13</f>
        <v>-169.9393428</v>
      </c>
      <c r="X8" s="25">
        <f t="shared" ref="X8:Y8" si="11">V8-T8</f>
        <v>0.276</v>
      </c>
      <c r="Y8" s="26">
        <f t="shared" si="11"/>
        <v>0</v>
      </c>
      <c r="Z8" s="1"/>
      <c r="AA8" s="1"/>
    </row>
    <row r="9" ht="13.5" customHeight="1">
      <c r="B9" s="1"/>
      <c r="C9" s="22" t="s">
        <v>19</v>
      </c>
      <c r="D9" s="23">
        <v>7.032</v>
      </c>
      <c r="E9" s="24">
        <v>0.0</v>
      </c>
      <c r="F9" s="24">
        <v>7.26</v>
      </c>
      <c r="G9" s="24">
        <v>0.0</v>
      </c>
      <c r="H9" s="25">
        <f t="shared" ref="H9:I9" si="12">F9-D9</f>
        <v>0.228</v>
      </c>
      <c r="I9" s="26">
        <f t="shared" si="12"/>
        <v>0</v>
      </c>
      <c r="J9" s="1"/>
      <c r="K9" s="22" t="s">
        <v>19</v>
      </c>
      <c r="L9" s="23">
        <v>4.704</v>
      </c>
      <c r="M9" s="24">
        <v>0.0</v>
      </c>
      <c r="N9" s="24">
        <v>4.764</v>
      </c>
      <c r="O9" s="24">
        <v>0.0</v>
      </c>
      <c r="P9" s="25">
        <f t="shared" ref="P9:Q9" si="13">N9-L9</f>
        <v>0.06</v>
      </c>
      <c r="Q9" s="26">
        <f t="shared" si="13"/>
        <v>0</v>
      </c>
      <c r="R9" s="1"/>
      <c r="S9" s="22" t="s">
        <v>19</v>
      </c>
      <c r="T9" s="23">
        <v>5.304</v>
      </c>
      <c r="U9" s="24">
        <v>0.0</v>
      </c>
      <c r="V9" s="24">
        <v>5.808</v>
      </c>
      <c r="W9" s="24">
        <v>0.0</v>
      </c>
      <c r="X9" s="25">
        <f t="shared" ref="X9:Y9" si="14">V9-T9</f>
        <v>0.504</v>
      </c>
      <c r="Y9" s="26">
        <f t="shared" si="14"/>
        <v>0</v>
      </c>
      <c r="Z9" s="1"/>
      <c r="AA9" s="1"/>
    </row>
    <row r="10" ht="13.5" customHeight="1">
      <c r="B10" s="1"/>
      <c r="C10" s="22" t="s">
        <v>20</v>
      </c>
      <c r="D10" s="23">
        <v>7.14</v>
      </c>
      <c r="E10" s="24">
        <v>0.0</v>
      </c>
      <c r="F10" s="24">
        <v>7.404</v>
      </c>
      <c r="G10" s="24">
        <v>0.0</v>
      </c>
      <c r="H10" s="25">
        <f t="shared" ref="H10:I10" si="15">F10-D10</f>
        <v>0.264</v>
      </c>
      <c r="I10" s="26">
        <f t="shared" si="15"/>
        <v>0</v>
      </c>
      <c r="J10" s="1"/>
      <c r="K10" s="22" t="s">
        <v>21</v>
      </c>
      <c r="L10" s="23">
        <v>4.8</v>
      </c>
      <c r="M10" s="24">
        <v>0.0</v>
      </c>
      <c r="N10" s="24">
        <v>4.86</v>
      </c>
      <c r="O10" s="24">
        <v>0.0</v>
      </c>
      <c r="P10" s="25">
        <f t="shared" ref="P10:Q10" si="16">N10-L10</f>
        <v>0.06</v>
      </c>
      <c r="Q10" s="26">
        <f t="shared" si="16"/>
        <v>0</v>
      </c>
      <c r="R10" s="1"/>
      <c r="S10" s="22" t="s">
        <v>20</v>
      </c>
      <c r="T10" s="23">
        <v>5.4</v>
      </c>
      <c r="U10" s="24">
        <v>0.0</v>
      </c>
      <c r="V10" s="24">
        <v>5.916</v>
      </c>
      <c r="W10" s="24">
        <v>0.0</v>
      </c>
      <c r="X10" s="25">
        <f t="shared" ref="X10:Y10" si="17">V10-T10</f>
        <v>0.516</v>
      </c>
      <c r="Y10" s="26">
        <f t="shared" si="17"/>
        <v>0</v>
      </c>
      <c r="Z10" s="1"/>
      <c r="AA10" s="1"/>
    </row>
    <row r="11" ht="13.5" customHeight="1">
      <c r="B11" s="1"/>
      <c r="C11" s="27" t="s">
        <v>22</v>
      </c>
      <c r="D11" s="28">
        <v>10.608</v>
      </c>
      <c r="E11" s="29">
        <f>2.967 * 57.2958</f>
        <v>169.9966386</v>
      </c>
      <c r="F11" s="29">
        <v>10.992</v>
      </c>
      <c r="G11" s="29">
        <f> 2.967 * O13</f>
        <v>169.9966386</v>
      </c>
      <c r="H11" s="30">
        <f t="shared" ref="H11:I11" si="18">F11-D11</f>
        <v>0.384</v>
      </c>
      <c r="I11" s="31">
        <f t="shared" si="18"/>
        <v>0</v>
      </c>
      <c r="J11" s="1"/>
      <c r="K11" s="27" t="s">
        <v>23</v>
      </c>
      <c r="L11" s="28">
        <v>6.708</v>
      </c>
      <c r="M11" s="29">
        <f>1.57 * O13</f>
        <v>89.954406</v>
      </c>
      <c r="N11" s="29">
        <v>6.816</v>
      </c>
      <c r="O11" s="29">
        <f>1.57 * O13</f>
        <v>89.954406</v>
      </c>
      <c r="P11" s="30">
        <f t="shared" ref="P11:Q11" si="19">N11-L11</f>
        <v>0.108</v>
      </c>
      <c r="Q11" s="31">
        <f t="shared" si="19"/>
        <v>0</v>
      </c>
      <c r="R11" s="1"/>
      <c r="S11" s="27" t="s">
        <v>22</v>
      </c>
      <c r="T11" s="28">
        <v>6.708</v>
      </c>
      <c r="U11" s="29">
        <f>2.967 * O13</f>
        <v>169.9966386</v>
      </c>
      <c r="V11" s="29">
        <v>6.816</v>
      </c>
      <c r="W11" s="29">
        <f>2.967 * O13</f>
        <v>169.9966386</v>
      </c>
      <c r="X11" s="30">
        <f t="shared" ref="X11:Y11" si="20">V11-T11</f>
        <v>0.108</v>
      </c>
      <c r="Y11" s="31">
        <f t="shared" si="20"/>
        <v>0</v>
      </c>
      <c r="Z11" s="1"/>
      <c r="AA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2" t="s">
        <v>24</v>
      </c>
      <c r="O13" s="32">
        <v>57.2958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3.5" customHeight="1">
      <c r="A17" s="3" t="s">
        <v>25</v>
      </c>
      <c r="B17" s="1"/>
      <c r="C17" s="4" t="s">
        <v>26</v>
      </c>
      <c r="D17" s="5"/>
      <c r="E17" s="5"/>
      <c r="F17" s="5"/>
      <c r="G17" s="5"/>
      <c r="H17" s="5"/>
      <c r="I17" s="6"/>
      <c r="J17" s="1"/>
      <c r="K17" s="4" t="s">
        <v>27</v>
      </c>
      <c r="L17" s="5"/>
      <c r="M17" s="5"/>
      <c r="N17" s="5"/>
      <c r="O17" s="5"/>
      <c r="P17" s="5"/>
      <c r="Q17" s="6"/>
      <c r="R17" s="1"/>
      <c r="S17" s="4" t="s">
        <v>28</v>
      </c>
      <c r="T17" s="5"/>
      <c r="U17" s="5"/>
      <c r="V17" s="5"/>
      <c r="W17" s="5"/>
      <c r="X17" s="5"/>
      <c r="Y17" s="6"/>
      <c r="Z17" s="1"/>
      <c r="AA17" s="1"/>
    </row>
    <row r="18" ht="13.5" customHeight="1">
      <c r="B18" s="1"/>
      <c r="C18" s="8" t="s">
        <v>7</v>
      </c>
      <c r="D18" s="9" t="s">
        <v>8</v>
      </c>
      <c r="E18" s="6"/>
      <c r="F18" s="9" t="s">
        <v>9</v>
      </c>
      <c r="G18" s="6"/>
      <c r="H18" s="9" t="s">
        <v>10</v>
      </c>
      <c r="I18" s="6"/>
      <c r="J18" s="1"/>
      <c r="K18" s="8" t="s">
        <v>7</v>
      </c>
      <c r="L18" s="9" t="s">
        <v>8</v>
      </c>
      <c r="M18" s="6"/>
      <c r="N18" s="9" t="s">
        <v>9</v>
      </c>
      <c r="O18" s="6"/>
      <c r="P18" s="9" t="s">
        <v>10</v>
      </c>
      <c r="Q18" s="6"/>
      <c r="R18" s="1"/>
      <c r="S18" s="8" t="s">
        <v>7</v>
      </c>
      <c r="T18" s="9" t="s">
        <v>8</v>
      </c>
      <c r="U18" s="6"/>
      <c r="V18" s="9" t="s">
        <v>9</v>
      </c>
      <c r="W18" s="6"/>
      <c r="X18" s="9" t="s">
        <v>10</v>
      </c>
      <c r="Y18" s="6"/>
      <c r="Z18" s="1"/>
      <c r="AA18" s="1"/>
    </row>
    <row r="19" ht="34.5" customHeight="1">
      <c r="B19" s="1"/>
      <c r="C19" s="11"/>
      <c r="D19" s="12" t="s">
        <v>11</v>
      </c>
      <c r="E19" s="13" t="s">
        <v>12</v>
      </c>
      <c r="F19" s="12" t="s">
        <v>11</v>
      </c>
      <c r="G19" s="13" t="s">
        <v>12</v>
      </c>
      <c r="H19" s="14" t="s">
        <v>11</v>
      </c>
      <c r="I19" s="13" t="s">
        <v>12</v>
      </c>
      <c r="J19" s="1"/>
      <c r="K19" s="11"/>
      <c r="L19" s="12" t="s">
        <v>11</v>
      </c>
      <c r="M19" s="13" t="s">
        <v>12</v>
      </c>
      <c r="N19" s="12" t="s">
        <v>11</v>
      </c>
      <c r="O19" s="13" t="s">
        <v>12</v>
      </c>
      <c r="P19" s="14" t="s">
        <v>11</v>
      </c>
      <c r="Q19" s="13" t="s">
        <v>12</v>
      </c>
      <c r="R19" s="1"/>
      <c r="S19" s="11"/>
      <c r="T19" s="12" t="s">
        <v>11</v>
      </c>
      <c r="U19" s="13" t="s">
        <v>12</v>
      </c>
      <c r="V19" s="12" t="s">
        <v>11</v>
      </c>
      <c r="W19" s="13" t="s">
        <v>12</v>
      </c>
      <c r="X19" s="14" t="s">
        <v>11</v>
      </c>
      <c r="Y19" s="13" t="s">
        <v>12</v>
      </c>
      <c r="Z19" s="1"/>
      <c r="AA19" s="1"/>
    </row>
    <row r="20" ht="13.5" customHeight="1">
      <c r="B20" s="1"/>
      <c r="C20" s="15" t="s">
        <v>13</v>
      </c>
      <c r="D20" s="16">
        <v>0.0</v>
      </c>
      <c r="E20" s="17">
        <f>-0.00000719 * O13</f>
        <v>-0.000411956802</v>
      </c>
      <c r="F20" s="18">
        <v>0.0</v>
      </c>
      <c r="G20" s="17">
        <f>-0.00000719 * O27</f>
        <v>-0.000411956802</v>
      </c>
      <c r="H20" s="19">
        <f t="shared" ref="H20:I20" si="21">F20-D20</f>
        <v>0</v>
      </c>
      <c r="I20" s="20">
        <f t="shared" si="21"/>
        <v>0</v>
      </c>
      <c r="J20" s="1"/>
      <c r="K20" s="15" t="s">
        <v>14</v>
      </c>
      <c r="L20" s="16">
        <v>0.0</v>
      </c>
      <c r="M20" s="17">
        <f>0.00003187 * O27</f>
        <v>0.001826017146</v>
      </c>
      <c r="N20" s="18">
        <v>0.0</v>
      </c>
      <c r="O20" s="17">
        <f>0.00003187 * O27</f>
        <v>0.001826017146</v>
      </c>
      <c r="P20" s="19">
        <f t="shared" ref="P20:Q20" si="22">N20-L20</f>
        <v>0</v>
      </c>
      <c r="Q20" s="20">
        <f t="shared" si="22"/>
        <v>0</v>
      </c>
      <c r="R20" s="1"/>
      <c r="S20" s="15" t="s">
        <v>13</v>
      </c>
      <c r="T20" s="16">
        <v>0.0</v>
      </c>
      <c r="U20" s="17">
        <f>0.00000187 * O27</f>
        <v>0.000107143146</v>
      </c>
      <c r="V20" s="18">
        <v>0.0</v>
      </c>
      <c r="W20" s="17">
        <f>0.00000187 * O27</f>
        <v>0.000107143146</v>
      </c>
      <c r="X20" s="19">
        <f t="shared" ref="X20:Y20" si="23">V20-T20</f>
        <v>0</v>
      </c>
      <c r="Y20" s="20">
        <f t="shared" si="23"/>
        <v>0</v>
      </c>
      <c r="Z20" s="1"/>
      <c r="AA20" s="1"/>
    </row>
    <row r="21" ht="13.5" customHeight="1">
      <c r="B21" s="1"/>
      <c r="C21" s="22" t="s">
        <v>15</v>
      </c>
      <c r="D21" s="23">
        <v>0.792</v>
      </c>
      <c r="E21" s="24">
        <f>-2.97 * O27</f>
        <v>-170.168526</v>
      </c>
      <c r="F21" s="24">
        <v>0.804</v>
      </c>
      <c r="G21" s="24">
        <f>-2.97 * O27</f>
        <v>-170.168526</v>
      </c>
      <c r="H21" s="25">
        <f t="shared" ref="H21:I21" si="24">F21-D21</f>
        <v>0.012</v>
      </c>
      <c r="I21" s="26">
        <f t="shared" si="24"/>
        <v>0</v>
      </c>
      <c r="J21" s="1"/>
      <c r="K21" s="22" t="s">
        <v>16</v>
      </c>
      <c r="L21" s="23">
        <v>0.564</v>
      </c>
      <c r="M21" s="24">
        <f>-1.91 * O27</f>
        <v>-109.434978</v>
      </c>
      <c r="N21" s="24">
        <v>0.54</v>
      </c>
      <c r="O21" s="24">
        <f>-1.91 * O27</f>
        <v>-109.434978</v>
      </c>
      <c r="P21" s="25">
        <f t="shared" ref="P21:Q21" si="25">N21-L21</f>
        <v>-0.024</v>
      </c>
      <c r="Q21" s="26">
        <f t="shared" si="25"/>
        <v>0</v>
      </c>
      <c r="R21" s="1"/>
      <c r="S21" s="22" t="s">
        <v>15</v>
      </c>
      <c r="T21" s="23">
        <v>0.624</v>
      </c>
      <c r="U21" s="24">
        <f>-2.95 * O27</f>
        <v>-169.02261</v>
      </c>
      <c r="V21" s="24">
        <v>0.636</v>
      </c>
      <c r="W21" s="24">
        <f>-2.95 * O27</f>
        <v>-169.02261</v>
      </c>
      <c r="X21" s="25">
        <f t="shared" ref="X21:Y21" si="26">V21-T21</f>
        <v>0.012</v>
      </c>
      <c r="Y21" s="26">
        <f t="shared" si="26"/>
        <v>0</v>
      </c>
      <c r="Z21" s="1"/>
      <c r="AA21" s="1"/>
    </row>
    <row r="22" ht="13.5" customHeight="1">
      <c r="B22" s="1"/>
      <c r="C22" s="22" t="s">
        <v>17</v>
      </c>
      <c r="D22" s="23">
        <v>0.876</v>
      </c>
      <c r="E22" s="24">
        <f>-2.97 * O27</f>
        <v>-170.168526</v>
      </c>
      <c r="F22" s="24">
        <v>0.876</v>
      </c>
      <c r="G22" s="24">
        <f>-2.97 * O27</f>
        <v>-170.168526</v>
      </c>
      <c r="H22" s="25">
        <f t="shared" ref="H22:I22" si="27">F22-D22</f>
        <v>0</v>
      </c>
      <c r="I22" s="26">
        <f t="shared" si="27"/>
        <v>0</v>
      </c>
      <c r="J22" s="1"/>
      <c r="K22" s="22" t="s">
        <v>18</v>
      </c>
      <c r="L22" s="23">
        <v>0.66</v>
      </c>
      <c r="M22" s="24">
        <f>-1.914 * O27</f>
        <v>-109.6641612</v>
      </c>
      <c r="N22" s="24">
        <v>0.624</v>
      </c>
      <c r="O22" s="24">
        <f>-1.914 * O27</f>
        <v>-109.6641612</v>
      </c>
      <c r="P22" s="25">
        <f t="shared" ref="P22:Q22" si="28">N22-L22</f>
        <v>-0.036</v>
      </c>
      <c r="Q22" s="26">
        <f t="shared" si="28"/>
        <v>0</v>
      </c>
      <c r="R22" s="1"/>
      <c r="S22" s="22" t="s">
        <v>17</v>
      </c>
      <c r="T22" s="23">
        <v>0.72</v>
      </c>
      <c r="U22" s="24">
        <f>-2.96 * O27</f>
        <v>-169.595568</v>
      </c>
      <c r="V22" s="24">
        <v>0.744</v>
      </c>
      <c r="W22" s="24">
        <f>-2.96 * O27</f>
        <v>-169.595568</v>
      </c>
      <c r="X22" s="25">
        <f t="shared" ref="X22:Y22" si="29">V22-T22</f>
        <v>0.024</v>
      </c>
      <c r="Y22" s="26">
        <f t="shared" si="29"/>
        <v>0</v>
      </c>
      <c r="Z22" s="1"/>
      <c r="AA22" s="1"/>
    </row>
    <row r="23" ht="13.5" customHeight="1">
      <c r="B23" s="1"/>
      <c r="C23" s="22" t="s">
        <v>19</v>
      </c>
      <c r="D23" s="23">
        <v>1.584</v>
      </c>
      <c r="E23" s="24">
        <v>0.0</v>
      </c>
      <c r="F23" s="24">
        <v>1.608</v>
      </c>
      <c r="G23" s="24">
        <v>0.0</v>
      </c>
      <c r="H23" s="25">
        <f t="shared" ref="H23:I23" si="30">F23-D23</f>
        <v>0.024</v>
      </c>
      <c r="I23" s="26">
        <f t="shared" si="30"/>
        <v>0</v>
      </c>
      <c r="J23" s="1"/>
      <c r="K23" s="22" t="s">
        <v>19</v>
      </c>
      <c r="L23" s="23">
        <v>1.128</v>
      </c>
      <c r="M23" s="24">
        <v>0.0</v>
      </c>
      <c r="N23" s="24">
        <v>1.08</v>
      </c>
      <c r="O23" s="24">
        <v>0.0</v>
      </c>
      <c r="P23" s="25">
        <f t="shared" ref="P23:Q23" si="31">N23-L23</f>
        <v>-0.048</v>
      </c>
      <c r="Q23" s="26">
        <f t="shared" si="31"/>
        <v>0</v>
      </c>
      <c r="R23" s="1"/>
      <c r="S23" s="22" t="s">
        <v>19</v>
      </c>
      <c r="T23" s="23">
        <v>1.272</v>
      </c>
      <c r="U23" s="24">
        <v>0.0</v>
      </c>
      <c r="V23" s="24">
        <v>1.308</v>
      </c>
      <c r="W23" s="24">
        <v>0.0</v>
      </c>
      <c r="X23" s="25">
        <f t="shared" ref="X23:Y23" si="32">V23-T23</f>
        <v>0.036</v>
      </c>
      <c r="Y23" s="26">
        <f t="shared" si="32"/>
        <v>0</v>
      </c>
      <c r="Z23" s="1"/>
      <c r="AA23" s="1"/>
    </row>
    <row r="24" ht="13.5" customHeight="1">
      <c r="B24" s="1"/>
      <c r="C24" s="22" t="s">
        <v>20</v>
      </c>
      <c r="D24" s="23">
        <v>1.668</v>
      </c>
      <c r="E24" s="24">
        <v>0.0</v>
      </c>
      <c r="F24" s="24">
        <v>1.68</v>
      </c>
      <c r="G24" s="24">
        <v>0.0</v>
      </c>
      <c r="H24" s="25">
        <f t="shared" ref="H24:I24" si="33">F24-D24</f>
        <v>0.012</v>
      </c>
      <c r="I24" s="26">
        <f t="shared" si="33"/>
        <v>0</v>
      </c>
      <c r="J24" s="1"/>
      <c r="K24" s="22" t="s">
        <v>21</v>
      </c>
      <c r="L24" s="23">
        <v>1.2</v>
      </c>
      <c r="M24" s="24">
        <v>0.0</v>
      </c>
      <c r="N24" s="24">
        <v>1.152</v>
      </c>
      <c r="O24" s="24">
        <v>0.0</v>
      </c>
      <c r="P24" s="25">
        <f t="shared" ref="P24:Q24" si="34">N24-L24</f>
        <v>-0.048</v>
      </c>
      <c r="Q24" s="26">
        <f t="shared" si="34"/>
        <v>0</v>
      </c>
      <c r="R24" s="1"/>
      <c r="S24" s="22" t="s">
        <v>20</v>
      </c>
      <c r="T24" s="23">
        <v>1.356</v>
      </c>
      <c r="U24" s="24">
        <v>0.0</v>
      </c>
      <c r="V24" s="24">
        <v>1.404</v>
      </c>
      <c r="W24" s="24">
        <v>0.0</v>
      </c>
      <c r="X24" s="25">
        <f t="shared" ref="X24:Y24" si="35">V24-T24</f>
        <v>0.048</v>
      </c>
      <c r="Y24" s="26">
        <f t="shared" si="35"/>
        <v>0</v>
      </c>
      <c r="Z24" s="1"/>
      <c r="AA24" s="1"/>
    </row>
    <row r="25" ht="13.5" customHeight="1">
      <c r="B25" s="1"/>
      <c r="C25" s="27" t="s">
        <v>22</v>
      </c>
      <c r="D25" s="28">
        <v>2.424</v>
      </c>
      <c r="E25" s="29">
        <f>2.967 * O27</f>
        <v>169.9966386</v>
      </c>
      <c r="F25" s="29">
        <v>2.448</v>
      </c>
      <c r="G25" s="29">
        <f>2.967 * O27</f>
        <v>169.9966386</v>
      </c>
      <c r="H25" s="30">
        <f t="shared" ref="H25:I25" si="36">F25-D25</f>
        <v>0.024</v>
      </c>
      <c r="I25" s="31">
        <f t="shared" si="36"/>
        <v>0</v>
      </c>
      <c r="J25" s="1"/>
      <c r="K25" s="27" t="s">
        <v>23</v>
      </c>
      <c r="L25" s="28">
        <v>1.644</v>
      </c>
      <c r="M25" s="29">
        <f>1.57* O27</f>
        <v>89.954406</v>
      </c>
      <c r="N25" s="29">
        <v>1.584</v>
      </c>
      <c r="O25" s="29">
        <f>1.57 * O27</f>
        <v>89.954406</v>
      </c>
      <c r="P25" s="30">
        <f t="shared" ref="P25:Q25" si="37">N25-L25</f>
        <v>-0.06</v>
      </c>
      <c r="Q25" s="31">
        <f t="shared" si="37"/>
        <v>0</v>
      </c>
      <c r="R25" s="1"/>
      <c r="S25" s="27" t="s">
        <v>22</v>
      </c>
      <c r="T25" s="28">
        <v>1.956</v>
      </c>
      <c r="U25" s="29">
        <f>2.967 * O27</f>
        <v>169.9966386</v>
      </c>
      <c r="V25" s="29">
        <v>2.016</v>
      </c>
      <c r="W25" s="29">
        <f> 2.967 * O27</f>
        <v>169.9966386</v>
      </c>
      <c r="X25" s="30">
        <f t="shared" ref="X25:Y25" si="38">V25-T25</f>
        <v>0.06</v>
      </c>
      <c r="Y25" s="31">
        <f t="shared" si="38"/>
        <v>0</v>
      </c>
      <c r="Z25" s="1"/>
      <c r="AA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2" t="s">
        <v>24</v>
      </c>
      <c r="O27" s="32">
        <v>57.2958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customHeight="1">
      <c r="A31" s="3" t="s">
        <v>29</v>
      </c>
      <c r="B31" s="1"/>
      <c r="C31" s="4" t="s">
        <v>30</v>
      </c>
      <c r="D31" s="5"/>
      <c r="E31" s="5"/>
      <c r="F31" s="5"/>
      <c r="G31" s="5"/>
      <c r="H31" s="5"/>
      <c r="I31" s="6"/>
      <c r="J31" s="1"/>
      <c r="K31" s="4" t="s">
        <v>31</v>
      </c>
      <c r="L31" s="5"/>
      <c r="M31" s="5"/>
      <c r="N31" s="5"/>
      <c r="O31" s="5"/>
      <c r="P31" s="5"/>
      <c r="Q31" s="6"/>
      <c r="R31" s="1"/>
      <c r="S31" s="4" t="s">
        <v>32</v>
      </c>
      <c r="T31" s="5"/>
      <c r="U31" s="5"/>
      <c r="V31" s="5"/>
      <c r="W31" s="5"/>
      <c r="X31" s="5"/>
      <c r="Y31" s="6"/>
      <c r="Z31" s="1"/>
      <c r="AA31" s="1"/>
    </row>
    <row r="32" ht="13.5" customHeight="1">
      <c r="B32" s="1"/>
      <c r="C32" s="8" t="s">
        <v>7</v>
      </c>
      <c r="D32" s="9" t="s">
        <v>8</v>
      </c>
      <c r="E32" s="6"/>
      <c r="F32" s="9" t="s">
        <v>9</v>
      </c>
      <c r="G32" s="6"/>
      <c r="H32" s="9" t="s">
        <v>10</v>
      </c>
      <c r="I32" s="6"/>
      <c r="J32" s="1"/>
      <c r="K32" s="8" t="s">
        <v>7</v>
      </c>
      <c r="L32" s="9" t="s">
        <v>8</v>
      </c>
      <c r="M32" s="6"/>
      <c r="N32" s="9" t="s">
        <v>9</v>
      </c>
      <c r="O32" s="6"/>
      <c r="P32" s="9" t="s">
        <v>10</v>
      </c>
      <c r="Q32" s="6"/>
      <c r="R32" s="1"/>
      <c r="S32" s="8" t="s">
        <v>7</v>
      </c>
      <c r="T32" s="9" t="s">
        <v>8</v>
      </c>
      <c r="U32" s="6"/>
      <c r="V32" s="9" t="s">
        <v>9</v>
      </c>
      <c r="W32" s="6"/>
      <c r="X32" s="9" t="s">
        <v>10</v>
      </c>
      <c r="Y32" s="6"/>
      <c r="Z32" s="1"/>
      <c r="AA32" s="1"/>
    </row>
    <row r="33" ht="34.5" customHeight="1">
      <c r="B33" s="1"/>
      <c r="C33" s="11"/>
      <c r="D33" s="12" t="s">
        <v>11</v>
      </c>
      <c r="E33" s="13" t="s">
        <v>12</v>
      </c>
      <c r="F33" s="12" t="s">
        <v>11</v>
      </c>
      <c r="G33" s="13" t="s">
        <v>12</v>
      </c>
      <c r="H33" s="14" t="s">
        <v>11</v>
      </c>
      <c r="I33" s="13" t="s">
        <v>12</v>
      </c>
      <c r="J33" s="1"/>
      <c r="K33" s="11"/>
      <c r="L33" s="12" t="s">
        <v>11</v>
      </c>
      <c r="M33" s="13" t="s">
        <v>12</v>
      </c>
      <c r="N33" s="12" t="s">
        <v>11</v>
      </c>
      <c r="O33" s="13" t="s">
        <v>12</v>
      </c>
      <c r="P33" s="14" t="s">
        <v>11</v>
      </c>
      <c r="Q33" s="13" t="s">
        <v>12</v>
      </c>
      <c r="R33" s="1"/>
      <c r="S33" s="11"/>
      <c r="T33" s="12" t="s">
        <v>11</v>
      </c>
      <c r="U33" s="13" t="s">
        <v>12</v>
      </c>
      <c r="V33" s="12" t="s">
        <v>11</v>
      </c>
      <c r="W33" s="13" t="s">
        <v>12</v>
      </c>
      <c r="X33" s="14" t="s">
        <v>11</v>
      </c>
      <c r="Y33" s="13" t="s">
        <v>12</v>
      </c>
      <c r="Z33" s="1"/>
      <c r="AA33" s="1"/>
    </row>
    <row r="34" ht="13.5" customHeight="1">
      <c r="B34" s="1"/>
      <c r="C34" s="15" t="s">
        <v>13</v>
      </c>
      <c r="D34" s="16">
        <v>0.0</v>
      </c>
      <c r="E34" s="17">
        <f>-0.000009587 * O41</f>
        <v>-0.0005492948346</v>
      </c>
      <c r="F34" s="18">
        <v>0.0</v>
      </c>
      <c r="G34" s="17">
        <f> -0.000009587 * O41</f>
        <v>-0.0005492948346</v>
      </c>
      <c r="H34" s="19">
        <f t="shared" ref="H34:I34" si="39">F34-D34</f>
        <v>0</v>
      </c>
      <c r="I34" s="20">
        <f t="shared" si="39"/>
        <v>0</v>
      </c>
      <c r="J34" s="1"/>
      <c r="K34" s="15" t="s">
        <v>14</v>
      </c>
      <c r="L34" s="16">
        <v>0.0</v>
      </c>
      <c r="M34" s="17">
        <f>0.0000576*57.2958</f>
        <v>0.00330023808</v>
      </c>
      <c r="N34" s="18">
        <v>0.0</v>
      </c>
      <c r="O34" s="17">
        <f>0.0000576*57.2958</f>
        <v>0.00330023808</v>
      </c>
      <c r="P34" s="19">
        <f t="shared" ref="P34:Q34" si="40">N34-L34</f>
        <v>0</v>
      </c>
      <c r="Q34" s="20">
        <f t="shared" si="40"/>
        <v>0</v>
      </c>
      <c r="R34" s="1"/>
      <c r="S34" s="15" t="s">
        <v>13</v>
      </c>
      <c r="T34" s="16">
        <v>0.0</v>
      </c>
      <c r="U34" s="17">
        <f>0.000367 * O27</f>
        <v>0.0210275586</v>
      </c>
      <c r="V34" s="18">
        <v>0.0</v>
      </c>
      <c r="W34" s="17">
        <f>0.000367 * O27</f>
        <v>0.0210275586</v>
      </c>
      <c r="X34" s="19">
        <f t="shared" ref="X34:Y34" si="41">V34-T34</f>
        <v>0</v>
      </c>
      <c r="Y34" s="20">
        <f t="shared" si="41"/>
        <v>0</v>
      </c>
      <c r="Z34" s="1"/>
      <c r="AA34" s="1"/>
    </row>
    <row r="35" ht="13.5" customHeight="1">
      <c r="B35" s="1"/>
      <c r="C35" s="22" t="s">
        <v>15</v>
      </c>
      <c r="D35" s="23">
        <v>0.612</v>
      </c>
      <c r="E35" s="24">
        <f>-2.96 * O41</f>
        <v>-169.595568</v>
      </c>
      <c r="F35" s="24">
        <v>0.576</v>
      </c>
      <c r="G35" s="24">
        <f>-2.96 * O41</f>
        <v>-169.595568</v>
      </c>
      <c r="H35" s="25">
        <f t="shared" ref="H35:I35" si="42">F35-D35</f>
        <v>-0.036</v>
      </c>
      <c r="I35" s="26">
        <f t="shared" si="42"/>
        <v>0</v>
      </c>
      <c r="J35" s="1"/>
      <c r="K35" s="22" t="s">
        <v>16</v>
      </c>
      <c r="L35" s="23">
        <v>0.444</v>
      </c>
      <c r="M35" s="24">
        <f>-1.92 * 57.2958</f>
        <v>-110.007936</v>
      </c>
      <c r="N35" s="24">
        <v>0.432</v>
      </c>
      <c r="O35" s="24">
        <f>-1.92 * 57.2958</f>
        <v>-110.007936</v>
      </c>
      <c r="P35" s="25">
        <f t="shared" ref="P35:Q35" si="43">N35-L35</f>
        <v>-0.012</v>
      </c>
      <c r="Q35" s="26">
        <f t="shared" si="43"/>
        <v>0</v>
      </c>
      <c r="R35" s="1"/>
      <c r="S35" s="22" t="s">
        <v>15</v>
      </c>
      <c r="T35" s="23">
        <v>0.504</v>
      </c>
      <c r="U35" s="24">
        <f>-2.96 *O27</f>
        <v>-169.595568</v>
      </c>
      <c r="V35" s="24">
        <v>0.492</v>
      </c>
      <c r="W35" s="24">
        <f>-2.96 * O27</f>
        <v>-169.595568</v>
      </c>
      <c r="X35" s="25">
        <f t="shared" ref="X35:Y35" si="44">V35-T35</f>
        <v>-0.012</v>
      </c>
      <c r="Y35" s="26">
        <f t="shared" si="44"/>
        <v>0</v>
      </c>
      <c r="Z35" s="1"/>
      <c r="AA35" s="1"/>
    </row>
    <row r="36" ht="13.5" customHeight="1">
      <c r="B36" s="1"/>
      <c r="C36" s="22" t="s">
        <v>17</v>
      </c>
      <c r="D36" s="23">
        <v>0.708</v>
      </c>
      <c r="E36" s="24">
        <f>-2.96 * O41</f>
        <v>-169.595568</v>
      </c>
      <c r="F36" s="24">
        <v>0.648</v>
      </c>
      <c r="G36" s="24">
        <f>-2.96 * O41</f>
        <v>-169.595568</v>
      </c>
      <c r="H36" s="25">
        <f t="shared" ref="H36:I36" si="45">F36-D36</f>
        <v>-0.06</v>
      </c>
      <c r="I36" s="26">
        <f t="shared" si="45"/>
        <v>0</v>
      </c>
      <c r="J36" s="1"/>
      <c r="K36" s="22" t="s">
        <v>18</v>
      </c>
      <c r="L36" s="23">
        <v>0.54</v>
      </c>
      <c r="M36" s="24">
        <f>-1.919 * 57.2958</f>
        <v>-109.9506402</v>
      </c>
      <c r="N36" s="24">
        <v>0.504</v>
      </c>
      <c r="O36" s="24">
        <f>-1.919 * O27</f>
        <v>-109.9506402</v>
      </c>
      <c r="P36" s="25">
        <f t="shared" ref="P36:Q36" si="46">N36-L36</f>
        <v>-0.036</v>
      </c>
      <c r="Q36" s="26">
        <f t="shared" si="46"/>
        <v>0</v>
      </c>
      <c r="R36" s="1"/>
      <c r="S36" s="22" t="s">
        <v>17</v>
      </c>
      <c r="T36" s="23">
        <v>0.6</v>
      </c>
      <c r="U36" s="24">
        <f>-2.96 * O27</f>
        <v>-169.595568</v>
      </c>
      <c r="V36" s="24">
        <v>0.576</v>
      </c>
      <c r="W36" s="24">
        <f>-2.96 * O27</f>
        <v>-169.595568</v>
      </c>
      <c r="X36" s="25">
        <f t="shared" ref="X36:Y36" si="47">V36-T36</f>
        <v>-0.024</v>
      </c>
      <c r="Y36" s="26">
        <f t="shared" si="47"/>
        <v>0</v>
      </c>
      <c r="Z36" s="1"/>
      <c r="AA36" s="1"/>
    </row>
    <row r="37" ht="13.5" customHeight="1">
      <c r="B37" s="1"/>
      <c r="C37" s="22" t="s">
        <v>19</v>
      </c>
      <c r="D37" s="23">
        <v>1.224</v>
      </c>
      <c r="E37" s="24">
        <v>0.0</v>
      </c>
      <c r="F37" s="24">
        <v>1.164</v>
      </c>
      <c r="G37" s="24">
        <v>0.0</v>
      </c>
      <c r="H37" s="25">
        <f t="shared" ref="H37:I37" si="48">F37-D37</f>
        <v>-0.06</v>
      </c>
      <c r="I37" s="26">
        <f t="shared" si="48"/>
        <v>0</v>
      </c>
      <c r="J37" s="1"/>
      <c r="K37" s="22" t="s">
        <v>19</v>
      </c>
      <c r="L37" s="23">
        <v>0.9</v>
      </c>
      <c r="M37" s="24">
        <v>0.0</v>
      </c>
      <c r="N37" s="24">
        <v>0.864</v>
      </c>
      <c r="O37" s="24">
        <v>0.0</v>
      </c>
      <c r="P37" s="25">
        <f t="shared" ref="P37:Q37" si="49">N37-L37</f>
        <v>-0.036</v>
      </c>
      <c r="Q37" s="26">
        <f t="shared" si="49"/>
        <v>0</v>
      </c>
      <c r="R37" s="1"/>
      <c r="S37" s="22" t="s">
        <v>19</v>
      </c>
      <c r="T37" s="23">
        <v>1.008</v>
      </c>
      <c r="U37" s="24">
        <v>0.0</v>
      </c>
      <c r="V37" s="24">
        <v>0.984</v>
      </c>
      <c r="W37" s="24">
        <v>0.0</v>
      </c>
      <c r="X37" s="25">
        <f t="shared" ref="X37:Y37" si="50">V37-T37</f>
        <v>-0.024</v>
      </c>
      <c r="Y37" s="26">
        <f t="shared" si="50"/>
        <v>0</v>
      </c>
      <c r="Z37" s="1"/>
      <c r="AA37" s="1"/>
    </row>
    <row r="38" ht="13.5" customHeight="1">
      <c r="B38" s="1"/>
      <c r="C38" s="22" t="s">
        <v>20</v>
      </c>
      <c r="D38" s="23">
        <v>1.308</v>
      </c>
      <c r="E38" s="24">
        <v>0.0</v>
      </c>
      <c r="F38" s="24">
        <v>1.236</v>
      </c>
      <c r="G38" s="24">
        <v>0.0</v>
      </c>
      <c r="H38" s="25">
        <f t="shared" ref="H38:I38" si="51">F38-D38</f>
        <v>-0.072</v>
      </c>
      <c r="I38" s="26">
        <f t="shared" si="51"/>
        <v>0</v>
      </c>
      <c r="J38" s="1"/>
      <c r="K38" s="22" t="s">
        <v>21</v>
      </c>
      <c r="L38" s="23">
        <v>1.008</v>
      </c>
      <c r="M38" s="24">
        <v>0.0</v>
      </c>
      <c r="N38" s="24">
        <v>0.948</v>
      </c>
      <c r="O38" s="24">
        <v>0.0</v>
      </c>
      <c r="P38" s="25">
        <f t="shared" ref="P38:Q38" si="52">N38-L38</f>
        <v>-0.06</v>
      </c>
      <c r="Q38" s="26">
        <f t="shared" si="52"/>
        <v>0</v>
      </c>
      <c r="R38" s="1"/>
      <c r="S38" s="22" t="s">
        <v>20</v>
      </c>
      <c r="T38" s="23">
        <v>1.104</v>
      </c>
      <c r="U38" s="24">
        <v>0.0</v>
      </c>
      <c r="V38" s="24">
        <v>1.068</v>
      </c>
      <c r="W38" s="24">
        <v>0.0</v>
      </c>
      <c r="X38" s="25">
        <f t="shared" ref="X38:Y38" si="53">V38-T38</f>
        <v>-0.036</v>
      </c>
      <c r="Y38" s="26">
        <f t="shared" si="53"/>
        <v>0</v>
      </c>
      <c r="Z38" s="1"/>
      <c r="AA38" s="1"/>
    </row>
    <row r="39" ht="13.5" customHeight="1">
      <c r="B39" s="1"/>
      <c r="C39" s="27" t="s">
        <v>22</v>
      </c>
      <c r="D39" s="28">
        <v>1.884</v>
      </c>
      <c r="E39" s="29">
        <f> 2.967 * O41</f>
        <v>169.9966386</v>
      </c>
      <c r="F39" s="29">
        <v>1.788</v>
      </c>
      <c r="G39" s="29">
        <f>2.967 * O41</f>
        <v>169.9966386</v>
      </c>
      <c r="H39" s="30">
        <f t="shared" ref="H39:I39" si="54">F39-D39</f>
        <v>-0.096</v>
      </c>
      <c r="I39" s="31">
        <f t="shared" si="54"/>
        <v>0</v>
      </c>
      <c r="J39" s="1"/>
      <c r="K39" s="27" t="s">
        <v>23</v>
      </c>
      <c r="L39" s="28">
        <v>1.356</v>
      </c>
      <c r="M39" s="29">
        <f>1.57 * 57.2958</f>
        <v>89.954406</v>
      </c>
      <c r="N39" s="29">
        <v>1.272</v>
      </c>
      <c r="O39" s="29">
        <f>1.57 * O27</f>
        <v>89.954406</v>
      </c>
      <c r="P39" s="30">
        <f t="shared" ref="P39:Q39" si="55">N39-L39</f>
        <v>-0.084</v>
      </c>
      <c r="Q39" s="31">
        <f t="shared" si="55"/>
        <v>0</v>
      </c>
      <c r="R39" s="1"/>
      <c r="S39" s="27" t="s">
        <v>22</v>
      </c>
      <c r="T39" s="28">
        <v>1.56</v>
      </c>
      <c r="U39" s="29">
        <f>2.967* O27</f>
        <v>169.9966386</v>
      </c>
      <c r="V39" s="29">
        <v>1.512</v>
      </c>
      <c r="W39" s="29">
        <f>2.967 * O27</f>
        <v>169.9966386</v>
      </c>
      <c r="X39" s="30">
        <f t="shared" ref="X39:Y39" si="56">V39-T39</f>
        <v>-0.048</v>
      </c>
      <c r="Y39" s="31">
        <f t="shared" si="56"/>
        <v>0</v>
      </c>
      <c r="Z39" s="1"/>
      <c r="AA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2" t="s">
        <v>24</v>
      </c>
      <c r="O41" s="32">
        <v>57.2958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customHeight="1">
      <c r="A45" s="3" t="s">
        <v>33</v>
      </c>
      <c r="B45" s="1"/>
      <c r="C45" s="4" t="s">
        <v>34</v>
      </c>
      <c r="D45" s="5"/>
      <c r="E45" s="5"/>
      <c r="F45" s="5"/>
      <c r="G45" s="5"/>
      <c r="H45" s="5"/>
      <c r="I45" s="6"/>
      <c r="J45" s="1"/>
      <c r="K45" s="4" t="s">
        <v>35</v>
      </c>
      <c r="L45" s="5"/>
      <c r="M45" s="5"/>
      <c r="N45" s="5"/>
      <c r="O45" s="5"/>
      <c r="P45" s="5"/>
      <c r="Q45" s="6"/>
      <c r="R45" s="1"/>
      <c r="S45" s="4" t="s">
        <v>36</v>
      </c>
      <c r="T45" s="5"/>
      <c r="U45" s="5"/>
      <c r="V45" s="5"/>
      <c r="W45" s="5"/>
      <c r="X45" s="5"/>
      <c r="Y45" s="6"/>
      <c r="Z45" s="1"/>
      <c r="AA45" s="1"/>
    </row>
    <row r="46" ht="13.5" customHeight="1">
      <c r="B46" s="1"/>
      <c r="C46" s="8" t="s">
        <v>7</v>
      </c>
      <c r="D46" s="9" t="s">
        <v>8</v>
      </c>
      <c r="E46" s="6"/>
      <c r="F46" s="9" t="s">
        <v>9</v>
      </c>
      <c r="G46" s="6"/>
      <c r="H46" s="9" t="s">
        <v>10</v>
      </c>
      <c r="I46" s="6"/>
      <c r="J46" s="1"/>
      <c r="K46" s="8" t="s">
        <v>7</v>
      </c>
      <c r="L46" s="9" t="s">
        <v>8</v>
      </c>
      <c r="M46" s="6"/>
      <c r="N46" s="9" t="s">
        <v>9</v>
      </c>
      <c r="O46" s="6"/>
      <c r="P46" s="9" t="s">
        <v>10</v>
      </c>
      <c r="Q46" s="6"/>
      <c r="R46" s="1"/>
      <c r="S46" s="8" t="s">
        <v>7</v>
      </c>
      <c r="T46" s="9" t="s">
        <v>8</v>
      </c>
      <c r="U46" s="6"/>
      <c r="V46" s="9" t="s">
        <v>9</v>
      </c>
      <c r="W46" s="6"/>
      <c r="X46" s="9" t="s">
        <v>10</v>
      </c>
      <c r="Y46" s="6"/>
      <c r="Z46" s="1"/>
      <c r="AA46" s="1"/>
    </row>
    <row r="47" ht="33.0" customHeight="1">
      <c r="B47" s="1"/>
      <c r="C47" s="11"/>
      <c r="D47" s="12" t="s">
        <v>11</v>
      </c>
      <c r="E47" s="13" t="s">
        <v>12</v>
      </c>
      <c r="F47" s="12" t="s">
        <v>11</v>
      </c>
      <c r="G47" s="13" t="s">
        <v>12</v>
      </c>
      <c r="H47" s="14" t="s">
        <v>11</v>
      </c>
      <c r="I47" s="13" t="s">
        <v>12</v>
      </c>
      <c r="J47" s="1"/>
      <c r="K47" s="11"/>
      <c r="L47" s="12" t="s">
        <v>11</v>
      </c>
      <c r="M47" s="13" t="s">
        <v>12</v>
      </c>
      <c r="N47" s="12" t="s">
        <v>11</v>
      </c>
      <c r="O47" s="13" t="s">
        <v>12</v>
      </c>
      <c r="P47" s="14" t="s">
        <v>11</v>
      </c>
      <c r="Q47" s="13" t="s">
        <v>12</v>
      </c>
      <c r="R47" s="1"/>
      <c r="S47" s="11"/>
      <c r="T47" s="12" t="s">
        <v>11</v>
      </c>
      <c r="U47" s="13" t="s">
        <v>12</v>
      </c>
      <c r="V47" s="12" t="s">
        <v>11</v>
      </c>
      <c r="W47" s="13" t="s">
        <v>12</v>
      </c>
      <c r="X47" s="14" t="s">
        <v>11</v>
      </c>
      <c r="Y47" s="13" t="s">
        <v>12</v>
      </c>
      <c r="Z47" s="1"/>
      <c r="AA47" s="1"/>
    </row>
    <row r="48" ht="13.5" customHeight="1">
      <c r="B48" s="1"/>
      <c r="C48" s="15" t="s">
        <v>13</v>
      </c>
      <c r="D48" s="16">
        <v>0.0</v>
      </c>
      <c r="E48" s="17">
        <f>-0.00001677* O55</f>
        <v>-0.000960850566</v>
      </c>
      <c r="F48" s="18">
        <v>0.0</v>
      </c>
      <c r="G48" s="17">
        <f>-0.00001677 * O55</f>
        <v>-0.000960850566</v>
      </c>
      <c r="H48" s="19">
        <f t="shared" ref="H48:I48" si="57">F48-D48</f>
        <v>0</v>
      </c>
      <c r="I48" s="20">
        <f t="shared" si="57"/>
        <v>0</v>
      </c>
      <c r="J48" s="1"/>
      <c r="K48" s="15" t="s">
        <v>14</v>
      </c>
      <c r="L48" s="16">
        <v>0.0</v>
      </c>
      <c r="M48" s="17">
        <f>0.00834 * O55</f>
        <v>0.477846972</v>
      </c>
      <c r="N48" s="18">
        <v>0.0</v>
      </c>
      <c r="O48" s="17">
        <f> 0.00834 * O55</f>
        <v>0.477846972</v>
      </c>
      <c r="P48" s="19">
        <f t="shared" ref="P48:Q48" si="58">N48-L48</f>
        <v>0</v>
      </c>
      <c r="Q48" s="20">
        <f t="shared" si="58"/>
        <v>0</v>
      </c>
      <c r="R48" s="1"/>
      <c r="S48" s="15" t="s">
        <v>13</v>
      </c>
      <c r="T48" s="16">
        <v>0.0</v>
      </c>
      <c r="U48" s="17">
        <f> 0.00000376 * O55</f>
        <v>0.000215432208</v>
      </c>
      <c r="V48" s="18">
        <v>0.0</v>
      </c>
      <c r="W48" s="17">
        <f>0.00000376 * O55</f>
        <v>0.000215432208</v>
      </c>
      <c r="X48" s="19">
        <f t="shared" ref="X48:Y48" si="59">V48-T48</f>
        <v>0</v>
      </c>
      <c r="Y48" s="20">
        <f t="shared" si="59"/>
        <v>0</v>
      </c>
      <c r="Z48" s="1"/>
      <c r="AA48" s="1"/>
    </row>
    <row r="49" ht="13.5" customHeight="1">
      <c r="B49" s="1"/>
      <c r="C49" s="22" t="s">
        <v>15</v>
      </c>
      <c r="D49" s="23">
        <v>0.468</v>
      </c>
      <c r="E49" s="24">
        <f>-2.96 * O55</f>
        <v>-169.595568</v>
      </c>
      <c r="F49" s="24">
        <v>0.456</v>
      </c>
      <c r="G49" s="24">
        <f>-2.96 * O55</f>
        <v>-169.595568</v>
      </c>
      <c r="H49" s="25">
        <f t="shared" ref="H49:I49" si="60">F49-D49</f>
        <v>-0.012</v>
      </c>
      <c r="I49" s="26">
        <f t="shared" si="60"/>
        <v>0</v>
      </c>
      <c r="J49" s="1"/>
      <c r="K49" s="22" t="s">
        <v>16</v>
      </c>
      <c r="L49" s="23">
        <v>0.372</v>
      </c>
      <c r="M49" s="24">
        <f>-1.92 * O55</f>
        <v>-110.007936</v>
      </c>
      <c r="N49" s="24">
        <v>0.348</v>
      </c>
      <c r="O49" s="24">
        <f>-1.92 * O55</f>
        <v>-110.007936</v>
      </c>
      <c r="P49" s="25">
        <f t="shared" ref="P49:Q49" si="61">N49-L49</f>
        <v>-0.024</v>
      </c>
      <c r="Q49" s="26">
        <f t="shared" si="61"/>
        <v>0</v>
      </c>
      <c r="R49" s="1"/>
      <c r="S49" s="22" t="s">
        <v>15</v>
      </c>
      <c r="T49" s="23">
        <v>0.42</v>
      </c>
      <c r="U49" s="24">
        <f>-2.967 * O55</f>
        <v>-169.9966386</v>
      </c>
      <c r="V49" s="24">
        <v>0.372</v>
      </c>
      <c r="W49" s="24">
        <f>-2.967 * O55</f>
        <v>-169.9966386</v>
      </c>
      <c r="X49" s="25">
        <f t="shared" ref="X49:Y49" si="62">V49-T49</f>
        <v>-0.048</v>
      </c>
      <c r="Y49" s="26">
        <f t="shared" si="62"/>
        <v>0</v>
      </c>
      <c r="Z49" s="1"/>
      <c r="AA49" s="1"/>
    </row>
    <row r="50" ht="13.5" customHeight="1">
      <c r="B50" s="1"/>
      <c r="C50" s="22" t="s">
        <v>17</v>
      </c>
      <c r="D50" s="23">
        <v>0.552</v>
      </c>
      <c r="E50" s="24">
        <f>-2.97 * O55</f>
        <v>-170.168526</v>
      </c>
      <c r="F50" s="24">
        <v>0.528</v>
      </c>
      <c r="G50" s="24">
        <f>-2.97 * O55</f>
        <v>-170.168526</v>
      </c>
      <c r="H50" s="25">
        <f t="shared" ref="H50:I50" si="63">F50-D50</f>
        <v>-0.024</v>
      </c>
      <c r="I50" s="26">
        <f t="shared" si="63"/>
        <v>0</v>
      </c>
      <c r="J50" s="1"/>
      <c r="K50" s="22" t="s">
        <v>18</v>
      </c>
      <c r="L50" s="23">
        <v>0.468</v>
      </c>
      <c r="M50" s="24">
        <f>-1.919 *O55</f>
        <v>-109.9506402</v>
      </c>
      <c r="N50" s="24">
        <v>0.42</v>
      </c>
      <c r="O50" s="24">
        <f>-1.919 * O55</f>
        <v>-109.9506402</v>
      </c>
      <c r="P50" s="25">
        <f t="shared" ref="P50:Q50" si="64">N50-L50</f>
        <v>-0.048</v>
      </c>
      <c r="Q50" s="26">
        <f t="shared" si="64"/>
        <v>0</v>
      </c>
      <c r="R50" s="1"/>
      <c r="S50" s="22" t="s">
        <v>17</v>
      </c>
      <c r="T50" s="23">
        <v>0.504</v>
      </c>
      <c r="U50" s="24">
        <f>-2.96 *O55</f>
        <v>-169.595568</v>
      </c>
      <c r="V50" s="24">
        <v>0.432</v>
      </c>
      <c r="W50" s="24">
        <f>-2.96 * O55</f>
        <v>-169.595568</v>
      </c>
      <c r="X50" s="25">
        <f t="shared" ref="X50:Y50" si="65">V50-T50</f>
        <v>-0.072</v>
      </c>
      <c r="Y50" s="26">
        <f t="shared" si="65"/>
        <v>0</v>
      </c>
      <c r="Z50" s="1"/>
      <c r="AA50" s="1"/>
    </row>
    <row r="51" ht="13.5" customHeight="1">
      <c r="B51" s="1"/>
      <c r="C51" s="22" t="s">
        <v>19</v>
      </c>
      <c r="D51" s="23">
        <v>0.96</v>
      </c>
      <c r="E51" s="24">
        <v>0.0</v>
      </c>
      <c r="F51" s="24">
        <v>0.912</v>
      </c>
      <c r="G51" s="24">
        <v>0.0</v>
      </c>
      <c r="H51" s="25">
        <f t="shared" ref="H51:I51" si="66">F51-D51</f>
        <v>-0.048</v>
      </c>
      <c r="I51" s="26">
        <f t="shared" si="66"/>
        <v>0</v>
      </c>
      <c r="J51" s="1"/>
      <c r="K51" s="22" t="s">
        <v>19</v>
      </c>
      <c r="L51" s="23">
        <v>0.756</v>
      </c>
      <c r="M51" s="24">
        <v>0.0</v>
      </c>
      <c r="N51" s="24">
        <v>0.696</v>
      </c>
      <c r="O51" s="24">
        <v>0.0</v>
      </c>
      <c r="P51" s="25">
        <f t="shared" ref="P51:Q51" si="67">N51-L51</f>
        <v>-0.06</v>
      </c>
      <c r="Q51" s="26">
        <f t="shared" si="67"/>
        <v>0</v>
      </c>
      <c r="R51" s="1"/>
      <c r="S51" s="22" t="s">
        <v>19</v>
      </c>
      <c r="T51" s="23">
        <v>0.852</v>
      </c>
      <c r="U51" s="24">
        <v>0.0</v>
      </c>
      <c r="V51" s="24">
        <v>0.732</v>
      </c>
      <c r="W51" s="24">
        <v>0.0</v>
      </c>
      <c r="X51" s="25">
        <f t="shared" ref="X51:Y51" si="68">V51-T51</f>
        <v>-0.12</v>
      </c>
      <c r="Y51" s="26">
        <f t="shared" si="68"/>
        <v>0</v>
      </c>
      <c r="Z51" s="1"/>
      <c r="AA51" s="1"/>
    </row>
    <row r="52" ht="13.5" customHeight="1">
      <c r="B52" s="1"/>
      <c r="C52" s="22" t="s">
        <v>20</v>
      </c>
      <c r="D52" s="23">
        <v>1.032</v>
      </c>
      <c r="E52" s="24">
        <v>0.0</v>
      </c>
      <c r="F52" s="24">
        <v>0.984</v>
      </c>
      <c r="G52" s="24">
        <v>0.0</v>
      </c>
      <c r="H52" s="25">
        <f t="shared" ref="H52:I52" si="69">F52-D52</f>
        <v>-0.048</v>
      </c>
      <c r="I52" s="26">
        <f t="shared" si="69"/>
        <v>0</v>
      </c>
      <c r="J52" s="1"/>
      <c r="K52" s="22" t="s">
        <v>21</v>
      </c>
      <c r="L52" s="23">
        <v>0.852</v>
      </c>
      <c r="M52" s="24">
        <v>0.0</v>
      </c>
      <c r="N52" s="24">
        <v>0.768</v>
      </c>
      <c r="O52" s="24">
        <v>0.0</v>
      </c>
      <c r="P52" s="25">
        <f t="shared" ref="P52:Q52" si="70">N52-L52</f>
        <v>-0.084</v>
      </c>
      <c r="Q52" s="26">
        <f t="shared" si="70"/>
        <v>0</v>
      </c>
      <c r="R52" s="1"/>
      <c r="S52" s="22" t="s">
        <v>20</v>
      </c>
      <c r="T52" s="23">
        <v>0.936</v>
      </c>
      <c r="U52" s="24">
        <v>0.0</v>
      </c>
      <c r="V52" s="24">
        <v>0.792</v>
      </c>
      <c r="W52" s="24">
        <v>0.0</v>
      </c>
      <c r="X52" s="25">
        <f t="shared" ref="X52:Y52" si="71">V52-T52</f>
        <v>-0.144</v>
      </c>
      <c r="Y52" s="26">
        <f t="shared" si="71"/>
        <v>0</v>
      </c>
      <c r="Z52" s="1"/>
      <c r="AA52" s="1"/>
    </row>
    <row r="53" ht="13.5" customHeight="1">
      <c r="B53" s="1"/>
      <c r="C53" s="27" t="s">
        <v>22</v>
      </c>
      <c r="D53" s="28">
        <v>1.476</v>
      </c>
      <c r="E53" s="29">
        <f>2.967 * O55</f>
        <v>169.9966386</v>
      </c>
      <c r="F53" s="29">
        <v>1.404</v>
      </c>
      <c r="G53" s="29">
        <f>2.967 * O55</f>
        <v>169.9966386</v>
      </c>
      <c r="H53" s="30">
        <f t="shared" ref="H53:I53" si="72">F53-D53</f>
        <v>-0.072</v>
      </c>
      <c r="I53" s="31">
        <f t="shared" si="72"/>
        <v>0</v>
      </c>
      <c r="J53" s="1"/>
      <c r="K53" s="27" t="s">
        <v>23</v>
      </c>
      <c r="L53" s="28">
        <v>1.152</v>
      </c>
      <c r="M53" s="29">
        <f>1.57 * O55</f>
        <v>89.954406</v>
      </c>
      <c r="N53" s="29">
        <v>1.044</v>
      </c>
      <c r="O53" s="29">
        <f>1.57 * O55</f>
        <v>89.954406</v>
      </c>
      <c r="P53" s="30">
        <f t="shared" ref="P53:Q53" si="73">N53-L53</f>
        <v>-0.108</v>
      </c>
      <c r="Q53" s="31">
        <f t="shared" si="73"/>
        <v>0</v>
      </c>
      <c r="R53" s="1"/>
      <c r="S53" s="27" t="s">
        <v>22</v>
      </c>
      <c r="T53" s="28">
        <v>1.332</v>
      </c>
      <c r="U53" s="29">
        <f>2.967 * O55</f>
        <v>169.9966386</v>
      </c>
      <c r="V53" s="29">
        <v>1.116</v>
      </c>
      <c r="W53" s="29">
        <f>2.967 * O55</f>
        <v>169.9966386</v>
      </c>
      <c r="X53" s="30">
        <f t="shared" ref="X53:Y53" si="74">V53-T53</f>
        <v>-0.216</v>
      </c>
      <c r="Y53" s="31">
        <f t="shared" si="74"/>
        <v>0</v>
      </c>
      <c r="Z53" s="1"/>
      <c r="AA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2" t="s">
        <v>24</v>
      </c>
      <c r="O55" s="32">
        <v>57.2958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3.5" customHeight="1">
      <c r="A63" s="1"/>
      <c r="B63" s="1"/>
      <c r="C63" s="33" t="s">
        <v>37</v>
      </c>
      <c r="D63" s="34"/>
      <c r="E63" s="34"/>
      <c r="F63" s="34"/>
      <c r="G63" s="34"/>
      <c r="H63" s="34"/>
      <c r="I63" s="34"/>
      <c r="J63" s="34"/>
      <c r="K63" s="3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customHeight="1">
      <c r="A64" s="1"/>
      <c r="B64" s="1"/>
      <c r="C64" s="36" t="s">
        <v>38</v>
      </c>
      <c r="K64" s="3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customHeight="1">
      <c r="A65" s="1"/>
      <c r="B65" s="1"/>
      <c r="C65" s="36" t="s">
        <v>39</v>
      </c>
      <c r="K65" s="3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customHeight="1">
      <c r="A66" s="1"/>
      <c r="B66" s="1"/>
      <c r="C66" s="38" t="s">
        <v>40</v>
      </c>
      <c r="D66" s="39"/>
      <c r="E66" s="39"/>
      <c r="F66" s="39"/>
      <c r="G66" s="39"/>
      <c r="H66" s="39"/>
      <c r="I66" s="39"/>
      <c r="J66" s="39"/>
      <c r="K66" s="4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</sheetData>
  <mergeCells count="71">
    <mergeCell ref="F4:G4"/>
    <mergeCell ref="H4:I4"/>
    <mergeCell ref="C4:C5"/>
    <mergeCell ref="D4:E4"/>
    <mergeCell ref="C17:I17"/>
    <mergeCell ref="C18:C19"/>
    <mergeCell ref="D18:E18"/>
    <mergeCell ref="F18:G18"/>
    <mergeCell ref="H18:I18"/>
    <mergeCell ref="C64:K64"/>
    <mergeCell ref="C65:K65"/>
    <mergeCell ref="C66:K66"/>
    <mergeCell ref="A45:A53"/>
    <mergeCell ref="C45:I45"/>
    <mergeCell ref="C46:C47"/>
    <mergeCell ref="D46:E46"/>
    <mergeCell ref="F46:G46"/>
    <mergeCell ref="H46:I46"/>
    <mergeCell ref="C63:K63"/>
    <mergeCell ref="N4:O4"/>
    <mergeCell ref="P4:Q4"/>
    <mergeCell ref="K4:K5"/>
    <mergeCell ref="L4:M4"/>
    <mergeCell ref="K17:Q17"/>
    <mergeCell ref="K18:K19"/>
    <mergeCell ref="L18:M18"/>
    <mergeCell ref="N18:O18"/>
    <mergeCell ref="P18:Q18"/>
    <mergeCell ref="V4:W4"/>
    <mergeCell ref="X4:Y4"/>
    <mergeCell ref="C1:I1"/>
    <mergeCell ref="K1:Q1"/>
    <mergeCell ref="S1:Y1"/>
    <mergeCell ref="A3:A11"/>
    <mergeCell ref="C3:I3"/>
    <mergeCell ref="K3:Q3"/>
    <mergeCell ref="S3:Y3"/>
    <mergeCell ref="A17:A25"/>
    <mergeCell ref="A31:A39"/>
    <mergeCell ref="N32:O32"/>
    <mergeCell ref="P32:Q32"/>
    <mergeCell ref="S32:S33"/>
    <mergeCell ref="T32:U32"/>
    <mergeCell ref="V32:W32"/>
    <mergeCell ref="X32:Y32"/>
    <mergeCell ref="C31:I31"/>
    <mergeCell ref="C32:C33"/>
    <mergeCell ref="D32:E32"/>
    <mergeCell ref="F32:G32"/>
    <mergeCell ref="H32:I32"/>
    <mergeCell ref="K32:K33"/>
    <mergeCell ref="L32:M32"/>
    <mergeCell ref="K31:Q31"/>
    <mergeCell ref="K45:Q45"/>
    <mergeCell ref="K46:K47"/>
    <mergeCell ref="L46:M46"/>
    <mergeCell ref="N46:O46"/>
    <mergeCell ref="P46:Q46"/>
    <mergeCell ref="S31:Y31"/>
    <mergeCell ref="S45:Y45"/>
    <mergeCell ref="S46:S47"/>
    <mergeCell ref="T46:U46"/>
    <mergeCell ref="V46:W46"/>
    <mergeCell ref="X46:Y46"/>
    <mergeCell ref="S4:S5"/>
    <mergeCell ref="T4:U4"/>
    <mergeCell ref="S17:Y17"/>
    <mergeCell ref="S18:S19"/>
    <mergeCell ref="T18:U18"/>
    <mergeCell ref="V18:W18"/>
    <mergeCell ref="X18:Y18"/>
  </mergeCells>
  <printOptions/>
  <pageMargins bottom="0.3" footer="0.0" header="0.0" left="0.7" right="0.7" top="0.3"/>
  <pageSetup paperSize="9" orientation="portrait"/>
  <drawing r:id="rId1"/>
</worksheet>
</file>