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jacar/Desktop/USP_faza1/"/>
    </mc:Choice>
  </mc:AlternateContent>
  <xr:revisionPtr revIDLastSave="0" documentId="8_{194CE1DA-9BD4-754F-AEA8-43F13C671449}" xr6:coauthVersionLast="45" xr6:coauthVersionMax="45" xr10:uidLastSave="{00000000-0000-0000-0000-000000000000}"/>
  <bookViews>
    <workbookView xWindow="0" yWindow="0" windowWidth="25600" windowHeight="16000" activeTab="3" xr2:uid="{00000000-000D-0000-FFFF-FFFF00000000}"/>
  </bookViews>
  <sheets>
    <sheet name="Detaljno budzet" sheetId="1" r:id="rId1"/>
    <sheet name="Travel - budzet" sheetId="2" r:id="rId2"/>
    <sheet name="Equipment - budzet" sheetId="3" r:id="rId3"/>
    <sheet name="Subcontracting - budze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7" i="1" l="1"/>
  <c r="J16" i="1"/>
  <c r="J15" i="1"/>
  <c r="J14" i="1"/>
  <c r="P8" i="2"/>
  <c r="P9" i="2"/>
  <c r="P10" i="2"/>
  <c r="P11" i="2"/>
  <c r="K19" i="1" s="1"/>
  <c r="J25" i="1"/>
  <c r="J28" i="1"/>
  <c r="J27" i="1"/>
  <c r="J26" i="1"/>
  <c r="J24" i="1"/>
  <c r="J23" i="1"/>
  <c r="O23" i="1" s="1"/>
  <c r="Q23" i="1" s="1"/>
  <c r="J22" i="1"/>
  <c r="J21" i="1"/>
  <c r="J20" i="1"/>
  <c r="J19" i="1"/>
  <c r="J18" i="1"/>
  <c r="O15" i="1"/>
  <c r="Q15" i="1" s="1"/>
  <c r="I15" i="1"/>
  <c r="O25" i="1"/>
  <c r="Q25" i="1" s="1"/>
  <c r="R25" i="1" s="1"/>
  <c r="O26" i="1"/>
  <c r="I23" i="1"/>
  <c r="I24" i="1"/>
  <c r="I25" i="1"/>
  <c r="I26" i="1"/>
  <c r="I27" i="1"/>
  <c r="S23" i="1" l="1"/>
  <c r="R23" i="1"/>
  <c r="Q26" i="1"/>
  <c r="R26" i="1" s="1"/>
  <c r="R15" i="1"/>
  <c r="S15" i="1" s="1"/>
  <c r="S26" i="1"/>
  <c r="S25" i="1"/>
  <c r="I11" i="3"/>
  <c r="I12" i="3"/>
  <c r="I6" i="3" l="1"/>
  <c r="K17" i="1" s="1"/>
  <c r="I7" i="3"/>
  <c r="I5" i="3"/>
  <c r="K16" i="1" s="1"/>
  <c r="I34" i="4" l="1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P6" i="2"/>
  <c r="P7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5" i="2"/>
  <c r="I8" i="3"/>
  <c r="I9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10" i="3"/>
  <c r="K20" i="1" l="1"/>
  <c r="O20" i="1" s="1"/>
  <c r="Q20" i="1" s="1"/>
  <c r="K24" i="1"/>
  <c r="O24" i="1" s="1"/>
  <c r="Q24" i="1" s="1"/>
  <c r="K27" i="1"/>
  <c r="K14" i="1"/>
  <c r="O14" i="1" s="1"/>
  <c r="D2" i="2"/>
  <c r="D2" i="3"/>
  <c r="D2" i="4"/>
  <c r="A42" i="1"/>
  <c r="A36" i="1"/>
  <c r="P29" i="1"/>
  <c r="N29" i="1"/>
  <c r="M29" i="1"/>
  <c r="L29" i="1"/>
  <c r="J29" i="1"/>
  <c r="H29" i="1"/>
  <c r="G29" i="1"/>
  <c r="F29" i="1"/>
  <c r="E29" i="1"/>
  <c r="D29" i="1"/>
  <c r="O28" i="1"/>
  <c r="Q28" i="1" s="1"/>
  <c r="I28" i="1"/>
  <c r="O22" i="1"/>
  <c r="Q22" i="1" s="1"/>
  <c r="I22" i="1"/>
  <c r="O21" i="1"/>
  <c r="Q21" i="1" s="1"/>
  <c r="I21" i="1"/>
  <c r="I20" i="1"/>
  <c r="O19" i="1"/>
  <c r="Q19" i="1" s="1"/>
  <c r="I19" i="1"/>
  <c r="O18" i="1"/>
  <c r="Q18" i="1" s="1"/>
  <c r="I18" i="1"/>
  <c r="O17" i="1"/>
  <c r="I17" i="1"/>
  <c r="O16" i="1"/>
  <c r="Q16" i="1" s="1"/>
  <c r="I16" i="1"/>
  <c r="I14" i="1"/>
  <c r="R22" i="1" l="1"/>
  <c r="S22" i="1" s="1"/>
  <c r="R18" i="1"/>
  <c r="S18" i="1" s="1"/>
  <c r="R28" i="1"/>
  <c r="S28" i="1" s="1"/>
  <c r="R21" i="1"/>
  <c r="S21" i="1" s="1"/>
  <c r="R20" i="1"/>
  <c r="S20" i="1" s="1"/>
  <c r="R19" i="1"/>
  <c r="S19" i="1" s="1"/>
  <c r="Q17" i="1"/>
  <c r="R17" i="1" s="1"/>
  <c r="R16" i="1"/>
  <c r="S16" i="1" s="1"/>
  <c r="R24" i="1"/>
  <c r="S24" i="1" s="1"/>
  <c r="K29" i="1"/>
  <c r="O27" i="1"/>
  <c r="Q27" i="1" s="1"/>
  <c r="I29" i="1"/>
  <c r="J31" i="1" s="1"/>
  <c r="Q14" i="1"/>
  <c r="R14" i="1" s="1"/>
  <c r="S17" i="1" l="1"/>
  <c r="O29" i="1"/>
  <c r="R27" i="1"/>
  <c r="S27" i="1" s="1"/>
  <c r="Q29" i="1"/>
  <c r="S14" i="1"/>
  <c r="S29" i="1" l="1"/>
  <c r="R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Kampen, Jan-Joris van</author>
  </authors>
  <commentList>
    <comment ref="O1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Kampen, Jan-Joris van:</t>
        </r>
        <r>
          <rPr>
            <sz val="9"/>
            <color indexed="81"/>
            <rFont val="Tahoma"/>
            <family val="2"/>
          </rPr>
          <t xml:space="preserve">
Contributions of third parties to be budgeted as personell costs or other direct costs. No indirect costs on these costs when NOT used on the premises of the benificiary.</t>
        </r>
      </text>
    </comment>
  </commentList>
</comments>
</file>

<file path=xl/sharedStrings.xml><?xml version="1.0" encoding="utf-8"?>
<sst xmlns="http://schemas.openxmlformats.org/spreadsheetml/2006/main" count="263" uniqueCount="128">
  <si>
    <t>Partner budget Horizon 2020</t>
  </si>
  <si>
    <t>Project</t>
  </si>
  <si>
    <t>Percentage of overheads:</t>
  </si>
  <si>
    <t>Organisation full name</t>
  </si>
  <si>
    <t>Funding on Research:</t>
  </si>
  <si>
    <t>Organisation short name</t>
  </si>
  <si>
    <t>Funding on Innovation:</t>
  </si>
  <si>
    <t>Choose appropriate percentage</t>
  </si>
  <si>
    <t>Organisation Type</t>
  </si>
  <si>
    <t>Funding Coordination &amp; Support:</t>
  </si>
  <si>
    <t>Efforts (person-months) and Cost Details (euros) per Workpackage</t>
  </si>
  <si>
    <t>Efforts per staff type (pm)</t>
  </si>
  <si>
    <t>Cost Details (euros)</t>
  </si>
  <si>
    <t>Researcher</t>
  </si>
  <si>
    <t xml:space="preserve">Post doc </t>
  </si>
  <si>
    <t>Technician</t>
  </si>
  <si>
    <t xml:space="preserve">PhD Student </t>
  </si>
  <si>
    <t>Administration</t>
  </si>
  <si>
    <t>TOTAL</t>
  </si>
  <si>
    <t>(A) Direct Personnel costs</t>
  </si>
  <si>
    <t>(B) Other Direct Costs</t>
  </si>
  <si>
    <t>(C) Direct costs of sub-contracting</t>
  </si>
  <si>
    <t>(D) Direct costs of providing financial support to third parties</t>
  </si>
  <si>
    <t>(E) Costs of inkind contributions not used on the benificiary's premises</t>
  </si>
  <si>
    <t>(F) Indirect costs (=0.25(A+B-E)</t>
  </si>
  <si>
    <t>(G) Special Unit costs covering direct &amp; indirect costs</t>
  </si>
  <si>
    <t>(H) Total estimated eligible costs (=A+B+C+D+F+G)</t>
  </si>
  <si>
    <t>(J) Max. Grant (=H*I)</t>
  </si>
  <si>
    <t>own contribution</t>
  </si>
  <si>
    <t>Average personell costs per month</t>
  </si>
  <si>
    <t>Please justify below the use of the different type of costs in relation to the work planned in the project</t>
  </si>
  <si>
    <t>Table 3.4b</t>
  </si>
  <si>
    <t>Cost</t>
  </si>
  <si>
    <t>Justification</t>
  </si>
  <si>
    <t>Justification of Travel</t>
  </si>
  <si>
    <t>Justification of Equipment</t>
  </si>
  <si>
    <t>Justification of other goods and services</t>
  </si>
  <si>
    <t>Justification of sub-contracting</t>
  </si>
  <si>
    <t>Justification of linked third parties</t>
  </si>
  <si>
    <t>[ If yes, please describe the third party, the link of the participant to the third party, and describe and justify the foreseen tasks to be performed by the third party]</t>
  </si>
  <si>
    <t>Justification of contributions Inkind third parties</t>
  </si>
  <si>
    <t>[ If yes, please describe the third party and their contributions]</t>
  </si>
  <si>
    <t>TOTAL (EUR):</t>
  </si>
  <si>
    <t>Partner short name</t>
  </si>
  <si>
    <t>Name of Partner</t>
  </si>
  <si>
    <t>Country</t>
  </si>
  <si>
    <t>Nature, type and specification of the item</t>
  </si>
  <si>
    <t>Quantity</t>
  </si>
  <si>
    <t>Amount ExcludingVAT (EUR) per unit</t>
  </si>
  <si>
    <t>TOTAL (EUR)</t>
  </si>
  <si>
    <t>WORK PACKAGE (short name)</t>
  </si>
  <si>
    <t>Work package (short name and name)</t>
  </si>
  <si>
    <t>City of Departure (and Country Code)</t>
  </si>
  <si>
    <t>City of Destination (and Country Code)</t>
  </si>
  <si>
    <t>Number of days (per participant)</t>
  </si>
  <si>
    <t>Total Costs (EUR)</t>
  </si>
  <si>
    <t>Costs of Stay (EUR)</t>
  </si>
  <si>
    <t>popuniti sheet Travel-budzet</t>
  </si>
  <si>
    <t>popuniti sheet Equipment-budzet</t>
  </si>
  <si>
    <t>popuniti sheet Subcontracting - budzet</t>
  </si>
  <si>
    <t>Air Cleaning System</t>
  </si>
  <si>
    <t>ETF</t>
  </si>
  <si>
    <t>Faculty</t>
  </si>
  <si>
    <t>USA</t>
  </si>
  <si>
    <t>EPFL</t>
  </si>
  <si>
    <t>École polytechnique fédérale de Lausanne</t>
  </si>
  <si>
    <t>Technische Universität München</t>
  </si>
  <si>
    <t>Elektrotehnički Fakultet Univerziteta u Beogradu</t>
  </si>
  <si>
    <t>SRB</t>
  </si>
  <si>
    <t>CHE</t>
  </si>
  <si>
    <t>5G Antenna</t>
  </si>
  <si>
    <t>TUM</t>
  </si>
  <si>
    <t>DEU</t>
  </si>
  <si>
    <t>Microchip</t>
  </si>
  <si>
    <t>User Manual Dev</t>
  </si>
  <si>
    <t>Translation services</t>
  </si>
  <si>
    <t>Belgrade, SRB</t>
  </si>
  <si>
    <t>Munich, DEU</t>
  </si>
  <si>
    <t>Cloud services</t>
  </si>
  <si>
    <t>WP2 - Planning</t>
  </si>
  <si>
    <t>WP3 - Prototype Modelling</t>
  </si>
  <si>
    <t>WP1 - Request Analysis</t>
  </si>
  <si>
    <t>WP4 - Process Development and Research</t>
  </si>
  <si>
    <t>WP5 - Hardware Prototype</t>
  </si>
  <si>
    <t>WP6 - Web Portal Prototype</t>
  </si>
  <si>
    <t>WP8 - Software Development</t>
  </si>
  <si>
    <t>WP9 - Hardware Testing</t>
  </si>
  <si>
    <t>WP10 - Software Testing</t>
  </si>
  <si>
    <t>WP11 - Hardware &amp; Software Integration</t>
  </si>
  <si>
    <t>WP12 - Testing</t>
  </si>
  <si>
    <t>WP13 - User Manual Development &amp; Personnel Training</t>
  </si>
  <si>
    <t>WP14 - Examination &amp; Dissemination</t>
  </si>
  <si>
    <t>WP15 - Further Development Planning &amp; Project Closing</t>
  </si>
  <si>
    <t>WP7 - Hardware Development</t>
  </si>
  <si>
    <t>WP1</t>
  </si>
  <si>
    <t>Sauermann</t>
  </si>
  <si>
    <t>ETH</t>
  </si>
  <si>
    <t>UVA</t>
  </si>
  <si>
    <t>IP Way</t>
  </si>
  <si>
    <t>Trigg Industries</t>
  </si>
  <si>
    <t>Sauermann Group</t>
  </si>
  <si>
    <t>Swiss Federal Institute of Tehnology in Zirich</t>
  </si>
  <si>
    <t>Universiteit van Amsterdam</t>
  </si>
  <si>
    <t>BEL</t>
  </si>
  <si>
    <t>NLD</t>
  </si>
  <si>
    <t>Zirich, CHE</t>
  </si>
  <si>
    <t>Amsterdam,NLD</t>
  </si>
  <si>
    <t>Newport News,USA</t>
  </si>
  <si>
    <t>Brussels,BEL</t>
  </si>
  <si>
    <t>WP5</t>
  </si>
  <si>
    <t>WP10</t>
  </si>
  <si>
    <t>Upravljanje projektom</t>
  </si>
  <si>
    <t>Lap top</t>
  </si>
  <si>
    <t>IP way</t>
  </si>
  <si>
    <t>Lap Top</t>
  </si>
  <si>
    <t>Android telefon</t>
  </si>
  <si>
    <t>Iphone</t>
  </si>
  <si>
    <t>Trigg</t>
  </si>
  <si>
    <t>Merac zagadjenosti vazduha</t>
  </si>
  <si>
    <t>Ip Way</t>
  </si>
  <si>
    <t>Citac Tablica</t>
  </si>
  <si>
    <t xml:space="preserve"> Integracija modula</t>
  </si>
  <si>
    <t xml:space="preserve">Universiteit van Amsterdam </t>
  </si>
  <si>
    <t>Swiss Federal Institute of Technology in Zurich</t>
  </si>
  <si>
    <t>Modeliranje i dizajn</t>
  </si>
  <si>
    <t>Implementacija HW i SW</t>
  </si>
  <si>
    <t>Setting-up services</t>
  </si>
  <si>
    <t>Installation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</si>
</sst>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"/>
  </numFmts>
  <fonts count="2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Calibri"/>
      <family val="2"/>
    </font>
    <font>
      <sz val="12"/>
      <color rgb="FF222222"/>
      <name val="Calibri"/>
      <family val="2"/>
      <scheme val="minor"/>
    </font>
    <font>
      <sz val="12"/>
      <color theme="1"/>
      <name val="Calibri (Body)"/>
    </font>
    <font>
      <sz val="12"/>
      <color rgb="FF000000"/>
      <name val="Calibri (Body)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2179B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2"/>
      </right>
      <top/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6" fillId="0" borderId="0"/>
  </cellStyleXfs>
  <cellXfs count="88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horizontal="left"/>
    </xf>
    <xf numFmtId="0" fontId="4" fillId="0" borderId="2" xfId="0" applyFont="1" applyBorder="1" applyAlignment="1">
      <alignment horizontal="left"/>
    </xf>
    <xf numFmtId="9" fontId="4" fillId="0" borderId="2" xfId="0" applyNumberFormat="1" applyFont="1" applyBorder="1" applyAlignment="1">
      <alignment horizontal="center"/>
    </xf>
    <xf numFmtId="9" fontId="4" fillId="2" borderId="2" xfId="1" applyFont="1" applyFill="1" applyBorder="1" applyAlignment="1">
      <alignment horizontal="center"/>
    </xf>
    <xf numFmtId="0" fontId="0" fillId="2" borderId="0" xfId="0" applyFill="1"/>
    <xf numFmtId="9" fontId="4" fillId="0" borderId="0" xfId="0" applyNumberFormat="1" applyFont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textRotation="90"/>
    </xf>
    <xf numFmtId="0" fontId="8" fillId="3" borderId="2" xfId="0" applyFont="1" applyFill="1" applyBorder="1" applyAlignment="1">
      <alignment horizontal="center" vertical="center" textRotation="90"/>
    </xf>
    <xf numFmtId="0" fontId="6" fillId="4" borderId="2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4" fillId="0" borderId="0" xfId="0" applyFont="1"/>
    <xf numFmtId="164" fontId="9" fillId="0" borderId="2" xfId="0" applyNumberFormat="1" applyFont="1" applyBorder="1"/>
    <xf numFmtId="0" fontId="10" fillId="3" borderId="2" xfId="0" applyFont="1" applyFill="1" applyBorder="1"/>
    <xf numFmtId="3" fontId="4" fillId="0" borderId="2" xfId="0" applyNumberFormat="1" applyFont="1" applyBorder="1"/>
    <xf numFmtId="164" fontId="10" fillId="0" borderId="2" xfId="0" applyNumberFormat="1" applyFont="1" applyBorder="1"/>
    <xf numFmtId="3" fontId="8" fillId="0" borderId="2" xfId="0" applyNumberFormat="1" applyFont="1" applyBorder="1"/>
    <xf numFmtId="3" fontId="8" fillId="0" borderId="8" xfId="0" applyNumberFormat="1" applyFont="1" applyBorder="1"/>
    <xf numFmtId="3" fontId="8" fillId="0" borderId="9" xfId="0" applyNumberFormat="1" applyFont="1" applyBorder="1"/>
    <xf numFmtId="3" fontId="8" fillId="0" borderId="0" xfId="0" applyNumberFormat="1" applyFont="1"/>
    <xf numFmtId="0" fontId="8" fillId="0" borderId="0" xfId="0" applyFont="1" applyAlignment="1">
      <alignment horizontal="center"/>
    </xf>
    <xf numFmtId="164" fontId="9" fillId="0" borderId="0" xfId="0" applyNumberFormat="1" applyFont="1"/>
    <xf numFmtId="164" fontId="8" fillId="0" borderId="10" xfId="0" applyNumberFormat="1" applyFont="1" applyBorder="1"/>
    <xf numFmtId="164" fontId="8" fillId="0" borderId="11" xfId="0" applyNumberFormat="1" applyFont="1" applyBorder="1"/>
    <xf numFmtId="164" fontId="9" fillId="0" borderId="11" xfId="0" applyNumberFormat="1" applyFont="1" applyBorder="1"/>
    <xf numFmtId="164" fontId="9" fillId="0" borderId="7" xfId="0" applyNumberFormat="1" applyFont="1" applyBorder="1"/>
    <xf numFmtId="0" fontId="8" fillId="0" borderId="0" xfId="0" applyFont="1"/>
    <xf numFmtId="3" fontId="0" fillId="0" borderId="0" xfId="0" applyNumberFormat="1"/>
    <xf numFmtId="0" fontId="8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49" fontId="4" fillId="0" borderId="2" xfId="0" applyNumberFormat="1" applyFont="1" applyBorder="1" applyAlignment="1">
      <alignment horizontal="left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2" xfId="0" applyBorder="1"/>
    <xf numFmtId="0" fontId="0" fillId="0" borderId="2" xfId="0" applyBorder="1"/>
    <xf numFmtId="0" fontId="13" fillId="2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 wrapText="1"/>
    </xf>
    <xf numFmtId="0" fontId="13" fillId="6" borderId="2" xfId="0" applyFont="1" applyFill="1" applyBorder="1" applyAlignment="1">
      <alignment horizontal="center" vertical="center"/>
    </xf>
    <xf numFmtId="0" fontId="14" fillId="0" borderId="14" xfId="0" applyFont="1" applyBorder="1"/>
    <xf numFmtId="0" fontId="13" fillId="7" borderId="2" xfId="0" applyFont="1" applyFill="1" applyBorder="1" applyAlignment="1">
      <alignment horizontal="center" vertical="center" wrapText="1"/>
    </xf>
    <xf numFmtId="0" fontId="8" fillId="8" borderId="2" xfId="0" applyFont="1" applyFill="1" applyBorder="1" applyAlignment="1">
      <alignment horizontal="center" vertical="center" textRotation="90"/>
    </xf>
    <xf numFmtId="0" fontId="8" fillId="9" borderId="2" xfId="0" applyFont="1" applyFill="1" applyBorder="1" applyAlignment="1">
      <alignment horizontal="center" vertical="center" textRotation="90"/>
    </xf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43" fontId="4" fillId="5" borderId="2" xfId="2" applyFont="1" applyFill="1" applyBorder="1"/>
    <xf numFmtId="2" fontId="4" fillId="5" borderId="2" xfId="2" applyNumberFormat="1" applyFont="1" applyFill="1" applyBorder="1"/>
    <xf numFmtId="0" fontId="0" fillId="0" borderId="2" xfId="0" applyBorder="1"/>
    <xf numFmtId="0" fontId="17" fillId="0" borderId="15" xfId="0" applyFont="1" applyBorder="1" applyAlignment="1">
      <alignment horizontal="left"/>
    </xf>
    <xf numFmtId="0" fontId="6" fillId="4" borderId="2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7" xfId="0" applyBorder="1" applyAlignment="1">
      <alignment wrapText="1"/>
    </xf>
    <xf numFmtId="0" fontId="4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8" fillId="0" borderId="12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8" fillId="0" borderId="2" xfId="0" applyFont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8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  <xf numFmtId="49" fontId="0" fillId="0" borderId="2" xfId="0" applyNumberFormat="1" applyBorder="1" applyAlignment="1">
      <alignment horizontal="left" wrapText="1"/>
    </xf>
    <xf numFmtId="0" fontId="8" fillId="0" borderId="0" xfId="0" applyFont="1" applyAlignment="1">
      <alignment horizontal="left"/>
    </xf>
    <xf numFmtId="0" fontId="8" fillId="0" borderId="2" xfId="0" applyFont="1" applyBorder="1" applyAlignment="1">
      <alignment horizontal="center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0" fontId="7" fillId="4" borderId="2" xfId="0" applyFont="1" applyFill="1" applyBorder="1" applyAlignment="1">
      <alignment horizontal="center" vertical="center"/>
    </xf>
    <xf numFmtId="0" fontId="0" fillId="0" borderId="1" xfId="0" applyBorder="1"/>
    <xf numFmtId="0" fontId="4" fillId="0" borderId="2" xfId="0" applyFont="1" applyBorder="1" applyAlignment="1">
      <alignment horizontal="left"/>
    </xf>
    <xf numFmtId="0" fontId="0" fillId="0" borderId="2" xfId="0" applyBorder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" fillId="0" borderId="0" xfId="0" applyFont="1"/>
    <xf numFmtId="0" fontId="1" fillId="0" borderId="2" xfId="0" applyFont="1" applyBorder="1"/>
    <xf numFmtId="0" fontId="18" fillId="0" borderId="0" xfId="0" applyFont="1"/>
    <xf numFmtId="0" fontId="19" fillId="0" borderId="2" xfId="0" applyFont="1" applyBorder="1"/>
    <xf numFmtId="0" fontId="20" fillId="0" borderId="15" xfId="3" applyFont="1" applyBorder="1" applyAlignment="1"/>
  </cellXfs>
  <cellStyles count="4">
    <cellStyle name="Comma" xfId="2" builtinId="3"/>
    <cellStyle name="Normal" xfId="0" builtinId="0"/>
    <cellStyle name="Normal 2" xfId="3" xr:uid="{C3E2590D-F8E4-4E76-B6F5-8C6780BAC78F}"/>
    <cellStyle name="Percent" xfId="1" builtinId="5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108857</xdr:colOff>
      <xdr:row>2</xdr:row>
      <xdr:rowOff>13606</xdr:rowOff>
    </xdr:from>
    <xdr:to>
      <xdr:col>1</xdr:col>
      <xdr:colOff>149678</xdr:colOff>
      <xdr:row>6</xdr:row>
      <xdr:rowOff>163285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DA4F558B-8D56-430D-AA83-772AD1DE2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57" y="544285"/>
          <a:ext cx="802821" cy="9116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45"/>
  <sheetViews>
    <sheetView topLeftCell="A13" zoomScale="70" zoomScaleNormal="70" workbookViewId="0">
      <selection activeCell="J34" sqref="J34"/>
    </sheetView>
  </sheetViews>
  <sheetFormatPr baseColWidth="10" defaultColWidth="11.5" defaultRowHeight="15"/>
  <cols>
    <col min="1" max="1" width="11.5" customWidth="1"/>
    <col min="2" max="2" width="24.83203125" customWidth="1"/>
    <col min="3" max="3" width="14.83203125" customWidth="1"/>
    <col min="4" max="4" width="6" customWidth="1"/>
    <col min="5" max="5" width="5.5" customWidth="1"/>
    <col min="6" max="6" width="5.33203125" customWidth="1"/>
    <col min="7" max="7" width="5.1640625" customWidth="1"/>
    <col min="8" max="8" width="5.33203125" customWidth="1"/>
    <col min="9" max="9" width="7" customWidth="1"/>
    <col min="10" max="13" width="14.1640625" customWidth="1"/>
    <col min="14" max="14" width="15.1640625" customWidth="1"/>
    <col min="15" max="19" width="14.1640625" customWidth="1"/>
  </cols>
  <sheetData>
    <row r="1" spans="1:19" ht="25">
      <c r="A1" s="1" t="s">
        <v>0</v>
      </c>
    </row>
    <row r="3" spans="1:19">
      <c r="E3" s="74"/>
      <c r="F3" s="74"/>
      <c r="G3" s="74"/>
      <c r="H3" s="74"/>
      <c r="I3" s="74"/>
    </row>
    <row r="4" spans="1:19">
      <c r="D4" s="2"/>
      <c r="E4" s="75" t="s">
        <v>1</v>
      </c>
      <c r="F4" s="76"/>
      <c r="G4" s="76"/>
      <c r="H4" s="76"/>
      <c r="I4" s="76"/>
      <c r="J4" s="3" t="s">
        <v>60</v>
      </c>
      <c r="L4" s="76" t="s">
        <v>2</v>
      </c>
      <c r="M4" s="76"/>
      <c r="N4" s="76"/>
      <c r="O4" s="4">
        <v>0.25</v>
      </c>
    </row>
    <row r="5" spans="1:19">
      <c r="D5" s="2"/>
      <c r="E5" s="75" t="s">
        <v>3</v>
      </c>
      <c r="F5" s="76"/>
      <c r="G5" s="76"/>
      <c r="H5" s="76"/>
      <c r="I5" s="76"/>
      <c r="J5" s="3" t="s">
        <v>65</v>
      </c>
      <c r="L5" s="76" t="s">
        <v>4</v>
      </c>
      <c r="M5" s="76"/>
      <c r="N5" s="76"/>
      <c r="O5" s="4">
        <v>1</v>
      </c>
    </row>
    <row r="6" spans="1:19">
      <c r="D6" s="2"/>
      <c r="E6" s="75" t="s">
        <v>5</v>
      </c>
      <c r="F6" s="76"/>
      <c r="G6" s="76"/>
      <c r="H6" s="76"/>
      <c r="I6" s="76"/>
      <c r="J6" s="3" t="s">
        <v>64</v>
      </c>
      <c r="L6" s="76" t="s">
        <v>6</v>
      </c>
      <c r="M6" s="76"/>
      <c r="N6" s="76"/>
      <c r="O6" s="5">
        <v>0.7</v>
      </c>
      <c r="P6" s="6" t="s">
        <v>7</v>
      </c>
      <c r="Q6" s="6"/>
    </row>
    <row r="7" spans="1:19">
      <c r="E7" s="76" t="s">
        <v>8</v>
      </c>
      <c r="F7" s="76"/>
      <c r="G7" s="76"/>
      <c r="H7" s="76"/>
      <c r="I7" s="76"/>
      <c r="J7" s="3" t="s">
        <v>62</v>
      </c>
      <c r="L7" s="76" t="s">
        <v>9</v>
      </c>
      <c r="M7" s="76"/>
      <c r="N7" s="76"/>
      <c r="O7" s="4">
        <v>1</v>
      </c>
    </row>
    <row r="8" spans="1:19">
      <c r="J8" s="2"/>
      <c r="O8" s="7"/>
    </row>
    <row r="9" spans="1:19" ht="16" thickBot="1"/>
    <row r="10" spans="1:19" ht="17" thickBot="1">
      <c r="A10" s="77" t="s">
        <v>10</v>
      </c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8"/>
    </row>
    <row r="12" spans="1:19" ht="16">
      <c r="D12" s="79" t="s">
        <v>11</v>
      </c>
      <c r="E12" s="79"/>
      <c r="F12" s="79"/>
      <c r="G12" s="79"/>
      <c r="H12" s="79"/>
      <c r="I12" s="79"/>
      <c r="J12" s="80" t="s">
        <v>12</v>
      </c>
      <c r="K12" s="80"/>
      <c r="L12" s="80"/>
      <c r="M12" s="80"/>
      <c r="N12" s="80"/>
      <c r="O12" s="80"/>
      <c r="P12" s="80"/>
      <c r="Q12" s="80"/>
      <c r="R12" s="80"/>
      <c r="S12" s="9"/>
    </row>
    <row r="13" spans="1:19" s="14" customFormat="1" ht="90" customHeight="1">
      <c r="A13" s="73" t="s">
        <v>51</v>
      </c>
      <c r="B13" s="73"/>
      <c r="C13" s="73"/>
      <c r="D13" s="10" t="s">
        <v>13</v>
      </c>
      <c r="E13" s="10" t="s">
        <v>14</v>
      </c>
      <c r="F13" s="10" t="s">
        <v>15</v>
      </c>
      <c r="G13" s="10" t="s">
        <v>16</v>
      </c>
      <c r="H13" s="10" t="s">
        <v>17</v>
      </c>
      <c r="I13" s="11" t="s">
        <v>18</v>
      </c>
      <c r="J13" s="12" t="s">
        <v>19</v>
      </c>
      <c r="K13" s="12" t="s">
        <v>20</v>
      </c>
      <c r="L13" s="12" t="s">
        <v>21</v>
      </c>
      <c r="M13" s="12" t="s">
        <v>22</v>
      </c>
      <c r="N13" s="12" t="s">
        <v>23</v>
      </c>
      <c r="O13" s="12" t="s">
        <v>24</v>
      </c>
      <c r="P13" s="12" t="s">
        <v>25</v>
      </c>
      <c r="Q13" s="12" t="s">
        <v>26</v>
      </c>
      <c r="R13" s="13" t="s">
        <v>27</v>
      </c>
      <c r="S13" s="12" t="s">
        <v>28</v>
      </c>
    </row>
    <row r="14" spans="1:19" ht="15" customHeight="1">
      <c r="A14" s="65" t="s">
        <v>81</v>
      </c>
      <c r="B14" s="65"/>
      <c r="C14" s="65"/>
      <c r="D14" s="15">
        <v>12</v>
      </c>
      <c r="E14" s="15">
        <v>6</v>
      </c>
      <c r="F14" s="15"/>
      <c r="G14" s="15">
        <v>3</v>
      </c>
      <c r="H14" s="15">
        <v>3</v>
      </c>
      <c r="I14" s="16">
        <f>+SUM(D14:H14)</f>
        <v>24</v>
      </c>
      <c r="J14" s="17">
        <f>6*1300+6*1500+9*2000+3*3000</f>
        <v>43800</v>
      </c>
      <c r="K14" s="17">
        <f>SUM('Travel - budzet'!P5:P7)</f>
        <v>5980</v>
      </c>
      <c r="L14" s="17"/>
      <c r="M14" s="17"/>
      <c r="N14" s="17"/>
      <c r="O14" s="51">
        <f t="shared" ref="O14:O28" si="0">+$O$4*(J14+K14-N14)</f>
        <v>12445</v>
      </c>
      <c r="P14" s="17"/>
      <c r="Q14" s="17">
        <f>+J14+K14+L14+M14+O14+P14</f>
        <v>62225</v>
      </c>
      <c r="R14" s="51">
        <f>Q14</f>
        <v>62225</v>
      </c>
      <c r="S14" s="52">
        <f>+Q14-R14</f>
        <v>0</v>
      </c>
    </row>
    <row r="15" spans="1:19" ht="15" customHeight="1">
      <c r="A15" s="70" t="s">
        <v>79</v>
      </c>
      <c r="B15" s="71"/>
      <c r="C15" s="72"/>
      <c r="D15" s="15">
        <v>15</v>
      </c>
      <c r="E15" s="15">
        <v>6</v>
      </c>
      <c r="F15" s="15"/>
      <c r="G15" s="15"/>
      <c r="H15" s="15">
        <v>3</v>
      </c>
      <c r="I15" s="16">
        <f>+SUM(D15:H15)</f>
        <v>24</v>
      </c>
      <c r="J15" s="17">
        <f>8*1300+4*1500+8*2000+4*3000</f>
        <v>44400</v>
      </c>
      <c r="K15" s="17"/>
      <c r="L15" s="17"/>
      <c r="M15" s="17"/>
      <c r="N15" s="17"/>
      <c r="O15" s="51">
        <f t="shared" si="0"/>
        <v>11100</v>
      </c>
      <c r="P15" s="17"/>
      <c r="Q15" s="17">
        <f>+J15+K15+L15+M15+O15+P15</f>
        <v>55500</v>
      </c>
      <c r="R15" s="51">
        <f>Q15</f>
        <v>55500</v>
      </c>
      <c r="S15" s="52">
        <f>+Q15-R15</f>
        <v>0</v>
      </c>
    </row>
    <row r="16" spans="1:19" ht="15" customHeight="1">
      <c r="A16" s="65" t="s">
        <v>80</v>
      </c>
      <c r="B16" s="65"/>
      <c r="C16" s="65"/>
      <c r="D16" s="15">
        <v>20</v>
      </c>
      <c r="E16" s="15">
        <v>12</v>
      </c>
      <c r="F16" s="15">
        <v>4</v>
      </c>
      <c r="G16" s="15">
        <v>8</v>
      </c>
      <c r="H16" s="15"/>
      <c r="I16" s="16">
        <f t="shared" ref="I16:I28" si="1">+SUM(D16:H16)</f>
        <v>44</v>
      </c>
      <c r="J16" s="17">
        <f>6*1300+16*1500+16*2000+6*3000</f>
        <v>81800</v>
      </c>
      <c r="K16" s="17">
        <f>SUM('Equipment - budzet'!I5)+SUM('Travel - budzet'!P8:P10)</f>
        <v>48300</v>
      </c>
      <c r="L16" s="17"/>
      <c r="M16" s="17"/>
      <c r="N16" s="17"/>
      <c r="O16" s="51">
        <f t="shared" si="0"/>
        <v>32525</v>
      </c>
      <c r="P16" s="17"/>
      <c r="Q16" s="17">
        <f t="shared" ref="Q16:Q28" si="2">+J16+K16+L16+M16+O16+P16</f>
        <v>162625</v>
      </c>
      <c r="R16" s="51">
        <f>Q16</f>
        <v>162625</v>
      </c>
      <c r="S16" s="52">
        <f t="shared" ref="S16:S28" si="3">+Q16-R16</f>
        <v>0</v>
      </c>
    </row>
    <row r="17" spans="1:20" ht="15" customHeight="1">
      <c r="A17" s="65" t="s">
        <v>82</v>
      </c>
      <c r="B17" s="65"/>
      <c r="C17" s="65"/>
      <c r="D17" s="15">
        <v>25</v>
      </c>
      <c r="E17" s="15">
        <v>10</v>
      </c>
      <c r="F17" s="15"/>
      <c r="G17" s="15">
        <v>10</v>
      </c>
      <c r="H17" s="15"/>
      <c r="I17" s="16">
        <f t="shared" si="1"/>
        <v>45</v>
      </c>
      <c r="J17" s="17">
        <f>20*1500+25*3000</f>
        <v>105000</v>
      </c>
      <c r="K17" s="17">
        <f>SUM('Equipment - budzet'!I6)</f>
        <v>25000</v>
      </c>
      <c r="L17" s="17"/>
      <c r="M17" s="17"/>
      <c r="N17" s="17"/>
      <c r="O17" s="51">
        <f t="shared" si="0"/>
        <v>32500</v>
      </c>
      <c r="P17" s="17"/>
      <c r="Q17" s="17">
        <f t="shared" si="2"/>
        <v>162500</v>
      </c>
      <c r="R17" s="51">
        <f>Q17</f>
        <v>162500</v>
      </c>
      <c r="S17" s="52">
        <f t="shared" si="3"/>
        <v>0</v>
      </c>
    </row>
    <row r="18" spans="1:20" ht="15" customHeight="1">
      <c r="A18" s="65" t="s">
        <v>83</v>
      </c>
      <c r="B18" s="65"/>
      <c r="C18" s="65"/>
      <c r="D18" s="15">
        <v>1</v>
      </c>
      <c r="E18" s="15">
        <v>9</v>
      </c>
      <c r="F18" s="15">
        <v>9</v>
      </c>
      <c r="G18" s="15">
        <v>1</v>
      </c>
      <c r="H18" s="15"/>
      <c r="I18" s="16">
        <f t="shared" si="1"/>
        <v>20</v>
      </c>
      <c r="J18" s="17">
        <f>7*1300+3*1500+7*2000+1200+1200+1500</f>
        <v>31500</v>
      </c>
      <c r="K18" s="17"/>
      <c r="L18" s="17"/>
      <c r="M18" s="17"/>
      <c r="N18" s="17"/>
      <c r="O18" s="51">
        <f t="shared" si="0"/>
        <v>7875</v>
      </c>
      <c r="P18" s="17"/>
      <c r="Q18" s="17">
        <f t="shared" si="2"/>
        <v>39375</v>
      </c>
      <c r="R18" s="51">
        <f>Q18-0.3*(2*1200+1500+0.25*(2*1200+1500))</f>
        <v>37912.5</v>
      </c>
      <c r="S18" s="52">
        <f t="shared" si="3"/>
        <v>1462.5</v>
      </c>
    </row>
    <row r="19" spans="1:20" ht="15" customHeight="1">
      <c r="A19" s="65" t="s">
        <v>84</v>
      </c>
      <c r="B19" s="65"/>
      <c r="C19" s="65"/>
      <c r="D19" s="15"/>
      <c r="E19" s="15">
        <v>4</v>
      </c>
      <c r="F19" s="15"/>
      <c r="G19" s="15">
        <v>4</v>
      </c>
      <c r="H19" s="15"/>
      <c r="I19" s="16">
        <f t="shared" si="1"/>
        <v>8</v>
      </c>
      <c r="J19" s="17">
        <f>4*1300+4*2000</f>
        <v>13200</v>
      </c>
      <c r="K19" s="17">
        <f>'Travel - budzet'!P11</f>
        <v>10300</v>
      </c>
      <c r="L19" s="17"/>
      <c r="M19" s="17"/>
      <c r="N19" s="17"/>
      <c r="O19" s="51">
        <f t="shared" si="0"/>
        <v>5875</v>
      </c>
      <c r="P19" s="17"/>
      <c r="Q19" s="17">
        <f t="shared" si="2"/>
        <v>29375</v>
      </c>
      <c r="R19" s="51">
        <f>Q19</f>
        <v>29375</v>
      </c>
      <c r="S19" s="52">
        <f t="shared" si="3"/>
        <v>0</v>
      </c>
    </row>
    <row r="20" spans="1:20" ht="15" customHeight="1">
      <c r="A20" s="65" t="s">
        <v>93</v>
      </c>
      <c r="B20" s="65"/>
      <c r="C20" s="65"/>
      <c r="D20" s="15">
        <v>8</v>
      </c>
      <c r="E20" s="15">
        <v>32</v>
      </c>
      <c r="F20" s="15">
        <v>24</v>
      </c>
      <c r="G20" s="15">
        <v>4</v>
      </c>
      <c r="H20" s="15"/>
      <c r="I20" s="16">
        <f t="shared" si="1"/>
        <v>68</v>
      </c>
      <c r="J20" s="17">
        <f>24*1300+6*1500+24*2000+2*3000+4*1200+4*1200+4*1500</f>
        <v>109800</v>
      </c>
      <c r="K20" s="17">
        <f>SUM('Equipment - budzet'!I7:I11)</f>
        <v>96700</v>
      </c>
      <c r="L20" s="17"/>
      <c r="M20" s="17"/>
      <c r="N20" s="17"/>
      <c r="O20" s="51">
        <f t="shared" si="0"/>
        <v>51625</v>
      </c>
      <c r="P20" s="17"/>
      <c r="Q20" s="17">
        <f t="shared" si="2"/>
        <v>258125</v>
      </c>
      <c r="R20" s="51">
        <f>Q20-0.3*(8*1200+4*1500+'Equipment - budzet'!I9+'Equipment - budzet'!I11+0.25*(8*1200+4*1500+'Equipment - budzet'!I9+'Equipment - budzet'!I11))</f>
        <v>233900</v>
      </c>
      <c r="S20" s="52">
        <f t="shared" si="3"/>
        <v>24225</v>
      </c>
    </row>
    <row r="21" spans="1:20" ht="15" customHeight="1">
      <c r="A21" s="65" t="s">
        <v>85</v>
      </c>
      <c r="B21" s="65"/>
      <c r="C21" s="65"/>
      <c r="D21" s="15"/>
      <c r="E21" s="15">
        <v>6</v>
      </c>
      <c r="F21" s="15"/>
      <c r="G21" s="15">
        <v>12</v>
      </c>
      <c r="H21" s="15">
        <v>3</v>
      </c>
      <c r="I21" s="16">
        <f t="shared" si="1"/>
        <v>21</v>
      </c>
      <c r="J21" s="17">
        <f>10*1300+10*2000+1200</f>
        <v>34200</v>
      </c>
      <c r="K21" s="17"/>
      <c r="L21" s="17"/>
      <c r="M21" s="17"/>
      <c r="N21" s="17"/>
      <c r="O21" s="51">
        <f t="shared" si="0"/>
        <v>8550</v>
      </c>
      <c r="P21" s="17"/>
      <c r="Q21" s="17">
        <f t="shared" si="2"/>
        <v>42750</v>
      </c>
      <c r="R21" s="51">
        <f>Q21-0.3*(1200+0.25*1200)</f>
        <v>42300</v>
      </c>
      <c r="S21" s="52">
        <f t="shared" si="3"/>
        <v>450</v>
      </c>
    </row>
    <row r="22" spans="1:20" ht="15" customHeight="1">
      <c r="A22" s="65" t="s">
        <v>86</v>
      </c>
      <c r="B22" s="65"/>
      <c r="C22" s="65"/>
      <c r="D22" s="15">
        <v>4</v>
      </c>
      <c r="E22" s="15">
        <v>4</v>
      </c>
      <c r="F22" s="15"/>
      <c r="G22" s="15"/>
      <c r="H22" s="15"/>
      <c r="I22" s="16">
        <f t="shared" si="1"/>
        <v>8</v>
      </c>
      <c r="J22" s="17">
        <f>2*1300+2*1500+4*2000</f>
        <v>13600</v>
      </c>
      <c r="K22" s="17"/>
      <c r="L22" s="17"/>
      <c r="M22" s="17"/>
      <c r="N22" s="17"/>
      <c r="O22" s="51">
        <f t="shared" si="0"/>
        <v>3400</v>
      </c>
      <c r="P22" s="17"/>
      <c r="Q22" s="17">
        <f t="shared" si="2"/>
        <v>17000</v>
      </c>
      <c r="R22" s="51">
        <f>Q22</f>
        <v>17000</v>
      </c>
      <c r="S22" s="52">
        <f t="shared" si="3"/>
        <v>0</v>
      </c>
    </row>
    <row r="23" spans="1:20" ht="15" customHeight="1">
      <c r="A23" s="70" t="s">
        <v>87</v>
      </c>
      <c r="B23" s="71"/>
      <c r="C23" s="72"/>
      <c r="D23" s="15"/>
      <c r="E23" s="15">
        <v>2</v>
      </c>
      <c r="F23" s="15"/>
      <c r="G23" s="15">
        <v>2</v>
      </c>
      <c r="H23" s="15">
        <v>1</v>
      </c>
      <c r="I23" s="16">
        <f t="shared" si="1"/>
        <v>5</v>
      </c>
      <c r="J23" s="17">
        <f>2*1300+3*2000</f>
        <v>8600</v>
      </c>
      <c r="K23" s="17"/>
      <c r="L23" s="17"/>
      <c r="M23" s="17"/>
      <c r="N23" s="17"/>
      <c r="O23" s="51">
        <f t="shared" ref="O23:O27" si="4">+$O$4*(J23+K23-N23)</f>
        <v>2150</v>
      </c>
      <c r="P23" s="17"/>
      <c r="Q23" s="17">
        <f t="shared" ref="Q23:Q27" si="5">+J23+K23+L23+M23+O23+P23</f>
        <v>10750</v>
      </c>
      <c r="R23" s="51">
        <f>Q23</f>
        <v>10750</v>
      </c>
      <c r="S23" s="52">
        <f t="shared" ref="S23:S27" si="6">+Q23-R23</f>
        <v>0</v>
      </c>
    </row>
    <row r="24" spans="1:20" ht="15" customHeight="1">
      <c r="A24" s="70" t="s">
        <v>88</v>
      </c>
      <c r="B24" s="71"/>
      <c r="C24" s="72"/>
      <c r="D24" s="15">
        <v>4</v>
      </c>
      <c r="E24" s="15">
        <v>8</v>
      </c>
      <c r="F24" s="15">
        <v>2</v>
      </c>
      <c r="G24" s="15">
        <v>8</v>
      </c>
      <c r="H24" s="15"/>
      <c r="I24" s="16">
        <f t="shared" si="1"/>
        <v>22</v>
      </c>
      <c r="J24" s="17">
        <f>8*1300+2*1500+8*2000+2*1200+2*1500</f>
        <v>34800</v>
      </c>
      <c r="K24" s="17">
        <f>SUM('Travel - budzet'!P12:P14)+SUM('Equipment - budzet'!I12)</f>
        <v>54600</v>
      </c>
      <c r="L24" s="17"/>
      <c r="M24" s="17"/>
      <c r="N24" s="17"/>
      <c r="O24" s="51">
        <f t="shared" si="4"/>
        <v>22350</v>
      </c>
      <c r="P24" s="17"/>
      <c r="Q24" s="17">
        <f t="shared" si="5"/>
        <v>111750</v>
      </c>
      <c r="R24" s="51">
        <f>Q24-0.3*(2*1200+2*1500+'Travel - budzet'!P14+0.25*(2*1200+2*1500+'Travel - budzet'!P14))</f>
        <v>108585</v>
      </c>
      <c r="S24" s="52">
        <f t="shared" si="6"/>
        <v>3165</v>
      </c>
    </row>
    <row r="25" spans="1:20" ht="15" customHeight="1">
      <c r="A25" s="70" t="s">
        <v>89</v>
      </c>
      <c r="B25" s="71"/>
      <c r="C25" s="72"/>
      <c r="D25" s="15"/>
      <c r="E25" s="15">
        <v>8</v>
      </c>
      <c r="F25" s="15">
        <v>4</v>
      </c>
      <c r="G25" s="15"/>
      <c r="H25" s="15"/>
      <c r="I25" s="16">
        <f t="shared" si="1"/>
        <v>12</v>
      </c>
      <c r="J25" s="17">
        <f>9*2000+3*3000</f>
        <v>27000</v>
      </c>
      <c r="K25" s="17"/>
      <c r="L25" s="17"/>
      <c r="M25" s="17"/>
      <c r="N25" s="17"/>
      <c r="O25" s="51">
        <f t="shared" si="4"/>
        <v>6750</v>
      </c>
      <c r="P25" s="17"/>
      <c r="Q25" s="17">
        <f t="shared" si="5"/>
        <v>33750</v>
      </c>
      <c r="R25" s="51">
        <f>Q25</f>
        <v>33750</v>
      </c>
      <c r="S25" s="52">
        <f t="shared" si="6"/>
        <v>0</v>
      </c>
    </row>
    <row r="26" spans="1:20" ht="15" customHeight="1">
      <c r="A26" s="70" t="s">
        <v>90</v>
      </c>
      <c r="B26" s="71"/>
      <c r="C26" s="72"/>
      <c r="D26" s="15"/>
      <c r="E26" s="15"/>
      <c r="F26" s="15">
        <v>4</v>
      </c>
      <c r="G26" s="15">
        <v>2</v>
      </c>
      <c r="H26" s="15"/>
      <c r="I26" s="16">
        <f t="shared" si="1"/>
        <v>6</v>
      </c>
      <c r="J26" s="17">
        <f>4*1300+2*2000</f>
        <v>9200</v>
      </c>
      <c r="K26" s="17"/>
      <c r="L26" s="17">
        <v>300</v>
      </c>
      <c r="M26" s="17"/>
      <c r="N26" s="17"/>
      <c r="O26" s="51">
        <f t="shared" si="4"/>
        <v>2300</v>
      </c>
      <c r="P26" s="17"/>
      <c r="Q26" s="17">
        <f t="shared" si="5"/>
        <v>11800</v>
      </c>
      <c r="R26" s="51">
        <f>Q26</f>
        <v>11800</v>
      </c>
      <c r="S26" s="52">
        <f t="shared" si="6"/>
        <v>0</v>
      </c>
    </row>
    <row r="27" spans="1:20" ht="15" customHeight="1">
      <c r="A27" s="70" t="s">
        <v>91</v>
      </c>
      <c r="B27" s="71"/>
      <c r="C27" s="72"/>
      <c r="D27" s="15"/>
      <c r="E27" s="15">
        <v>4</v>
      </c>
      <c r="F27" s="15">
        <v>2</v>
      </c>
      <c r="G27" s="15">
        <v>4</v>
      </c>
      <c r="H27" s="15">
        <v>2</v>
      </c>
      <c r="I27" s="16">
        <f t="shared" si="1"/>
        <v>12</v>
      </c>
      <c r="J27" s="17">
        <f>2*1300+2*2000+8*3000</f>
        <v>30600</v>
      </c>
      <c r="K27" s="17">
        <f>SUM('Travel - budzet'!P15:P16)</f>
        <v>3840</v>
      </c>
      <c r="L27" s="17"/>
      <c r="M27" s="17"/>
      <c r="N27" s="17"/>
      <c r="O27" s="51">
        <f t="shared" si="4"/>
        <v>8610</v>
      </c>
      <c r="P27" s="17"/>
      <c r="Q27" s="17">
        <f t="shared" si="5"/>
        <v>43050</v>
      </c>
      <c r="R27" s="51">
        <f>Q27</f>
        <v>43050</v>
      </c>
      <c r="S27" s="52">
        <f t="shared" si="6"/>
        <v>0</v>
      </c>
    </row>
    <row r="28" spans="1:20" ht="15" customHeight="1">
      <c r="A28" s="65" t="s">
        <v>92</v>
      </c>
      <c r="B28" s="65"/>
      <c r="C28" s="65"/>
      <c r="D28" s="15">
        <v>2</v>
      </c>
      <c r="E28" s="15">
        <v>2</v>
      </c>
      <c r="F28" s="15">
        <v>2</v>
      </c>
      <c r="G28" s="15">
        <v>2</v>
      </c>
      <c r="H28" s="15">
        <v>2</v>
      </c>
      <c r="I28" s="16">
        <f t="shared" si="1"/>
        <v>10</v>
      </c>
      <c r="J28" s="17">
        <f>3*1300+1500+4*2000+2*3000</f>
        <v>19400</v>
      </c>
      <c r="K28" s="17"/>
      <c r="L28" s="17"/>
      <c r="M28" s="17"/>
      <c r="N28" s="17"/>
      <c r="O28" s="51">
        <f t="shared" si="0"/>
        <v>4850</v>
      </c>
      <c r="P28" s="17"/>
      <c r="Q28" s="17">
        <f t="shared" si="2"/>
        <v>24250</v>
      </c>
      <c r="R28" s="51">
        <f>Q28</f>
        <v>24250</v>
      </c>
      <c r="S28" s="52">
        <f t="shared" si="3"/>
        <v>0</v>
      </c>
    </row>
    <row r="29" spans="1:20">
      <c r="A29" s="69" t="s">
        <v>18</v>
      </c>
      <c r="B29" s="69"/>
      <c r="C29" s="69"/>
      <c r="D29" s="15">
        <f t="shared" ref="D29:S29" si="7">SUM(D14:D28)</f>
        <v>91</v>
      </c>
      <c r="E29" s="15">
        <f t="shared" si="7"/>
        <v>113</v>
      </c>
      <c r="F29" s="15">
        <f t="shared" si="7"/>
        <v>51</v>
      </c>
      <c r="G29" s="15">
        <f t="shared" si="7"/>
        <v>60</v>
      </c>
      <c r="H29" s="15">
        <f t="shared" si="7"/>
        <v>14</v>
      </c>
      <c r="I29" s="18">
        <f t="shared" si="7"/>
        <v>329</v>
      </c>
      <c r="J29" s="19">
        <f t="shared" si="7"/>
        <v>606900</v>
      </c>
      <c r="K29" s="19">
        <f t="shared" si="7"/>
        <v>244720</v>
      </c>
      <c r="L29" s="19">
        <f t="shared" si="7"/>
        <v>300</v>
      </c>
      <c r="M29" s="19">
        <f t="shared" si="7"/>
        <v>0</v>
      </c>
      <c r="N29" s="19">
        <f t="shared" si="7"/>
        <v>0</v>
      </c>
      <c r="O29" s="19">
        <f t="shared" si="7"/>
        <v>212905</v>
      </c>
      <c r="P29" s="19">
        <f t="shared" si="7"/>
        <v>0</v>
      </c>
      <c r="Q29" s="19">
        <f t="shared" si="7"/>
        <v>1064825</v>
      </c>
      <c r="R29" s="20">
        <f t="shared" si="7"/>
        <v>1035522.5</v>
      </c>
      <c r="S29" s="21">
        <f t="shared" si="7"/>
        <v>29302.5</v>
      </c>
      <c r="T29" s="22"/>
    </row>
    <row r="30" spans="1:20">
      <c r="A30" s="23"/>
      <c r="B30" s="23"/>
      <c r="C30" s="23"/>
      <c r="D30" s="24"/>
      <c r="E30" s="24"/>
      <c r="F30" s="24"/>
      <c r="G30" s="24"/>
      <c r="H30" s="24"/>
      <c r="I30" s="24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</row>
    <row r="31" spans="1:20">
      <c r="A31" s="23"/>
      <c r="B31" s="23"/>
      <c r="C31" s="23"/>
      <c r="D31" s="25" t="s">
        <v>29</v>
      </c>
      <c r="E31" s="26"/>
      <c r="F31" s="27"/>
      <c r="G31" s="27"/>
      <c r="H31" s="27"/>
      <c r="I31" s="28"/>
      <c r="J31" s="19">
        <f>IF(I29=0,0,(J29/I29))</f>
        <v>1844.6808510638298</v>
      </c>
      <c r="K31" s="22"/>
      <c r="L31" s="22"/>
      <c r="M31" s="22"/>
      <c r="N31" s="22"/>
      <c r="O31" s="22"/>
      <c r="P31" s="22"/>
      <c r="Q31" s="22"/>
      <c r="R31" s="22"/>
      <c r="S31" s="22"/>
      <c r="T31" s="22"/>
    </row>
    <row r="32" spans="1:20">
      <c r="A32" s="29"/>
      <c r="S32" s="30"/>
    </row>
    <row r="33" spans="1:19">
      <c r="A33" s="68" t="s">
        <v>30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</row>
    <row r="34" spans="1:19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</row>
    <row r="35" spans="1:19" ht="41.25" customHeight="1">
      <c r="A35" s="31" t="s">
        <v>31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</row>
    <row r="36" spans="1:19" ht="41.25" customHeight="1">
      <c r="A36" s="61" t="str">
        <f>CONCATENATE("participant"," ",J6)</f>
        <v>participant EPFL</v>
      </c>
      <c r="B36" s="62"/>
      <c r="C36" s="32" t="s">
        <v>32</v>
      </c>
      <c r="D36" s="65" t="s">
        <v>33</v>
      </c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</row>
    <row r="37" spans="1:19" ht="36" customHeight="1">
      <c r="A37" s="55" t="s">
        <v>34</v>
      </c>
      <c r="B37" s="55"/>
      <c r="C37" s="33"/>
      <c r="D37" s="67" t="s">
        <v>57</v>
      </c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S37" s="30"/>
    </row>
    <row r="38" spans="1:19" ht="29.25" customHeight="1">
      <c r="A38" s="55" t="s">
        <v>35</v>
      </c>
      <c r="B38" s="55"/>
      <c r="C38" s="34"/>
      <c r="D38" s="60" t="s">
        <v>58</v>
      </c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S38" s="30"/>
    </row>
    <row r="39" spans="1:19" ht="31.5" customHeight="1">
      <c r="A39" s="55" t="s">
        <v>36</v>
      </c>
      <c r="B39" s="55"/>
      <c r="C39" s="34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S39" s="30"/>
    </row>
    <row r="40" spans="1:19" s="35" customFormat="1"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</row>
    <row r="41" spans="1:19"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</row>
    <row r="42" spans="1:19">
      <c r="A42" s="61" t="str">
        <f>CONCATENATE("participant"," ",C9)</f>
        <v xml:space="preserve">participant </v>
      </c>
      <c r="B42" s="62"/>
      <c r="C42" s="32" t="s">
        <v>32</v>
      </c>
      <c r="D42" s="63" t="s">
        <v>33</v>
      </c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</row>
    <row r="43" spans="1:19" ht="27.75" customHeight="1">
      <c r="A43" s="55" t="s">
        <v>37</v>
      </c>
      <c r="B43" s="55"/>
      <c r="C43" s="34"/>
      <c r="D43" s="59" t="s">
        <v>59</v>
      </c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S43" s="30"/>
    </row>
    <row r="44" spans="1:19" ht="25.5" customHeight="1">
      <c r="A44" s="55" t="s">
        <v>38</v>
      </c>
      <c r="B44" s="55"/>
      <c r="C44" s="34"/>
      <c r="D44" s="56" t="s">
        <v>39</v>
      </c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8"/>
      <c r="S44" s="30"/>
    </row>
    <row r="45" spans="1:19" ht="26.25" customHeight="1">
      <c r="A45" s="55" t="s">
        <v>40</v>
      </c>
      <c r="B45" s="55"/>
      <c r="C45" s="34"/>
      <c r="D45" s="59" t="s">
        <v>41</v>
      </c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S45" s="30"/>
    </row>
  </sheetData>
  <protectedRanges>
    <protectedRange sqref="D14:H28 C37:P45 O6 P14:P28 J14:N28 R14:S28" name="Range1"/>
  </protectedRanges>
  <mergeCells count="46">
    <mergeCell ref="A26:C26"/>
    <mergeCell ref="A13:C13"/>
    <mergeCell ref="E3:I3"/>
    <mergeCell ref="E4:I4"/>
    <mergeCell ref="L4:N4"/>
    <mergeCell ref="E5:I5"/>
    <mergeCell ref="L5:N5"/>
    <mergeCell ref="E6:I6"/>
    <mergeCell ref="L6:N6"/>
    <mergeCell ref="E7:I7"/>
    <mergeCell ref="L7:N7"/>
    <mergeCell ref="A10:R10"/>
    <mergeCell ref="D12:I12"/>
    <mergeCell ref="J12:R12"/>
    <mergeCell ref="A33:P33"/>
    <mergeCell ref="A14:C14"/>
    <mergeCell ref="A16:C16"/>
    <mergeCell ref="A17:C17"/>
    <mergeCell ref="A18:C18"/>
    <mergeCell ref="A19:C19"/>
    <mergeCell ref="A20:C20"/>
    <mergeCell ref="A21:C21"/>
    <mergeCell ref="A22:C22"/>
    <mergeCell ref="A28:C28"/>
    <mergeCell ref="A29:C29"/>
    <mergeCell ref="A15:C15"/>
    <mergeCell ref="A23:C23"/>
    <mergeCell ref="A24:C24"/>
    <mergeCell ref="A25:C25"/>
    <mergeCell ref="A27:C27"/>
    <mergeCell ref="A36:B36"/>
    <mergeCell ref="D36:P36"/>
    <mergeCell ref="A37:B37"/>
    <mergeCell ref="D37:P37"/>
    <mergeCell ref="A38:B38"/>
    <mergeCell ref="D38:P38"/>
    <mergeCell ref="A44:B44"/>
    <mergeCell ref="D44:P44"/>
    <mergeCell ref="A45:B45"/>
    <mergeCell ref="D45:P45"/>
    <mergeCell ref="A39:B39"/>
    <mergeCell ref="D39:P39"/>
    <mergeCell ref="A42:B42"/>
    <mergeCell ref="D42:P42"/>
    <mergeCell ref="A43:B43"/>
    <mergeCell ref="D43:P43"/>
  </mergeCells>
  <conditionalFormatting sqref="O4">
    <cfRule type="expression" dxfId="0" priority="1">
      <formula>AND($O$4="",$G$7="")</formula>
    </cfRule>
  </conditionalFormatting>
  <dataValidations count="1">
    <dataValidation type="list" allowBlank="1" showInputMessage="1" showErrorMessage="1" sqref="O6" xr:uid="{00000000-0002-0000-0000-000000000000}">
      <formula1>"70%, 100%"</formula1>
    </dataValidation>
  </dataValidations>
  <pageMargins left="0.7" right="0.7" top="0.75" bottom="0.75" header="0.3" footer="0.3"/>
  <pageSetup scale="53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3"/>
  <sheetViews>
    <sheetView zoomScale="74" workbookViewId="0">
      <selection activeCell="P7" sqref="P7"/>
    </sheetView>
  </sheetViews>
  <sheetFormatPr baseColWidth="10" defaultColWidth="8.83203125" defaultRowHeight="15"/>
  <cols>
    <col min="2" max="2" width="16.5" bestFit="1" customWidth="1"/>
    <col min="3" max="3" width="13.6640625" customWidth="1"/>
    <col min="4" max="4" width="40.83203125" bestFit="1" customWidth="1"/>
    <col min="5" max="5" width="8.83203125" customWidth="1"/>
    <col min="6" max="6" width="16.33203125" customWidth="1"/>
    <col min="7" max="7" width="17.6640625" customWidth="1"/>
    <col min="8" max="15" width="8.83203125" customWidth="1"/>
  </cols>
  <sheetData>
    <row r="1" spans="2:16" ht="16" thickBot="1"/>
    <row r="2" spans="2:16" ht="20" thickBot="1">
      <c r="B2" s="81" t="s">
        <v>42</v>
      </c>
      <c r="C2" s="82"/>
      <c r="D2" s="43">
        <f>SUM(P5:P33)</f>
        <v>43020</v>
      </c>
    </row>
    <row r="4" spans="2:16" ht="169">
      <c r="B4" s="41" t="s">
        <v>50</v>
      </c>
      <c r="C4" s="41" t="s">
        <v>43</v>
      </c>
      <c r="D4" s="41" t="s">
        <v>44</v>
      </c>
      <c r="E4" s="40" t="s">
        <v>45</v>
      </c>
      <c r="F4" s="44" t="s">
        <v>52</v>
      </c>
      <c r="G4" s="44" t="s">
        <v>53</v>
      </c>
      <c r="H4" s="10" t="s">
        <v>13</v>
      </c>
      <c r="I4" s="10" t="s">
        <v>14</v>
      </c>
      <c r="J4" s="10" t="s">
        <v>15</v>
      </c>
      <c r="K4" s="10" t="s">
        <v>16</v>
      </c>
      <c r="L4" s="10" t="s">
        <v>17</v>
      </c>
      <c r="M4" s="45" t="s">
        <v>54</v>
      </c>
      <c r="N4" s="10" t="s">
        <v>55</v>
      </c>
      <c r="O4" s="10" t="s">
        <v>56</v>
      </c>
      <c r="P4" s="46" t="s">
        <v>49</v>
      </c>
    </row>
    <row r="5" spans="2:16">
      <c r="B5" s="38" t="s">
        <v>94</v>
      </c>
      <c r="C5" s="38" t="s">
        <v>95</v>
      </c>
      <c r="D5" s="38" t="s">
        <v>100</v>
      </c>
      <c r="E5" s="38" t="s">
        <v>103</v>
      </c>
      <c r="F5" s="48" t="s">
        <v>108</v>
      </c>
      <c r="G5" s="38" t="s">
        <v>76</v>
      </c>
      <c r="H5" s="38">
        <v>2</v>
      </c>
      <c r="I5" s="38">
        <v>0</v>
      </c>
      <c r="J5" s="38">
        <v>0</v>
      </c>
      <c r="K5" s="38">
        <v>0</v>
      </c>
      <c r="L5" s="38">
        <v>0</v>
      </c>
      <c r="M5" s="38">
        <v>4</v>
      </c>
      <c r="N5" s="38">
        <v>1100</v>
      </c>
      <c r="O5" s="38">
        <v>960</v>
      </c>
      <c r="P5" s="38">
        <f>N5+O5</f>
        <v>2060</v>
      </c>
    </row>
    <row r="6" spans="2:16">
      <c r="B6" s="49" t="s">
        <v>94</v>
      </c>
      <c r="C6" s="48" t="s">
        <v>71</v>
      </c>
      <c r="D6" s="48" t="s">
        <v>66</v>
      </c>
      <c r="E6" s="48" t="s">
        <v>72</v>
      </c>
      <c r="F6" s="50" t="s">
        <v>77</v>
      </c>
      <c r="G6" s="48" t="s">
        <v>76</v>
      </c>
      <c r="H6" s="38">
        <v>1</v>
      </c>
      <c r="I6" s="38">
        <v>0</v>
      </c>
      <c r="J6" s="38">
        <v>0</v>
      </c>
      <c r="K6" s="38">
        <v>1</v>
      </c>
      <c r="L6" s="38">
        <v>0</v>
      </c>
      <c r="M6" s="38">
        <v>4</v>
      </c>
      <c r="N6" s="38">
        <v>1200</v>
      </c>
      <c r="O6" s="48">
        <v>960</v>
      </c>
      <c r="P6" s="38">
        <f t="shared" ref="P6:P33" si="0">N6+O6</f>
        <v>2160</v>
      </c>
    </row>
    <row r="7" spans="2:16">
      <c r="B7" s="49" t="s">
        <v>94</v>
      </c>
      <c r="C7" s="48" t="s">
        <v>96</v>
      </c>
      <c r="D7" s="48" t="s">
        <v>101</v>
      </c>
      <c r="E7" s="48" t="s">
        <v>69</v>
      </c>
      <c r="F7" s="50" t="s">
        <v>105</v>
      </c>
      <c r="G7" s="48" t="s">
        <v>76</v>
      </c>
      <c r="H7" s="38">
        <v>1</v>
      </c>
      <c r="I7" s="38">
        <v>1</v>
      </c>
      <c r="J7" s="38">
        <v>0</v>
      </c>
      <c r="K7" s="38">
        <v>0</v>
      </c>
      <c r="L7" s="38">
        <v>0</v>
      </c>
      <c r="M7" s="38">
        <v>4</v>
      </c>
      <c r="N7" s="38">
        <v>800</v>
      </c>
      <c r="O7" s="48">
        <v>960</v>
      </c>
      <c r="P7" s="38">
        <f t="shared" si="0"/>
        <v>1760</v>
      </c>
    </row>
    <row r="8" spans="2:16">
      <c r="B8" s="49" t="s">
        <v>94</v>
      </c>
      <c r="C8" s="49" t="s">
        <v>97</v>
      </c>
      <c r="D8" s="49" t="s">
        <v>102</v>
      </c>
      <c r="E8" s="49" t="s">
        <v>104</v>
      </c>
      <c r="F8" s="49" t="s">
        <v>106</v>
      </c>
      <c r="G8" s="50" t="s">
        <v>76</v>
      </c>
      <c r="H8" s="49">
        <v>2</v>
      </c>
      <c r="I8" s="49">
        <v>0</v>
      </c>
      <c r="J8" s="49">
        <v>0</v>
      </c>
      <c r="K8" s="49">
        <v>0</v>
      </c>
      <c r="L8" s="49">
        <v>0</v>
      </c>
      <c r="M8" s="49">
        <v>4</v>
      </c>
      <c r="N8" s="49">
        <v>1000</v>
      </c>
      <c r="O8" s="49">
        <v>960</v>
      </c>
      <c r="P8" s="49">
        <f t="shared" si="0"/>
        <v>1960</v>
      </c>
    </row>
    <row r="9" spans="2:16">
      <c r="B9" s="49" t="s">
        <v>94</v>
      </c>
      <c r="C9" s="49" t="s">
        <v>99</v>
      </c>
      <c r="D9" s="50" t="s">
        <v>99</v>
      </c>
      <c r="E9" s="49" t="s">
        <v>63</v>
      </c>
      <c r="F9" s="49" t="s">
        <v>107</v>
      </c>
      <c r="G9" s="50" t="s">
        <v>76</v>
      </c>
      <c r="H9" s="49">
        <v>2</v>
      </c>
      <c r="I9" s="49">
        <v>0</v>
      </c>
      <c r="J9" s="49">
        <v>0</v>
      </c>
      <c r="K9" s="49">
        <v>0</v>
      </c>
      <c r="L9" s="49">
        <v>0</v>
      </c>
      <c r="M9" s="49">
        <v>4</v>
      </c>
      <c r="N9" s="49">
        <v>2500</v>
      </c>
      <c r="O9" s="49">
        <v>960</v>
      </c>
      <c r="P9" s="49">
        <f t="shared" si="0"/>
        <v>3460</v>
      </c>
    </row>
    <row r="10" spans="2:16">
      <c r="B10" s="49" t="s">
        <v>109</v>
      </c>
      <c r="C10" s="49" t="s">
        <v>71</v>
      </c>
      <c r="D10" s="50" t="s">
        <v>66</v>
      </c>
      <c r="E10" s="49" t="s">
        <v>72</v>
      </c>
      <c r="F10" s="50" t="s">
        <v>77</v>
      </c>
      <c r="G10" s="50" t="s">
        <v>108</v>
      </c>
      <c r="H10" s="49">
        <v>4</v>
      </c>
      <c r="I10" s="49">
        <v>2</v>
      </c>
      <c r="J10" s="49">
        <v>0</v>
      </c>
      <c r="K10" s="49">
        <v>2</v>
      </c>
      <c r="L10" s="49">
        <v>0</v>
      </c>
      <c r="M10" s="49">
        <v>4</v>
      </c>
      <c r="N10" s="49">
        <v>3040</v>
      </c>
      <c r="O10" s="49">
        <v>3840</v>
      </c>
      <c r="P10" s="49">
        <f t="shared" si="0"/>
        <v>6880</v>
      </c>
    </row>
    <row r="11" spans="2:16">
      <c r="B11" s="50" t="s">
        <v>109</v>
      </c>
      <c r="C11" s="49" t="s">
        <v>61</v>
      </c>
      <c r="D11" s="50" t="s">
        <v>67</v>
      </c>
      <c r="E11" s="49" t="s">
        <v>68</v>
      </c>
      <c r="F11" s="50" t="s">
        <v>76</v>
      </c>
      <c r="G11" s="50" t="s">
        <v>108</v>
      </c>
      <c r="H11" s="49">
        <v>4</v>
      </c>
      <c r="I11" s="49">
        <v>2</v>
      </c>
      <c r="J11" s="49">
        <v>2</v>
      </c>
      <c r="K11" s="49">
        <v>2</v>
      </c>
      <c r="L11" s="49">
        <v>0</v>
      </c>
      <c r="M11" s="49">
        <v>4</v>
      </c>
      <c r="N11" s="49">
        <v>5500</v>
      </c>
      <c r="O11" s="49">
        <v>4800</v>
      </c>
      <c r="P11" s="49">
        <f t="shared" si="0"/>
        <v>10300</v>
      </c>
    </row>
    <row r="12" spans="2:16">
      <c r="B12" s="50" t="s">
        <v>109</v>
      </c>
      <c r="C12" s="38" t="s">
        <v>98</v>
      </c>
      <c r="D12" s="38" t="s">
        <v>98</v>
      </c>
      <c r="E12" s="38" t="s">
        <v>68</v>
      </c>
      <c r="F12" s="50" t="s">
        <v>76</v>
      </c>
      <c r="G12" s="50" t="s">
        <v>108</v>
      </c>
      <c r="H12" s="38">
        <v>2</v>
      </c>
      <c r="I12" s="38">
        <v>1</v>
      </c>
      <c r="J12" s="38">
        <v>1</v>
      </c>
      <c r="K12" s="38">
        <v>0</v>
      </c>
      <c r="L12" s="38">
        <v>0</v>
      </c>
      <c r="M12" s="38">
        <v>4</v>
      </c>
      <c r="N12" s="38">
        <v>2200</v>
      </c>
      <c r="O12" s="38">
        <v>1920</v>
      </c>
      <c r="P12" s="38">
        <f>N12+O12</f>
        <v>4120</v>
      </c>
    </row>
    <row r="13" spans="2:16">
      <c r="B13" s="38" t="s">
        <v>110</v>
      </c>
      <c r="C13" s="50" t="s">
        <v>97</v>
      </c>
      <c r="D13" s="50" t="s">
        <v>102</v>
      </c>
      <c r="E13" s="38" t="s">
        <v>104</v>
      </c>
      <c r="F13" s="50" t="s">
        <v>106</v>
      </c>
      <c r="G13" s="50" t="s">
        <v>76</v>
      </c>
      <c r="H13" s="38">
        <v>0</v>
      </c>
      <c r="I13" s="38">
        <v>1</v>
      </c>
      <c r="J13" s="38">
        <v>1</v>
      </c>
      <c r="K13" s="38">
        <v>1</v>
      </c>
      <c r="L13" s="38">
        <v>1</v>
      </c>
      <c r="M13" s="38">
        <v>3</v>
      </c>
      <c r="N13" s="38">
        <v>2000</v>
      </c>
      <c r="O13" s="38">
        <v>1440</v>
      </c>
      <c r="P13" s="38">
        <f t="shared" si="0"/>
        <v>3440</v>
      </c>
    </row>
    <row r="14" spans="2:16">
      <c r="B14" s="50" t="s">
        <v>110</v>
      </c>
      <c r="C14" s="50" t="s">
        <v>96</v>
      </c>
      <c r="D14" s="50" t="s">
        <v>101</v>
      </c>
      <c r="E14" s="38" t="s">
        <v>69</v>
      </c>
      <c r="F14" s="50" t="s">
        <v>105</v>
      </c>
      <c r="G14" s="50" t="s">
        <v>76</v>
      </c>
      <c r="H14" s="38">
        <v>0</v>
      </c>
      <c r="I14" s="38">
        <v>0</v>
      </c>
      <c r="J14" s="38">
        <v>2</v>
      </c>
      <c r="K14" s="38">
        <v>2</v>
      </c>
      <c r="L14" s="38">
        <v>0</v>
      </c>
      <c r="M14" s="38">
        <v>3</v>
      </c>
      <c r="N14" s="38">
        <v>1600</v>
      </c>
      <c r="O14" s="38">
        <v>1440</v>
      </c>
      <c r="P14" s="38">
        <f t="shared" si="0"/>
        <v>3040</v>
      </c>
    </row>
    <row r="15" spans="2:16">
      <c r="B15" s="50" t="s">
        <v>110</v>
      </c>
      <c r="C15" s="38" t="s">
        <v>71</v>
      </c>
      <c r="D15" s="50" t="s">
        <v>66</v>
      </c>
      <c r="E15" s="38" t="s">
        <v>72</v>
      </c>
      <c r="F15" s="50" t="s">
        <v>77</v>
      </c>
      <c r="G15" s="50" t="s">
        <v>76</v>
      </c>
      <c r="H15" s="38">
        <v>0</v>
      </c>
      <c r="I15" s="38">
        <v>1</v>
      </c>
      <c r="J15" s="38">
        <v>0</v>
      </c>
      <c r="K15" s="38">
        <v>2</v>
      </c>
      <c r="L15" s="38">
        <v>1</v>
      </c>
      <c r="M15" s="38">
        <v>3</v>
      </c>
      <c r="N15" s="38">
        <v>2400</v>
      </c>
      <c r="O15" s="48">
        <v>1440</v>
      </c>
      <c r="P15" s="38">
        <f t="shared" si="0"/>
        <v>3840</v>
      </c>
    </row>
    <row r="16" spans="2:16">
      <c r="B16" s="50"/>
      <c r="C16" s="38"/>
      <c r="D16" s="50"/>
      <c r="E16" s="38"/>
      <c r="F16" s="50"/>
      <c r="G16" s="50"/>
      <c r="H16" s="38"/>
      <c r="I16" s="38"/>
      <c r="J16" s="38"/>
      <c r="K16" s="38"/>
      <c r="L16" s="38"/>
      <c r="M16" s="38"/>
      <c r="N16" s="38"/>
      <c r="O16" s="48"/>
      <c r="P16" s="38">
        <f t="shared" si="0"/>
        <v>0</v>
      </c>
    </row>
    <row r="17" spans="2:16">
      <c r="B17" s="50"/>
      <c r="C17" s="38"/>
      <c r="D17" s="50"/>
      <c r="E17" s="38"/>
      <c r="F17" s="50"/>
      <c r="G17" s="50"/>
      <c r="H17" s="38"/>
      <c r="I17" s="38"/>
      <c r="J17" s="38"/>
      <c r="K17" s="38"/>
      <c r="L17" s="38"/>
      <c r="M17" s="38"/>
      <c r="N17" s="38"/>
      <c r="O17" s="38"/>
      <c r="P17" s="38">
        <f t="shared" si="0"/>
        <v>0</v>
      </c>
    </row>
    <row r="18" spans="2:16">
      <c r="B18" s="50"/>
      <c r="C18" s="38"/>
      <c r="D18" s="50"/>
      <c r="E18" s="38"/>
      <c r="F18" s="50"/>
      <c r="G18" s="50"/>
      <c r="H18" s="38"/>
      <c r="I18" s="38"/>
      <c r="J18" s="38"/>
      <c r="K18" s="38"/>
      <c r="L18" s="38"/>
      <c r="M18" s="38"/>
      <c r="N18" s="38"/>
      <c r="O18" s="38"/>
      <c r="P18" s="38">
        <f t="shared" si="0"/>
        <v>0</v>
      </c>
    </row>
    <row r="19" spans="2:16">
      <c r="B19" s="50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>
        <f t="shared" si="0"/>
        <v>0</v>
      </c>
    </row>
    <row r="20" spans="2:16"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>
        <f t="shared" si="0"/>
        <v>0</v>
      </c>
    </row>
    <row r="21" spans="2:16">
      <c r="B21" s="50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>
        <f t="shared" si="0"/>
        <v>0</v>
      </c>
    </row>
    <row r="22" spans="2:16"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>
        <f t="shared" si="0"/>
        <v>0</v>
      </c>
    </row>
    <row r="23" spans="2:16"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>
        <f t="shared" si="0"/>
        <v>0</v>
      </c>
    </row>
    <row r="24" spans="2:16"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>
        <f t="shared" si="0"/>
        <v>0</v>
      </c>
    </row>
    <row r="25" spans="2:16"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>
        <f t="shared" si="0"/>
        <v>0</v>
      </c>
    </row>
    <row r="26" spans="2:16"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>
        <f t="shared" si="0"/>
        <v>0</v>
      </c>
    </row>
    <row r="27" spans="2:16"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>
        <f t="shared" si="0"/>
        <v>0</v>
      </c>
    </row>
    <row r="28" spans="2:16"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>
        <f t="shared" si="0"/>
        <v>0</v>
      </c>
    </row>
    <row r="29" spans="2:16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>
        <f t="shared" si="0"/>
        <v>0</v>
      </c>
    </row>
    <row r="30" spans="2:16"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>
        <f t="shared" si="0"/>
        <v>0</v>
      </c>
    </row>
    <row r="31" spans="2:16"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>
        <f t="shared" si="0"/>
        <v>0</v>
      </c>
    </row>
    <row r="32" spans="2:16"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>
        <f t="shared" si="0"/>
        <v>0</v>
      </c>
    </row>
    <row r="33" spans="2:16"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>
        <f t="shared" si="0"/>
        <v>0</v>
      </c>
    </row>
  </sheetData>
  <mergeCells count="1"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36"/>
  <sheetViews>
    <sheetView zoomScale="65" zoomScaleNormal="25" workbookViewId="0">
      <selection activeCell="G15" sqref="G15"/>
    </sheetView>
  </sheetViews>
  <sheetFormatPr baseColWidth="10" defaultColWidth="8.83203125" defaultRowHeight="15"/>
  <cols>
    <col min="2" max="2" width="25.5" customWidth="1"/>
    <col min="3" max="3" width="11.1640625" customWidth="1"/>
    <col min="4" max="4" width="46.5" customWidth="1"/>
    <col min="6" max="6" width="40.5" bestFit="1" customWidth="1"/>
    <col min="7" max="7" width="34.33203125" bestFit="1" customWidth="1"/>
    <col min="9" max="9" width="12" bestFit="1" customWidth="1"/>
  </cols>
  <sheetData>
    <row r="1" spans="2:9" ht="16" thickBot="1"/>
    <row r="2" spans="2:9" ht="20" thickBot="1">
      <c r="B2" s="81" t="s">
        <v>42</v>
      </c>
      <c r="C2" s="82"/>
      <c r="D2" s="43">
        <f>SUM(I5:I36)</f>
        <v>515700</v>
      </c>
    </row>
    <row r="4" spans="2:9" ht="32">
      <c r="B4" s="41" t="s">
        <v>50</v>
      </c>
      <c r="C4" s="41" t="s">
        <v>43</v>
      </c>
      <c r="D4" s="41" t="s">
        <v>44</v>
      </c>
      <c r="E4" s="40" t="s">
        <v>45</v>
      </c>
      <c r="F4" s="40" t="s">
        <v>46</v>
      </c>
      <c r="G4" s="40" t="s">
        <v>48</v>
      </c>
      <c r="H4" s="40" t="s">
        <v>47</v>
      </c>
      <c r="I4" s="42" t="s">
        <v>49</v>
      </c>
    </row>
    <row r="5" spans="2:9" ht="16">
      <c r="B5" s="38" t="s">
        <v>111</v>
      </c>
      <c r="C5" s="38" t="s">
        <v>61</v>
      </c>
      <c r="D5" s="84" t="s">
        <v>67</v>
      </c>
      <c r="E5" s="38" t="s">
        <v>68</v>
      </c>
      <c r="F5" s="86" t="s">
        <v>112</v>
      </c>
      <c r="G5" s="38">
        <v>1200</v>
      </c>
      <c r="H5" s="38">
        <v>30</v>
      </c>
      <c r="I5" s="38">
        <f t="shared" ref="I5:I36" si="0">G5*H5</f>
        <v>36000</v>
      </c>
    </row>
    <row r="6" spans="2:9" ht="16">
      <c r="B6" s="39" t="s">
        <v>124</v>
      </c>
      <c r="C6" s="39" t="s">
        <v>71</v>
      </c>
      <c r="D6" s="84" t="s">
        <v>66</v>
      </c>
      <c r="E6" s="39" t="s">
        <v>72</v>
      </c>
      <c r="F6" s="86" t="s">
        <v>112</v>
      </c>
      <c r="G6" s="39">
        <v>1000</v>
      </c>
      <c r="H6" s="39">
        <v>25</v>
      </c>
      <c r="I6" s="39">
        <f t="shared" si="0"/>
        <v>25000</v>
      </c>
    </row>
    <row r="7" spans="2:9" ht="16">
      <c r="B7" s="39" t="s">
        <v>125</v>
      </c>
      <c r="C7" s="39" t="s">
        <v>95</v>
      </c>
      <c r="D7" s="84" t="s">
        <v>100</v>
      </c>
      <c r="E7" s="39" t="s">
        <v>103</v>
      </c>
      <c r="F7" s="86" t="s">
        <v>73</v>
      </c>
      <c r="G7" s="39">
        <v>50</v>
      </c>
      <c r="H7" s="39">
        <v>20</v>
      </c>
      <c r="I7" s="39">
        <f t="shared" si="0"/>
        <v>1000</v>
      </c>
    </row>
    <row r="8" spans="2:9" ht="16">
      <c r="B8" s="53" t="s">
        <v>125</v>
      </c>
      <c r="C8" s="38" t="s">
        <v>96</v>
      </c>
      <c r="D8" s="85" t="s">
        <v>123</v>
      </c>
      <c r="E8" s="39" t="s">
        <v>69</v>
      </c>
      <c r="F8" s="86" t="s">
        <v>112</v>
      </c>
      <c r="G8" s="38">
        <v>1150</v>
      </c>
      <c r="H8" s="39">
        <v>40</v>
      </c>
      <c r="I8" s="38">
        <f t="shared" si="0"/>
        <v>46000</v>
      </c>
    </row>
    <row r="9" spans="2:9" ht="16">
      <c r="B9" s="53" t="s">
        <v>125</v>
      </c>
      <c r="C9" s="38" t="s">
        <v>113</v>
      </c>
      <c r="D9" s="84" t="s">
        <v>98</v>
      </c>
      <c r="E9" s="38" t="s">
        <v>68</v>
      </c>
      <c r="F9" s="86" t="s">
        <v>114</v>
      </c>
      <c r="G9" s="38">
        <v>1000</v>
      </c>
      <c r="H9" s="38">
        <v>15</v>
      </c>
      <c r="I9" s="38">
        <f t="shared" si="0"/>
        <v>15000</v>
      </c>
    </row>
    <row r="10" spans="2:9" ht="16">
      <c r="B10" s="53" t="s">
        <v>125</v>
      </c>
      <c r="C10" s="47" t="s">
        <v>71</v>
      </c>
      <c r="D10" s="84" t="s">
        <v>66</v>
      </c>
      <c r="E10" s="47" t="s">
        <v>72</v>
      </c>
      <c r="F10" s="86" t="s">
        <v>70</v>
      </c>
      <c r="G10" s="38">
        <v>5</v>
      </c>
      <c r="H10" s="38">
        <v>140</v>
      </c>
      <c r="I10" s="38">
        <f t="shared" si="0"/>
        <v>700</v>
      </c>
    </row>
    <row r="11" spans="2:9" ht="16">
      <c r="B11" s="53" t="s">
        <v>125</v>
      </c>
      <c r="C11" s="38" t="s">
        <v>61</v>
      </c>
      <c r="D11" s="84" t="s">
        <v>67</v>
      </c>
      <c r="E11" s="38" t="s">
        <v>68</v>
      </c>
      <c r="F11" s="86" t="s">
        <v>115</v>
      </c>
      <c r="G11" s="38">
        <v>850</v>
      </c>
      <c r="H11" s="38">
        <v>40</v>
      </c>
      <c r="I11" s="38">
        <f t="shared" si="0"/>
        <v>34000</v>
      </c>
    </row>
    <row r="12" spans="2:9" ht="16">
      <c r="B12" s="53" t="s">
        <v>125</v>
      </c>
      <c r="C12" s="47" t="s">
        <v>61</v>
      </c>
      <c r="D12" s="84" t="s">
        <v>67</v>
      </c>
      <c r="E12" s="47" t="s">
        <v>68</v>
      </c>
      <c r="F12" s="86" t="s">
        <v>116</v>
      </c>
      <c r="G12" s="47">
        <v>1100</v>
      </c>
      <c r="H12" s="47">
        <v>40</v>
      </c>
      <c r="I12" s="47">
        <f t="shared" si="0"/>
        <v>44000</v>
      </c>
    </row>
    <row r="13" spans="2:9" ht="16">
      <c r="B13" s="53" t="s">
        <v>125</v>
      </c>
      <c r="C13" s="38" t="s">
        <v>97</v>
      </c>
      <c r="D13" s="83" t="s">
        <v>122</v>
      </c>
      <c r="E13" s="38" t="s">
        <v>104</v>
      </c>
      <c r="F13" s="86" t="s">
        <v>112</v>
      </c>
      <c r="G13" s="38">
        <v>1200</v>
      </c>
      <c r="H13" s="38">
        <v>40</v>
      </c>
      <c r="I13" s="38">
        <f t="shared" si="0"/>
        <v>48000</v>
      </c>
    </row>
    <row r="14" spans="2:9" ht="16">
      <c r="B14" s="53" t="s">
        <v>125</v>
      </c>
      <c r="C14" s="38" t="s">
        <v>117</v>
      </c>
      <c r="D14" s="84" t="s">
        <v>99</v>
      </c>
      <c r="E14" s="38" t="s">
        <v>63</v>
      </c>
      <c r="F14" s="86" t="s">
        <v>118</v>
      </c>
      <c r="G14" s="38">
        <v>4400</v>
      </c>
      <c r="H14" s="38">
        <v>20</v>
      </c>
      <c r="I14" s="38">
        <f t="shared" si="0"/>
        <v>88000</v>
      </c>
    </row>
    <row r="15" spans="2:9" ht="16">
      <c r="B15" s="53" t="s">
        <v>125</v>
      </c>
      <c r="C15" s="38" t="s">
        <v>96</v>
      </c>
      <c r="D15" s="85" t="s">
        <v>123</v>
      </c>
      <c r="E15" s="38" t="s">
        <v>96</v>
      </c>
      <c r="F15" s="86" t="s">
        <v>118</v>
      </c>
      <c r="G15" s="38">
        <v>4000</v>
      </c>
      <c r="H15" s="38">
        <v>10</v>
      </c>
      <c r="I15" s="38">
        <f t="shared" si="0"/>
        <v>40000</v>
      </c>
    </row>
    <row r="16" spans="2:9" ht="16">
      <c r="B16" s="53" t="s">
        <v>125</v>
      </c>
      <c r="C16" s="38" t="s">
        <v>98</v>
      </c>
      <c r="D16" s="84" t="s">
        <v>119</v>
      </c>
      <c r="E16" s="38" t="s">
        <v>68</v>
      </c>
      <c r="F16" s="86" t="s">
        <v>120</v>
      </c>
      <c r="G16" s="38">
        <v>300</v>
      </c>
      <c r="H16" s="38">
        <v>10</v>
      </c>
      <c r="I16" s="38">
        <f t="shared" si="0"/>
        <v>3000</v>
      </c>
    </row>
    <row r="17" spans="2:9" ht="16">
      <c r="B17" s="53" t="s">
        <v>125</v>
      </c>
      <c r="C17" s="38" t="s">
        <v>71</v>
      </c>
      <c r="D17" s="84" t="s">
        <v>66</v>
      </c>
      <c r="E17" s="38" t="s">
        <v>72</v>
      </c>
      <c r="F17" s="87" t="s">
        <v>78</v>
      </c>
      <c r="G17" s="38">
        <v>200</v>
      </c>
      <c r="H17" s="38">
        <v>45</v>
      </c>
      <c r="I17" s="38">
        <f t="shared" si="0"/>
        <v>9000</v>
      </c>
    </row>
    <row r="18" spans="2:9" ht="16">
      <c r="B18" s="54" t="s">
        <v>121</v>
      </c>
      <c r="C18" s="38" t="s">
        <v>97</v>
      </c>
      <c r="D18" s="83" t="s">
        <v>122</v>
      </c>
      <c r="E18" s="38" t="s">
        <v>104</v>
      </c>
      <c r="F18" s="86" t="s">
        <v>112</v>
      </c>
      <c r="G18" s="38">
        <v>1100</v>
      </c>
      <c r="H18" s="38">
        <v>30</v>
      </c>
      <c r="I18" s="38">
        <f t="shared" si="0"/>
        <v>33000</v>
      </c>
    </row>
    <row r="19" spans="2:9" ht="16">
      <c r="B19" s="54" t="s">
        <v>121</v>
      </c>
      <c r="C19" s="38" t="s">
        <v>71</v>
      </c>
      <c r="D19" s="84" t="s">
        <v>66</v>
      </c>
      <c r="E19" s="38" t="s">
        <v>72</v>
      </c>
      <c r="F19" s="86" t="s">
        <v>112</v>
      </c>
      <c r="G19" s="38">
        <v>1100</v>
      </c>
      <c r="H19" s="38">
        <v>30</v>
      </c>
      <c r="I19" s="38">
        <f t="shared" si="0"/>
        <v>33000</v>
      </c>
    </row>
    <row r="20" spans="2:9" ht="16">
      <c r="B20" s="54" t="s">
        <v>121</v>
      </c>
      <c r="C20" s="50" t="s">
        <v>95</v>
      </c>
      <c r="D20" s="84" t="s">
        <v>100</v>
      </c>
      <c r="E20" s="38" t="s">
        <v>103</v>
      </c>
      <c r="F20" s="86" t="s">
        <v>112</v>
      </c>
      <c r="G20" s="38">
        <v>1200</v>
      </c>
      <c r="H20" s="38">
        <v>30</v>
      </c>
      <c r="I20" s="38">
        <f t="shared" si="0"/>
        <v>36000</v>
      </c>
    </row>
    <row r="21" spans="2:9" ht="16">
      <c r="B21" s="54" t="s">
        <v>121</v>
      </c>
      <c r="C21" s="38" t="s">
        <v>113</v>
      </c>
      <c r="D21" s="84" t="s">
        <v>98</v>
      </c>
      <c r="E21" s="38" t="s">
        <v>68</v>
      </c>
      <c r="F21" s="86" t="s">
        <v>112</v>
      </c>
      <c r="G21" s="38">
        <v>800</v>
      </c>
      <c r="H21" s="38">
        <v>30</v>
      </c>
      <c r="I21" s="38">
        <f t="shared" si="0"/>
        <v>24000</v>
      </c>
    </row>
    <row r="22" spans="2:9">
      <c r="B22" s="54"/>
      <c r="C22" s="38"/>
      <c r="D22" s="38"/>
      <c r="E22" s="38"/>
      <c r="F22" s="38"/>
      <c r="G22" s="38"/>
      <c r="H22" s="38"/>
      <c r="I22" s="38">
        <f t="shared" si="0"/>
        <v>0</v>
      </c>
    </row>
    <row r="23" spans="2:9">
      <c r="B23" s="38"/>
      <c r="C23" s="38"/>
      <c r="D23" s="38"/>
      <c r="E23" s="38"/>
      <c r="F23" s="38"/>
      <c r="G23" s="38"/>
      <c r="H23" s="38"/>
      <c r="I23" s="38">
        <f t="shared" si="0"/>
        <v>0</v>
      </c>
    </row>
    <row r="24" spans="2:9">
      <c r="B24" s="38"/>
      <c r="C24" s="38"/>
      <c r="D24" s="38"/>
      <c r="E24" s="38"/>
      <c r="F24" s="38"/>
      <c r="G24" s="38"/>
      <c r="H24" s="38"/>
      <c r="I24" s="38">
        <f t="shared" si="0"/>
        <v>0</v>
      </c>
    </row>
    <row r="25" spans="2:9">
      <c r="B25" s="38"/>
      <c r="C25" s="38"/>
      <c r="D25" s="38"/>
      <c r="E25" s="38"/>
      <c r="F25" s="38"/>
      <c r="G25" s="38"/>
      <c r="H25" s="38"/>
      <c r="I25" s="38">
        <f t="shared" si="0"/>
        <v>0</v>
      </c>
    </row>
    <row r="26" spans="2:9">
      <c r="B26" s="38"/>
      <c r="C26" s="38"/>
      <c r="D26" s="38"/>
      <c r="E26" s="38"/>
      <c r="F26" s="38"/>
      <c r="G26" s="38"/>
      <c r="H26" s="38"/>
      <c r="I26" s="38">
        <f t="shared" si="0"/>
        <v>0</v>
      </c>
    </row>
    <row r="27" spans="2:9">
      <c r="B27" s="38"/>
      <c r="C27" s="38"/>
      <c r="D27" s="38"/>
      <c r="E27" s="38"/>
      <c r="F27" s="38"/>
      <c r="G27" s="38"/>
      <c r="H27" s="38"/>
      <c r="I27" s="38">
        <f t="shared" si="0"/>
        <v>0</v>
      </c>
    </row>
    <row r="28" spans="2:9">
      <c r="B28" s="38"/>
      <c r="C28" s="38"/>
      <c r="D28" s="38"/>
      <c r="E28" s="38"/>
      <c r="F28" s="38"/>
      <c r="G28" s="38"/>
      <c r="H28" s="38"/>
      <c r="I28" s="38">
        <f t="shared" si="0"/>
        <v>0</v>
      </c>
    </row>
    <row r="29" spans="2:9">
      <c r="B29" s="38"/>
      <c r="C29" s="38"/>
      <c r="D29" s="38"/>
      <c r="E29" s="38"/>
      <c r="F29" s="38"/>
      <c r="G29" s="38"/>
      <c r="H29" s="38"/>
      <c r="I29" s="38">
        <f t="shared" si="0"/>
        <v>0</v>
      </c>
    </row>
    <row r="30" spans="2:9">
      <c r="B30" s="38"/>
      <c r="C30" s="38"/>
      <c r="D30" s="38"/>
      <c r="E30" s="38"/>
      <c r="F30" s="38"/>
      <c r="G30" s="38"/>
      <c r="H30" s="38"/>
      <c r="I30" s="38">
        <f t="shared" si="0"/>
        <v>0</v>
      </c>
    </row>
    <row r="31" spans="2:9">
      <c r="B31" s="38"/>
      <c r="C31" s="38"/>
      <c r="D31" s="38"/>
      <c r="E31" s="38"/>
      <c r="F31" s="38"/>
      <c r="G31" s="38"/>
      <c r="H31" s="38"/>
      <c r="I31" s="38">
        <f t="shared" si="0"/>
        <v>0</v>
      </c>
    </row>
    <row r="32" spans="2:9">
      <c r="B32" s="38"/>
      <c r="C32" s="38"/>
      <c r="D32" s="38"/>
      <c r="E32" s="38"/>
      <c r="F32" s="38"/>
      <c r="G32" s="38"/>
      <c r="H32" s="38"/>
      <c r="I32" s="38">
        <f t="shared" si="0"/>
        <v>0</v>
      </c>
    </row>
    <row r="33" spans="2:9">
      <c r="B33" s="38"/>
      <c r="C33" s="38"/>
      <c r="D33" s="38"/>
      <c r="E33" s="38"/>
      <c r="F33" s="38"/>
      <c r="G33" s="38"/>
      <c r="H33" s="38"/>
      <c r="I33" s="38">
        <f t="shared" si="0"/>
        <v>0</v>
      </c>
    </row>
    <row r="34" spans="2:9">
      <c r="B34" s="38"/>
      <c r="C34" s="38"/>
      <c r="D34" s="38"/>
      <c r="E34" s="38"/>
      <c r="F34" s="38"/>
      <c r="G34" s="38"/>
      <c r="H34" s="38"/>
      <c r="I34" s="38">
        <f t="shared" si="0"/>
        <v>0</v>
      </c>
    </row>
    <row r="35" spans="2:9">
      <c r="B35" s="38"/>
      <c r="C35" s="38"/>
      <c r="D35" s="38"/>
      <c r="E35" s="38"/>
      <c r="F35" s="38"/>
      <c r="G35" s="38"/>
      <c r="H35" s="38"/>
      <c r="I35" s="38">
        <f t="shared" si="0"/>
        <v>0</v>
      </c>
    </row>
    <row r="36" spans="2:9">
      <c r="B36" s="38"/>
      <c r="C36" s="38"/>
      <c r="D36" s="38"/>
      <c r="E36" s="38"/>
      <c r="F36" s="38"/>
      <c r="G36" s="38"/>
      <c r="H36" s="38"/>
      <c r="I36" s="38">
        <f t="shared" si="0"/>
        <v>0</v>
      </c>
    </row>
  </sheetData>
  <mergeCells count="1">
    <mergeCell ref="B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38632-8991-497A-A4ED-8B1346B51BB4}">
  <dimension ref="B1:I34"/>
  <sheetViews>
    <sheetView tabSelected="1" workbookViewId="0">
      <selection activeCell="H7" sqref="H7"/>
    </sheetView>
  </sheetViews>
  <sheetFormatPr baseColWidth="10" defaultColWidth="8.83203125" defaultRowHeight="15"/>
  <cols>
    <col min="2" max="2" width="18.5" customWidth="1"/>
    <col min="3" max="3" width="10.1640625" customWidth="1"/>
    <col min="4" max="4" width="40.83203125" bestFit="1" customWidth="1"/>
    <col min="6" max="6" width="38.83203125" bestFit="1" customWidth="1"/>
    <col min="7" max="7" width="34.33203125" bestFit="1" customWidth="1"/>
    <col min="9" max="9" width="12" bestFit="1" customWidth="1"/>
  </cols>
  <sheetData>
    <row r="1" spans="2:9" ht="16" thickBot="1"/>
    <row r="2" spans="2:9" ht="20" thickBot="1">
      <c r="B2" s="81" t="s">
        <v>42</v>
      </c>
      <c r="C2" s="82"/>
      <c r="D2" s="43">
        <f>SUM(I5:I34)</f>
        <v>13000</v>
      </c>
    </row>
    <row r="4" spans="2:9" ht="48">
      <c r="B4" s="41" t="s">
        <v>50</v>
      </c>
      <c r="C4" s="41" t="s">
        <v>43</v>
      </c>
      <c r="D4" s="41" t="s">
        <v>44</v>
      </c>
      <c r="E4" s="40" t="s">
        <v>45</v>
      </c>
      <c r="F4" s="40" t="s">
        <v>46</v>
      </c>
      <c r="G4" s="40" t="s">
        <v>48</v>
      </c>
      <c r="H4" s="40" t="s">
        <v>47</v>
      </c>
      <c r="I4" s="42" t="s">
        <v>49</v>
      </c>
    </row>
    <row r="5" spans="2:9">
      <c r="B5" s="38" t="s">
        <v>74</v>
      </c>
      <c r="C5" s="38" t="s">
        <v>61</v>
      </c>
      <c r="D5" s="38" t="s">
        <v>67</v>
      </c>
      <c r="E5" s="38" t="s">
        <v>68</v>
      </c>
      <c r="F5" s="38" t="s">
        <v>75</v>
      </c>
      <c r="G5" s="38">
        <v>300</v>
      </c>
      <c r="H5" s="38">
        <v>10</v>
      </c>
      <c r="I5" s="38">
        <f t="shared" ref="I5:I34" si="0">G5*H5</f>
        <v>3000</v>
      </c>
    </row>
    <row r="6" spans="2:9">
      <c r="B6" s="38" t="s">
        <v>127</v>
      </c>
      <c r="C6" s="38" t="s">
        <v>95</v>
      </c>
      <c r="D6" s="38" t="s">
        <v>100</v>
      </c>
      <c r="E6" s="38" t="s">
        <v>103</v>
      </c>
      <c r="F6" s="38" t="s">
        <v>126</v>
      </c>
      <c r="G6" s="38">
        <v>500</v>
      </c>
      <c r="H6" s="38">
        <v>20</v>
      </c>
      <c r="I6" s="38">
        <f t="shared" si="0"/>
        <v>10000</v>
      </c>
    </row>
    <row r="7" spans="2:9">
      <c r="B7" s="38"/>
      <c r="C7" s="38"/>
      <c r="D7" s="38"/>
      <c r="E7" s="38"/>
      <c r="F7" s="38"/>
      <c r="G7" s="38"/>
      <c r="H7" s="38"/>
      <c r="I7" s="38">
        <f t="shared" si="0"/>
        <v>0</v>
      </c>
    </row>
    <row r="8" spans="2:9">
      <c r="B8" s="38"/>
      <c r="C8" s="38"/>
      <c r="D8" s="38"/>
      <c r="E8" s="38"/>
      <c r="F8" s="38"/>
      <c r="G8" s="38"/>
      <c r="H8" s="38"/>
      <c r="I8" s="38">
        <f t="shared" si="0"/>
        <v>0</v>
      </c>
    </row>
    <row r="9" spans="2:9">
      <c r="B9" s="38"/>
      <c r="C9" s="38"/>
      <c r="D9" s="38"/>
      <c r="E9" s="38"/>
      <c r="F9" s="38"/>
      <c r="G9" s="38"/>
      <c r="H9" s="38"/>
      <c r="I9" s="38">
        <f t="shared" si="0"/>
        <v>0</v>
      </c>
    </row>
    <row r="10" spans="2:9">
      <c r="B10" s="38"/>
      <c r="C10" s="38"/>
      <c r="D10" s="38"/>
      <c r="E10" s="38"/>
      <c r="F10" s="38"/>
      <c r="G10" s="38"/>
      <c r="H10" s="38"/>
      <c r="I10" s="38">
        <f t="shared" si="0"/>
        <v>0</v>
      </c>
    </row>
    <row r="11" spans="2:9">
      <c r="B11" s="38"/>
      <c r="C11" s="38"/>
      <c r="D11" s="38"/>
      <c r="E11" s="38"/>
      <c r="F11" s="38"/>
      <c r="G11" s="38"/>
      <c r="H11" s="38"/>
      <c r="I11" s="38">
        <f t="shared" si="0"/>
        <v>0</v>
      </c>
    </row>
    <row r="12" spans="2:9">
      <c r="B12" s="38"/>
      <c r="C12" s="38"/>
      <c r="D12" s="38"/>
      <c r="E12" s="38"/>
      <c r="F12" s="38"/>
      <c r="G12" s="38"/>
      <c r="H12" s="38"/>
      <c r="I12" s="38">
        <f t="shared" si="0"/>
        <v>0</v>
      </c>
    </row>
    <row r="13" spans="2:9">
      <c r="B13" s="38"/>
      <c r="C13" s="38"/>
      <c r="D13" s="38"/>
      <c r="E13" s="38"/>
      <c r="F13" s="38"/>
      <c r="G13" s="38"/>
      <c r="H13" s="38"/>
      <c r="I13" s="38">
        <f t="shared" si="0"/>
        <v>0</v>
      </c>
    </row>
    <row r="14" spans="2:9">
      <c r="B14" s="38"/>
      <c r="C14" s="38"/>
      <c r="D14" s="38"/>
      <c r="E14" s="38"/>
      <c r="F14" s="38"/>
      <c r="G14" s="38"/>
      <c r="H14" s="38"/>
      <c r="I14" s="38">
        <f t="shared" si="0"/>
        <v>0</v>
      </c>
    </row>
    <row r="15" spans="2:9">
      <c r="B15" s="38"/>
      <c r="C15" s="38"/>
      <c r="D15" s="38"/>
      <c r="E15" s="38"/>
      <c r="F15" s="38"/>
      <c r="G15" s="38"/>
      <c r="H15" s="38"/>
      <c r="I15" s="38">
        <f t="shared" si="0"/>
        <v>0</v>
      </c>
    </row>
    <row r="16" spans="2:9">
      <c r="B16" s="38"/>
      <c r="C16" s="38"/>
      <c r="D16" s="38"/>
      <c r="E16" s="38"/>
      <c r="F16" s="38"/>
      <c r="G16" s="38"/>
      <c r="H16" s="38"/>
      <c r="I16" s="38">
        <f t="shared" si="0"/>
        <v>0</v>
      </c>
    </row>
    <row r="17" spans="2:9">
      <c r="B17" s="38"/>
      <c r="C17" s="38"/>
      <c r="D17" s="38"/>
      <c r="E17" s="38"/>
      <c r="F17" s="38"/>
      <c r="G17" s="38"/>
      <c r="H17" s="38"/>
      <c r="I17" s="38">
        <f t="shared" si="0"/>
        <v>0</v>
      </c>
    </row>
    <row r="18" spans="2:9">
      <c r="B18" s="38"/>
      <c r="C18" s="38"/>
      <c r="D18" s="38"/>
      <c r="E18" s="38"/>
      <c r="F18" s="38"/>
      <c r="G18" s="38"/>
      <c r="H18" s="38"/>
      <c r="I18" s="38">
        <f t="shared" si="0"/>
        <v>0</v>
      </c>
    </row>
    <row r="19" spans="2:9">
      <c r="B19" s="38"/>
      <c r="C19" s="38"/>
      <c r="D19" s="38"/>
      <c r="E19" s="38"/>
      <c r="F19" s="38"/>
      <c r="G19" s="38"/>
      <c r="H19" s="38"/>
      <c r="I19" s="38">
        <f t="shared" si="0"/>
        <v>0</v>
      </c>
    </row>
    <row r="20" spans="2:9">
      <c r="B20" s="38"/>
      <c r="C20" s="38"/>
      <c r="D20" s="38"/>
      <c r="E20" s="38"/>
      <c r="F20" s="38"/>
      <c r="G20" s="38"/>
      <c r="H20" s="38"/>
      <c r="I20" s="38">
        <f t="shared" si="0"/>
        <v>0</v>
      </c>
    </row>
    <row r="21" spans="2:9">
      <c r="B21" s="38"/>
      <c r="C21" s="38"/>
      <c r="D21" s="38"/>
      <c r="E21" s="38"/>
      <c r="F21" s="38"/>
      <c r="G21" s="38"/>
      <c r="H21" s="38"/>
      <c r="I21" s="38">
        <f t="shared" si="0"/>
        <v>0</v>
      </c>
    </row>
    <row r="22" spans="2:9">
      <c r="B22" s="38"/>
      <c r="C22" s="38"/>
      <c r="D22" s="38"/>
      <c r="E22" s="38"/>
      <c r="F22" s="38"/>
      <c r="G22" s="38"/>
      <c r="H22" s="38"/>
      <c r="I22" s="38">
        <f t="shared" si="0"/>
        <v>0</v>
      </c>
    </row>
    <row r="23" spans="2:9">
      <c r="B23" s="38"/>
      <c r="C23" s="38"/>
      <c r="D23" s="38"/>
      <c r="E23" s="38"/>
      <c r="F23" s="38"/>
      <c r="G23" s="38"/>
      <c r="H23" s="38"/>
      <c r="I23" s="38">
        <f t="shared" si="0"/>
        <v>0</v>
      </c>
    </row>
    <row r="24" spans="2:9">
      <c r="B24" s="38"/>
      <c r="C24" s="38"/>
      <c r="D24" s="38"/>
      <c r="E24" s="38"/>
      <c r="F24" s="38"/>
      <c r="G24" s="38"/>
      <c r="H24" s="38"/>
      <c r="I24" s="38">
        <f t="shared" si="0"/>
        <v>0</v>
      </c>
    </row>
    <row r="25" spans="2:9">
      <c r="B25" s="38"/>
      <c r="C25" s="38"/>
      <c r="D25" s="38"/>
      <c r="E25" s="38"/>
      <c r="F25" s="38"/>
      <c r="G25" s="38"/>
      <c r="H25" s="38"/>
      <c r="I25" s="38">
        <f t="shared" si="0"/>
        <v>0</v>
      </c>
    </row>
    <row r="26" spans="2:9">
      <c r="B26" s="38"/>
      <c r="C26" s="38"/>
      <c r="D26" s="38"/>
      <c r="E26" s="38"/>
      <c r="F26" s="38"/>
      <c r="G26" s="38"/>
      <c r="H26" s="38"/>
      <c r="I26" s="38">
        <f t="shared" si="0"/>
        <v>0</v>
      </c>
    </row>
    <row r="27" spans="2:9">
      <c r="B27" s="38"/>
      <c r="C27" s="38"/>
      <c r="D27" s="38"/>
      <c r="E27" s="38"/>
      <c r="F27" s="38"/>
      <c r="G27" s="38"/>
      <c r="H27" s="38"/>
      <c r="I27" s="38">
        <f t="shared" si="0"/>
        <v>0</v>
      </c>
    </row>
    <row r="28" spans="2:9">
      <c r="B28" s="38"/>
      <c r="C28" s="38"/>
      <c r="D28" s="38"/>
      <c r="E28" s="38"/>
      <c r="F28" s="38"/>
      <c r="G28" s="38"/>
      <c r="H28" s="38"/>
      <c r="I28" s="38">
        <f t="shared" si="0"/>
        <v>0</v>
      </c>
    </row>
    <row r="29" spans="2:9">
      <c r="B29" s="38"/>
      <c r="C29" s="38"/>
      <c r="D29" s="38"/>
      <c r="E29" s="38"/>
      <c r="F29" s="38"/>
      <c r="G29" s="38"/>
      <c r="H29" s="38"/>
      <c r="I29" s="38">
        <f t="shared" si="0"/>
        <v>0</v>
      </c>
    </row>
    <row r="30" spans="2:9">
      <c r="B30" s="38"/>
      <c r="C30" s="38"/>
      <c r="D30" s="38"/>
      <c r="E30" s="38"/>
      <c r="F30" s="38"/>
      <c r="G30" s="38"/>
      <c r="H30" s="38"/>
      <c r="I30" s="38">
        <f t="shared" si="0"/>
        <v>0</v>
      </c>
    </row>
    <row r="31" spans="2:9">
      <c r="B31" s="38"/>
      <c r="C31" s="38"/>
      <c r="D31" s="38"/>
      <c r="E31" s="38"/>
      <c r="F31" s="38"/>
      <c r="G31" s="38"/>
      <c r="H31" s="38"/>
      <c r="I31" s="38">
        <f t="shared" si="0"/>
        <v>0</v>
      </c>
    </row>
    <row r="32" spans="2:9">
      <c r="B32" s="38"/>
      <c r="C32" s="38"/>
      <c r="D32" s="38"/>
      <c r="E32" s="38"/>
      <c r="F32" s="38"/>
      <c r="G32" s="38"/>
      <c r="H32" s="38"/>
      <c r="I32" s="38">
        <f t="shared" si="0"/>
        <v>0</v>
      </c>
    </row>
    <row r="33" spans="2:9">
      <c r="B33" s="38"/>
      <c r="C33" s="38"/>
      <c r="D33" s="38"/>
      <c r="E33" s="38"/>
      <c r="F33" s="38"/>
      <c r="G33" s="38"/>
      <c r="H33" s="38"/>
      <c r="I33" s="38">
        <f t="shared" si="0"/>
        <v>0</v>
      </c>
    </row>
    <row r="34" spans="2:9">
      <c r="B34" s="38"/>
      <c r="C34" s="38"/>
      <c r="D34" s="38"/>
      <c r="E34" s="38"/>
      <c r="F34" s="38"/>
      <c r="G34" s="38"/>
      <c r="H34" s="38"/>
      <c r="I34" s="38">
        <f t="shared" si="0"/>
        <v>0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Detaljno budzet</vt:lpstr>
      <vt:lpstr>Travel - budzet</vt:lpstr>
      <vt:lpstr>Equipment - budzet</vt:lpstr>
      <vt:lpstr>Subcontracting - budzet</vt:lpstr>
    </vt:vector>
  </TitlesOfParts>
  <Company>www.horizon2020.info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Kampen, Jan-Joris van</dc:creator>
  <cp:lastModifiedBy>Ања Пантовић</cp:lastModifiedBy>
  <cp:lastPrinted>2014-02-27T12:39:20Z</cp:lastPrinted>
  <dcterms:created xsi:type="dcterms:W3CDTF">2014-02-27T12:37:14Z</dcterms:created>
  <dcterms:modified xsi:type="dcterms:W3CDTF">2020-04-12T02:12:46Z</dcterms:modified>
</cp:coreProperties>
</file>