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5. Quynh\16. Cookstove VMR0006\2. Campuchia\16. Monitoring lan 1\8. Response\1st\"/>
    </mc:Choice>
  </mc:AlternateContent>
  <bookViews>
    <workbookView xWindow="0" yWindow="0" windowWidth="13770" windowHeight="11475" tabRatio="837" activeTab="1"/>
  </bookViews>
  <sheets>
    <sheet name="Project details" sheetId="11" r:id="rId1"/>
    <sheet name="sample size calculation" sheetId="46" r:id="rId2"/>
    <sheet name="Survey Summery" sheetId="48" r:id="rId3"/>
    <sheet name="ER calculations" sheetId="41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Fbl_fuel3_y1">#REF!</definedName>
    <definedName name="AFbl_fuel3_y10" localSheetId="3">#REF!</definedName>
    <definedName name="AFbl_fuel3_y10">#REF!</definedName>
    <definedName name="AFbl_fuel3_y2" localSheetId="3">#REF!</definedName>
    <definedName name="AFbl_fuel3_y2">#REF!</definedName>
    <definedName name="AFbl_fuel3_y4">#REF!</definedName>
    <definedName name="AFbl_fuel3_y5">#REF!</definedName>
    <definedName name="AFbl_fuel3_y6">#REF!</definedName>
    <definedName name="AFbl_fuel3_y8">#REF!</definedName>
    <definedName name="AFbl_fuel3_y9">#REF!</definedName>
    <definedName name="AFbl_y2_fuel2">#REF!</definedName>
    <definedName name="AFlb_fuel3_1styr">#REF!</definedName>
    <definedName name="AFpj_fuel1_10thyr">[1]Parameters!$J$163</definedName>
    <definedName name="AFpj_fuel1_1styr">[1]Parameters!$J$154</definedName>
    <definedName name="AFpj_fuel1_3rdyr">[1]Parameters!$J$156</definedName>
    <definedName name="AFpj_fuel1_4thyr">[1]Parameters!$J$157</definedName>
    <definedName name="AFpj_fuel1_5thyr">[1]Parameters!$J$158</definedName>
    <definedName name="AFpj_fuel1_7thyr">[1]Parameters!$J$160</definedName>
    <definedName name="AFpj_fuel1_8thyr">[1]Parameters!$J$161</definedName>
    <definedName name="AFpj_fuel1_9thyr">[1]Parameters!$J$162</definedName>
    <definedName name="AFpj_fuel2_1styr">[1]Parameters!$J$191</definedName>
    <definedName name="AFpj_fuel2_2ndyr">[1]Parameters!$J$192</definedName>
    <definedName name="AFpj_fuel2_3rdyr">[1]Parameters!$J$193</definedName>
    <definedName name="AFpj_fuel2_5thyr">[1]Parameters!$J$195</definedName>
    <definedName name="AFpj_fuel2_6thyr">[1]Parameters!$J$196</definedName>
    <definedName name="AFpj_fuel2_7thyr">[1]Parameters!$J$197</definedName>
    <definedName name="AFpj_fuel2_9thyr">[1]Parameters!$J$199</definedName>
    <definedName name="AFpj_fuel3_10thyr">[1]Parameters!$J$237</definedName>
    <definedName name="AFpj_fuel3_1styr">[1]Parameters!$J$228</definedName>
    <definedName name="AFpj_fuel3_3rdyr">[1]Parameters!$J$230</definedName>
    <definedName name="AFpj_fuel3_4thyr">[1]Parameters!$J$231</definedName>
    <definedName name="AFpj_fuel3_5thyr">[1]Parameters!$J$232</definedName>
    <definedName name="AFpj_fuel3_7thyr">[1]Parameters!$J$234</definedName>
    <definedName name="AFpj_fuel3_8thyr">[1]Parameters!$J$235</definedName>
    <definedName name="AFpj_fuel3_9thyr">[1]Parameters!$J$236</definedName>
    <definedName name="age0_1">#REF!</definedName>
    <definedName name="age1_2" localSheetId="3">#REF!</definedName>
    <definedName name="age1_2">#REF!</definedName>
    <definedName name="age2_3" localSheetId="3">#REF!</definedName>
    <definedName name="age2_3">#REF!</definedName>
    <definedName name="age4_5">#REF!</definedName>
    <definedName name="age5_6">#REF!</definedName>
    <definedName name="age6_7">#REF!</definedName>
    <definedName name="age8_9">#REF!</definedName>
    <definedName name="age9_10">#REF!</definedName>
    <definedName name="alpha">#REF!</definedName>
    <definedName name="Ave_nrb_bio2">'[1]HH Carbon Calculator'!$D$15</definedName>
    <definedName name="Ave_nrb_bio3">'[1]HH Carbon Calculator'!$D$16</definedName>
    <definedName name="Ave_sales_growth" localSheetId="3">#REF!</definedName>
    <definedName name="Ave_sales_growth">#REF!</definedName>
    <definedName name="Bbl_y1">#REF!</definedName>
    <definedName name="Bbl_y10" localSheetId="3">#REF!</definedName>
    <definedName name="Bbl_y10">#REF!</definedName>
    <definedName name="Bbl_y2">#REF!</definedName>
    <definedName name="Bbl_y4">#REF!</definedName>
    <definedName name="Bbl_y5">#REF!</definedName>
    <definedName name="Bbl_y6">#REF!</definedName>
    <definedName name="Bbl_y8">#REF!</definedName>
    <definedName name="Bbl_y9">#REF!</definedName>
    <definedName name="Carbon_price">'[1]HH Carbon Calculator'!#REF!</definedName>
    <definedName name="Confidence">#REF!</definedName>
    <definedName name="CumU1">'[1]HH Carbon Calculator'!$D$24</definedName>
    <definedName name="CumU10">'[1]HH Carbon Calculator'!$M$24</definedName>
    <definedName name="CumU3">'[1]HH Carbon Calculator'!$F$24</definedName>
    <definedName name="CumU4">'[1]HH Carbon Calculator'!$G$24</definedName>
    <definedName name="CumU5">'[1]HH Carbon Calculator'!$H$24</definedName>
    <definedName name="CumU6">'[1]HH Carbon Calculator'!$I$24</definedName>
    <definedName name="CumU8">'[1]HH Carbon Calculator'!$K$24</definedName>
    <definedName name="CumU9">'[1]HH Carbon Calculator'!$L$24</definedName>
    <definedName name="D" localSheetId="3">#REF!</definedName>
    <definedName name="D">#REF!</definedName>
    <definedName name="drate" localSheetId="3">#REF!</definedName>
    <definedName name="drate">#REF!</definedName>
    <definedName name="drate2" localSheetId="3">#REF!</definedName>
    <definedName name="drate2">#REF!</definedName>
    <definedName name="EF_af_co2_fuel1" localSheetId="3">#REF!</definedName>
    <definedName name="EF_af_co2_fuel1">#REF!</definedName>
    <definedName name="EF_CH4_bio2">'[1]HH Carbon Calculator'!$F$15</definedName>
    <definedName name="EF_CH4_bio3">'[1]HH Carbon Calculator'!$F$16</definedName>
    <definedName name="EF_CH4_fuel1">'[1]HH Carbon Calculator'!$F$17</definedName>
    <definedName name="EF_CH4_fuel3">'[1]HH Carbon Calculator'!$F$19</definedName>
    <definedName name="EF_co2_bio1">'[1]HH Carbon Calculator'!$E$14</definedName>
    <definedName name="EF_co2_bio2">'[1]HH Carbon Calculator'!$E$15</definedName>
    <definedName name="EF_co2_fuel1">'[1]HH Carbon Calculator'!$E$17</definedName>
    <definedName name="EF_co2_fuel2">'[1]HH Carbon Calculator'!$E$18</definedName>
    <definedName name="EF_co2_fuel3">'[1]HH Carbon Calculator'!$E$19</definedName>
    <definedName name="EF_N2O_bio2">'[1]HH Carbon Calculator'!$G$15</definedName>
    <definedName name="EF_N2O_bio3">'[1]HH Carbon Calculator'!$G$16</definedName>
    <definedName name="EF_N2O_fuel1">'[1]HH Carbon Calculator'!$G$17</definedName>
    <definedName name="EF_N2O_fuel2">'[1]HH Carbon Calculator'!$G$18</definedName>
    <definedName name="EF_N2O_fuel3">'[1]HH Carbon Calculator'!$G$19</definedName>
    <definedName name="EFaf_co2_fuel1" localSheetId="3">#REF!</definedName>
    <definedName name="EFaf_co2_fuel1">#REF!</definedName>
    <definedName name="EFaf_co2_fuel2" localSheetId="3">#REF!</definedName>
    <definedName name="EFaf_co2_fuel2">#REF!</definedName>
    <definedName name="EFaf_co2_fuel3" localSheetId="3">#REF!</definedName>
    <definedName name="EFaf_co2_fuel3">#REF!</definedName>
    <definedName name="EFaf_fuel1_CH4">#REF!</definedName>
    <definedName name="EFaf_fuel1_cook_CH4">[1]Parameters!$D$148</definedName>
    <definedName name="EFaf_fuel1_cook_CO2">[1]Parameters!$D$147</definedName>
    <definedName name="EFaf_fuel1_cook_N2O">[1]Parameters!$D$149</definedName>
    <definedName name="EFaf_fuel1_N2O" localSheetId="3">#REF!</definedName>
    <definedName name="EFaf_fuel1_N2O">#REF!</definedName>
    <definedName name="EFaf_fuel1_prod_CH4">[1]Parameters!$D$144</definedName>
    <definedName name="EFaf_fuel1_prod_CO2" localSheetId="3">#REF!</definedName>
    <definedName name="EFaf_fuel1_prod_CO2">#REF!</definedName>
    <definedName name="EFaf_fuel1_prod_N2O">[1]Parameters!$D$145</definedName>
    <definedName name="EFaf_fuel1_totalCO2">[1]Parameters!$D$150</definedName>
    <definedName name="EFaf_fuel1_totalnon_CO2" localSheetId="3">#REF!</definedName>
    <definedName name="EFaf_fuel1_totalnon_CO2">#REF!</definedName>
    <definedName name="EFaf_fuel2_CH4" localSheetId="3">#REF!</definedName>
    <definedName name="EFaf_fuel2_CH4">#REF!</definedName>
    <definedName name="EFaf_fuel2_cook_CH4">[1]Parameters!$D$185</definedName>
    <definedName name="EFaf_fuel2_cook_CO2" localSheetId="3">#REF!</definedName>
    <definedName name="EFaf_fuel2_cook_CO2">#REF!</definedName>
    <definedName name="EFaf_fuel2_cook_gas_i" localSheetId="3">#REF!</definedName>
    <definedName name="EFaf_fuel2_cook_gas_i">#REF!</definedName>
    <definedName name="EFaf_fuel2_cook_N2O">[1]Parameters!$D$186</definedName>
    <definedName name="EFaf_fuel2_N2O" localSheetId="3">#REF!</definedName>
    <definedName name="EFaf_fuel2_N2O">#REF!</definedName>
    <definedName name="EFaf_fuel2_prod_CH4">[1]Parameters!$D$181</definedName>
    <definedName name="EFaf_fuel2_prod_CO2" localSheetId="3">#REF!</definedName>
    <definedName name="EFaf_fuel2_prod_CO2">#REF!</definedName>
    <definedName name="EFaf_fuel2_prod_N2O">[1]Parameters!$D$182</definedName>
    <definedName name="EFaf_fuel2_totalCO2">[1]Parameters!$D$187</definedName>
    <definedName name="EFaf_fuel2_totalnon_CO2" localSheetId="3">#REF!</definedName>
    <definedName name="EFaf_fuel2_totalnon_CO2">#REF!</definedName>
    <definedName name="EFaf_fuel3_CH4" localSheetId="3">#REF!</definedName>
    <definedName name="EFaf_fuel3_CH4">#REF!</definedName>
    <definedName name="EFaf_fuel3_cook_CH4">[1]Parameters!$D$222</definedName>
    <definedName name="EFaf_fuel3_cook_CO2">[1]Parameters!$D$221</definedName>
    <definedName name="EFaf_fuel3_cook_N2O">[1]Parameters!$D$223</definedName>
    <definedName name="EFaf_fuel3_N2O" localSheetId="3">#REF!</definedName>
    <definedName name="EFaf_fuel3_N2O">#REF!</definedName>
    <definedName name="EFaf_fuel3_prod_CH4">[1]Parameters!$D$218</definedName>
    <definedName name="EFaf_fuel3_prod_CO2" localSheetId="3">#REF!</definedName>
    <definedName name="EFaf_fuel3_prod_CO2">#REF!</definedName>
    <definedName name="EFaf_fuel3_prod_N2O">[1]Parameters!$D$219</definedName>
    <definedName name="EFaf_fuel3_totalCO2">[1]Parameters!$D$224</definedName>
    <definedName name="EFaf_fuel3_totalnon_CO2" localSheetId="3">#REF!</definedName>
    <definedName name="EFaf_fuel3_totalnon_CO2">#REF!</definedName>
    <definedName name="EFaf_fule1_cook_CH4" localSheetId="3">#REF!</definedName>
    <definedName name="EFaf_fule1_cook_CH4">#REF!</definedName>
    <definedName name="EFaf_fule1_cook_CO2" localSheetId="3">#REF!</definedName>
    <definedName name="EFaf_fule1_cook_CO2">#REF!</definedName>
    <definedName name="EFaf_fule1_cook_N2O">#REF!</definedName>
    <definedName name="EFaf_fule1_prod_CH4">#REF!</definedName>
    <definedName name="EFaf_fule1_prod_CO2">#REF!</definedName>
    <definedName name="EFaf_fule1_prod_N2O">#REF!</definedName>
    <definedName name="EFaf_fule1_totalCO2">#REF!</definedName>
    <definedName name="EFaf_fule1_totalnon_CO2">#REF!</definedName>
    <definedName name="EFaf_prod_co2_fuel1">#REF!</definedName>
    <definedName name="EFaf_prod_co2_fuel2">#REF!</definedName>
    <definedName name="EFaf_prod_co2_fuel3">#REF!</definedName>
    <definedName name="EFbl_bio1_cook_CH4">[1]Parameters!$D$25</definedName>
    <definedName name="EFbl_bio1_cook_CO2">[1]Parameters!$D$24</definedName>
    <definedName name="EFbl_bio1_cook_N2O">[1]Parameters!$D$26</definedName>
    <definedName name="EFbl_bio1_prod_CH4">[1]Parameters!$D$21</definedName>
    <definedName name="EFbl_bio1_prod_CO2" localSheetId="3">#REF!</definedName>
    <definedName name="EFbl_bio1_prod_CO2">#REF!</definedName>
    <definedName name="EFbl_bio1_prod_N2O" localSheetId="3">#REF!</definedName>
    <definedName name="EFbl_bio1_prod_N2O">#REF!</definedName>
    <definedName name="EFbl_bio1_totalCO2">[1]Parameters!$D$27</definedName>
    <definedName name="EFbl_bio1_totalnon_CO2" localSheetId="3">#REF!</definedName>
    <definedName name="EFbl_bio1_totalnon_CO2">#REF!</definedName>
    <definedName name="EFbl_bio2_cook_CH4">[1]Parameters!$D$62</definedName>
    <definedName name="EFbl_bio2_cook_CO2" localSheetId="3">#REF!</definedName>
    <definedName name="EFbl_bio2_cook_CO2">#REF!</definedName>
    <definedName name="EFbl_bio2_cook_N2O">[1]Parameters!$D$63</definedName>
    <definedName name="EFbl_bio2_prod_CH4">[1]Parameters!$D$58</definedName>
    <definedName name="EFbl_bio2_prod_CO2" localSheetId="3">#REF!</definedName>
    <definedName name="EFbl_bio2_prod_CO2">#REF!</definedName>
    <definedName name="EFbl_bio2_prod_N2O">[1]Parameters!$D$59</definedName>
    <definedName name="EFbl_bio2_total_CO2" localSheetId="3">#REF!</definedName>
    <definedName name="EFbl_bio2_total_CO2">#REF!</definedName>
    <definedName name="EFbl_bio2_totalCO2">[1]Parameters!$D$64</definedName>
    <definedName name="EFbl_bio2_totalnon_CO2" localSheetId="3">#REF!</definedName>
    <definedName name="EFbl_bio2_totalnon_CO2">#REF!</definedName>
    <definedName name="EFbl_bio3_cook_CH4">[1]Parameters!$D$111</definedName>
    <definedName name="EFbl_bio3_cook_CO2">[1]Parameters!$D$110</definedName>
    <definedName name="EFbl_bio3_cook_N2O">[1]Parameters!$D$112</definedName>
    <definedName name="EFbl_bio3_prod_CH4">[1]Parameters!$D$107</definedName>
    <definedName name="EFbl_bio3_prod_CO2" localSheetId="3">#REF!</definedName>
    <definedName name="EFbl_bio3_prod_CO2">#REF!</definedName>
    <definedName name="EFbl_bio3_prod_N2O">[1]Parameters!$D$108</definedName>
    <definedName name="EFbl_bio3_totalCO2">[1]Parameters!$D$113</definedName>
    <definedName name="EFbl_bio3_totalnon_CO2" localSheetId="3">#REF!</definedName>
    <definedName name="EFbl_bio3_totalnon_CO2">#REF!</definedName>
    <definedName name="EFpj_bio1_cook_CH4">[1]Parameters!$J$25</definedName>
    <definedName name="EFpj_bio1_cook_CO2" localSheetId="3">#REF!</definedName>
    <definedName name="EFpj_bio1_cook_CO2">#REF!</definedName>
    <definedName name="EFpj_bio1_cook_N2O">[1]Parameters!$J$26</definedName>
    <definedName name="EFpj_bio1_prod_CH4">[1]Parameters!$J$21</definedName>
    <definedName name="EFpj_bio1_prod_CO2" localSheetId="3">#REF!</definedName>
    <definedName name="EFpj_bio1_prod_CO2">#REF!</definedName>
    <definedName name="EFpj_bio1_prod_N2O">[1]Parameters!$J$22</definedName>
    <definedName name="EFpj_bio1_totalCO2">[1]Parameters!$J$27</definedName>
    <definedName name="EFpj_bio1_totalnon_CO2" localSheetId="3">#REF!</definedName>
    <definedName name="EFpj_bio1_totalnon_CO2">#REF!</definedName>
    <definedName name="EFpj_bio2_cook_CH4">[1]Parameters!$J$62</definedName>
    <definedName name="EFpj_bio2_cook_CO2" localSheetId="3">#REF!</definedName>
    <definedName name="EFpj_bio2_cook_CO2">#REF!</definedName>
    <definedName name="EFpj_bio2_cook_gas_i" localSheetId="3">#REF!</definedName>
    <definedName name="EFpj_bio2_cook_gas_i">#REF!</definedName>
    <definedName name="EFpj_bio2_cook_N2O">[1]Parameters!$J$63</definedName>
    <definedName name="EFpj_bio2_prod_CH4">[1]Parameters!$J$58</definedName>
    <definedName name="EFpj_bio2_prod_CO2" localSheetId="3">#REF!</definedName>
    <definedName name="EFpj_bio2_prod_CO2">#REF!</definedName>
    <definedName name="EFpj_bio2_prod_N2O">[1]Parameters!$J$59</definedName>
    <definedName name="EFpj_bio2_totalCO2">[1]Parameters!$J$64</definedName>
    <definedName name="EFpj_bio2_totalnon_CO2" localSheetId="3">#REF!</definedName>
    <definedName name="EFpj_bio2_totalnon_CO2">#REF!</definedName>
    <definedName name="EFpj_bio3_cook_CH4">[1]Parameters!$J$111</definedName>
    <definedName name="EFpj_bio3_cook_CO2" localSheetId="3">#REF!</definedName>
    <definedName name="EFpj_bio3_cook_CO2">#REF!</definedName>
    <definedName name="EFpj_bio3_cook_gas_i" localSheetId="3">#REF!</definedName>
    <definedName name="EFpj_bio3_cook_gas_i">#REF!</definedName>
    <definedName name="EFpj_bio3_cook_N2O">[1]Parameters!$J$112</definedName>
    <definedName name="EFpj_bio3_prod_CH4">[1]Parameters!$J$107</definedName>
    <definedName name="EFpj_bio3_prod_CO2" localSheetId="3">#REF!</definedName>
    <definedName name="EFpj_bio3_prod_CO2">#REF!</definedName>
    <definedName name="EFpj_bio3_prod_N2O">[1]Parameters!$J$108</definedName>
    <definedName name="EFpj_bio3_totalCO2">[1]Parameters!$J$113</definedName>
    <definedName name="EFpj_bio3_totalnon_CO2" localSheetId="3">#REF!</definedName>
    <definedName name="EFpj_bio3_totalnon_CO2">#REF!</definedName>
    <definedName name="F_1" localSheetId="3">#REF!</definedName>
    <definedName name="F_1">#REF!</definedName>
    <definedName name="F_10">'[2]Shengchang Stove'!$H$14</definedName>
    <definedName name="F_11">'[1]HH Carbon Calculator'!#REF!</definedName>
    <definedName name="F_12">'[1]HH Carbon Calculator'!#REF!</definedName>
    <definedName name="F_13">'[1]HH Carbon Calculator'!#REF!</definedName>
    <definedName name="F_2" localSheetId="3">#REF!</definedName>
    <definedName name="F_2">#REF!</definedName>
    <definedName name="F_3" localSheetId="3">#REF!</definedName>
    <definedName name="F_3">#REF!</definedName>
    <definedName name="F_4" localSheetId="3">#REF!</definedName>
    <definedName name="F_4">#REF!</definedName>
    <definedName name="F_5" localSheetId="3">'[1]HH Carbon Calculator'!#REF!</definedName>
    <definedName name="F_5">'[1]HH Carbon Calculator'!#REF!</definedName>
    <definedName name="F_6" localSheetId="3">#REF!</definedName>
    <definedName name="F_6">#REF!</definedName>
    <definedName name="F_7" localSheetId="3">'[1]HH Carbon Calculator'!#REF!</definedName>
    <definedName name="F_7">'[1]HH Carbon Calculator'!#REF!</definedName>
    <definedName name="F_8" localSheetId="3">#REF!</definedName>
    <definedName name="F_8">#REF!</definedName>
    <definedName name="F_9" localSheetId="3">#REF!</definedName>
    <definedName name="F_9">#REF!</definedName>
    <definedName name="Fbl_bio1_10thyr">[1]Parameters!$D$40</definedName>
    <definedName name="Fbl_bio1_1styr">[1]Parameters!$D$31</definedName>
    <definedName name="Fbl_bio1_2ndyr">[1]Parameters!$D$32</definedName>
    <definedName name="Fbl_bio1_3rdyr">[1]Parameters!$D$33</definedName>
    <definedName name="Fbl_bio1_4thyr">[1]Parameters!$D$34</definedName>
    <definedName name="Fbl_bio1_5thyr">[1]Parameters!$D$35</definedName>
    <definedName name="Fbl_bio1_6thyr">[1]Parameters!$D$36</definedName>
    <definedName name="Fbl_bio1_7thyr">[1]Parameters!$D$37</definedName>
    <definedName name="Fbl_bio1_8thyr">[1]Parameters!$D$38</definedName>
    <definedName name="Fbl_bio1_9thyr">[1]Parameters!$D$39</definedName>
    <definedName name="Fbl_bio2_10thyr">[1]Parameters!$D$77</definedName>
    <definedName name="Fbl_bio2_1styr">[1]Parameters!$D$68</definedName>
    <definedName name="Fbl_bio2_2ndyr">[1]Parameters!$D$69</definedName>
    <definedName name="Fbl_bio2_3rdyr">[1]Parameters!$D$70</definedName>
    <definedName name="Fbl_bio2_4thyr">[1]Parameters!$D$71</definedName>
    <definedName name="Fbl_bio2_5thyr">[1]Parameters!$D$72</definedName>
    <definedName name="Fbl_bio2_6thyr">[1]Parameters!$D$73</definedName>
    <definedName name="Fbl_bio2_7thyr">[1]Parameters!$D$74</definedName>
    <definedName name="Fbl_bio2_8thyr">[1]Parameters!$D$75</definedName>
    <definedName name="Fbl_bio2_9thyr">[1]Parameters!$D$76</definedName>
    <definedName name="Fbl_bio3_10thyr">[1]Parameters!$D$126</definedName>
    <definedName name="Fbl_bio3_1styr">[1]Parameters!$D$117</definedName>
    <definedName name="Fbl_bio3_2ndyr">[1]Parameters!$D$118</definedName>
    <definedName name="Fbl_bio3_3rdyr">[1]Parameters!$D$119</definedName>
    <definedName name="Fbl_bio3_4thyr">[1]Parameters!$D$120</definedName>
    <definedName name="Fbl_bio3_5thyr">[1]Parameters!$D$121</definedName>
    <definedName name="Fbl_bio3_6thyr">[1]Parameters!$D$122</definedName>
    <definedName name="Fbl_bio3_7thyr">[1]Parameters!$D$123</definedName>
    <definedName name="Fbl_bio3_8thyr">[1]Parameters!$D$124</definedName>
    <definedName name="Fbl_bio3_9thyr">[1]Parameters!$D$125</definedName>
    <definedName name="Fpj_bio1_10thyr">[1]Parameters!$J$40</definedName>
    <definedName name="Fpj_bio1_1styr">[1]Parameters!$J$31</definedName>
    <definedName name="Fpj_bio1_2ndyr">[1]Parameters!$J$32</definedName>
    <definedName name="Fpj_bio1_3rdyr">[1]Parameters!$J$33</definedName>
    <definedName name="Fpj_bio1_4thyr">[1]Parameters!$J$34</definedName>
    <definedName name="Fpj_bio1_5thyr">[1]Parameters!$J$35</definedName>
    <definedName name="Fpj_bio1_6thyr">[1]Parameters!$J$36</definedName>
    <definedName name="Fpj_bio1_7thyr">[1]Parameters!$J$37</definedName>
    <definedName name="Fpj_bio1_8thyr">[1]Parameters!$J$38</definedName>
    <definedName name="Fpj_bio1_9thyr">[1]Parameters!$J$39</definedName>
    <definedName name="Fpj_bio2_10thyr">[1]Parameters!$J$77</definedName>
    <definedName name="Fpj_bio2_1styr">[1]Parameters!$J$68</definedName>
    <definedName name="Fpj_bio2_2ndyr">[1]Parameters!$J$69</definedName>
    <definedName name="Fpj_bio2_3rdyr">[1]Parameters!$J$70</definedName>
    <definedName name="Fpj_bio2_4thyr">[1]Parameters!$J$71</definedName>
    <definedName name="Fpj_bio2_5thyr">[1]Parameters!$J$72</definedName>
    <definedName name="Fpj_bio2_6thyr">[1]Parameters!$J$73</definedName>
    <definedName name="Fpj_bio2_7thyr">[1]Parameters!$J$74</definedName>
    <definedName name="Fpj_bio2_8thyr">[1]Parameters!$J$75</definedName>
    <definedName name="Fpj_bio2_9thyr">[1]Parameters!$J$76</definedName>
    <definedName name="Fpj_bio3_10thyr">[1]Parameters!$J$126</definedName>
    <definedName name="Fpj_bio3_1styr">[1]Parameters!$J$117</definedName>
    <definedName name="Fpj_bio3_2ndyr">[1]Parameters!$J$118</definedName>
    <definedName name="Fpj_bio3_3rdyr">[1]Parameters!$J$119</definedName>
    <definedName name="Fpj_bio3_4thyr">[1]Parameters!$J$120</definedName>
    <definedName name="Fpj_bio3_5thyr">[1]Parameters!$J$121</definedName>
    <definedName name="Fpj_bio3_6thyr">[1]Parameters!$J$122</definedName>
    <definedName name="Fpj_bio3_7thyr">[1]Parameters!$J$123</definedName>
    <definedName name="Fpj_bio3_8thyr">[1]Parameters!$J$124</definedName>
    <definedName name="Fpj_bio3_9thyr">[1]Parameters!$J$125</definedName>
    <definedName name="Fuel_adj">'[1]HH Carbon Calculator'!$W$64</definedName>
    <definedName name="FuelCalorific">'[3]Calorific values'!$B$3:$M$91</definedName>
    <definedName name="grate" localSheetId="3">#REF!</definedName>
    <definedName name="grate">#REF!</definedName>
    <definedName name="Initial_sales" localSheetId="3">#REF!</definedName>
    <definedName name="Initial_sales">#REF!</definedName>
    <definedName name="L_1" localSheetId="3">#REF!</definedName>
    <definedName name="L_1">#REF!</definedName>
    <definedName name="L_10">#REF!</definedName>
    <definedName name="L_11">'[1]HH Carbon Calculator'!#REF!</definedName>
    <definedName name="L_12">'[1]HH Carbon Calculator'!#REF!</definedName>
    <definedName name="L_13">'[1]HH Carbon Calculator'!#REF!</definedName>
    <definedName name="L_2" localSheetId="3">#REF!</definedName>
    <definedName name="L_2">#REF!</definedName>
    <definedName name="L_3" localSheetId="3">#REF!</definedName>
    <definedName name="L_3">#REF!</definedName>
    <definedName name="L_4" localSheetId="3">#REF!</definedName>
    <definedName name="L_4">#REF!</definedName>
    <definedName name="L_5" localSheetId="3">'[1]HH Carbon Calculator'!#REF!</definedName>
    <definedName name="L_5">'[1]HH Carbon Calculator'!#REF!</definedName>
    <definedName name="L_6" localSheetId="3">#REF!</definedName>
    <definedName name="L_6">#REF!</definedName>
    <definedName name="L_7" localSheetId="3">'[1]HH Carbon Calculator'!#REF!</definedName>
    <definedName name="L_7">'[1]HH Carbon Calculator'!#REF!</definedName>
    <definedName name="L_8" localSheetId="3">#REF!</definedName>
    <definedName name="L_8">#REF!</definedName>
    <definedName name="L_9" localSheetId="3">#REF!</definedName>
    <definedName name="L_9">#REF!</definedName>
    <definedName name="LE_yr1">[1]Parameters!$V$8</definedName>
    <definedName name="LE_yr10">[1]Parameters!$V$17</definedName>
    <definedName name="LE_yr2">[1]Parameters!$V$9</definedName>
    <definedName name="LE_yr3">[1]Parameters!$V$10</definedName>
    <definedName name="LE_yr4">[1]Parameters!$V$11</definedName>
    <definedName name="LE_yr5">[1]Parameters!$V$12</definedName>
    <definedName name="LE_yr6">[1]Parameters!$V$13</definedName>
    <definedName name="LE_yr7">[1]Parameters!$V$14</definedName>
    <definedName name="LE_yr8">[1]Parameters!$V$15</definedName>
    <definedName name="LE_yr9">[1]Parameters!$V$16</definedName>
    <definedName name="leakage" localSheetId="3">#REF!</definedName>
    <definedName name="leakage">#REF!</definedName>
    <definedName name="m" localSheetId="3">#REF!</definedName>
    <definedName name="m">#REF!</definedName>
    <definedName name="n" localSheetId="3">#REF!</definedName>
    <definedName name="n">#REF!</definedName>
    <definedName name="nonCO2cook">#REF!</definedName>
    <definedName name="nonCO2prod">#REF!</definedName>
    <definedName name="nrb_1">#REF!</definedName>
    <definedName name="nrb_10">#REF!</definedName>
    <definedName name="nrb_11">'[1]HH Carbon Calculator'!#REF!</definedName>
    <definedName name="nrb_12">'[1]HH Carbon Calculator'!#REF!</definedName>
    <definedName name="nrb_13">'[1]HH Carbon Calculator'!#REF!</definedName>
    <definedName name="nrb_2" localSheetId="3">#REF!</definedName>
    <definedName name="nrb_2">#REF!</definedName>
    <definedName name="nrb_3" localSheetId="3">#REF!</definedName>
    <definedName name="nrb_3">#REF!</definedName>
    <definedName name="nrb_4" localSheetId="3">#REF!</definedName>
    <definedName name="nrb_4">#REF!</definedName>
    <definedName name="nrb_5" localSheetId="3">'[1]HH Carbon Calculator'!#REF!</definedName>
    <definedName name="nrb_5">'[1]HH Carbon Calculator'!#REF!</definedName>
    <definedName name="nrb_6" localSheetId="3">#REF!</definedName>
    <definedName name="nrb_6">#REF!</definedName>
    <definedName name="nrb_7" localSheetId="3">'[1]HH Carbon Calculator'!#REF!</definedName>
    <definedName name="nrb_7">'[1]HH Carbon Calculator'!#REF!</definedName>
    <definedName name="nrb_8" localSheetId="3">#REF!</definedName>
    <definedName name="nrb_8">#REF!</definedName>
    <definedName name="nrb_9" localSheetId="3">#REF!</definedName>
    <definedName name="nrb_9">#REF!</definedName>
    <definedName name="Precision" localSheetId="3">[4]Sampling!#REF!</definedName>
    <definedName name="Precision">#REF!</definedName>
    <definedName name="price" localSheetId="3">#REF!</definedName>
    <definedName name="price">#REF!</definedName>
    <definedName name="Ratio_ND_Domestic">'[5]De-bundling'!$C$19</definedName>
    <definedName name="reduction" localSheetId="3">#REF!</definedName>
    <definedName name="reduction">#REF!</definedName>
    <definedName name="rmb" localSheetId="3">#REF!</definedName>
    <definedName name="rmb">#REF!</definedName>
    <definedName name="s" localSheetId="3">#REF!</definedName>
    <definedName name="s">#REF!</definedName>
    <definedName name="start_year">#REF!</definedName>
    <definedName name="STOVE">[6]Sheet1!$C$3:$C$4</definedName>
    <definedName name="Subsidized_price">'[1]HH Carbon Calculator'!#REF!</definedName>
    <definedName name="subsidy" localSheetId="3">#REF!</definedName>
    <definedName name="subsidy">#REF!</definedName>
    <definedName name="totalCO2" localSheetId="3">#REF!</definedName>
    <definedName name="totalCO2">#REF!</definedName>
    <definedName name="U_1" localSheetId="3">#REF!</definedName>
    <definedName name="U_1">#REF!</definedName>
    <definedName name="U_10">'[2]Shengchang Stove'!$I$14</definedName>
    <definedName name="U_11">'[1]HH Carbon Calculator'!#REF!</definedName>
    <definedName name="U_12">'[1]HH Carbon Calculator'!#REF!</definedName>
    <definedName name="U_13">'[1]HH Carbon Calculator'!#REF!</definedName>
    <definedName name="U_2" localSheetId="3">#REF!</definedName>
    <definedName name="U_2">#REF!</definedName>
    <definedName name="U_3" localSheetId="3">#REF!</definedName>
    <definedName name="U_3">#REF!</definedName>
    <definedName name="U_4" localSheetId="3">#REF!</definedName>
    <definedName name="U_4">#REF!</definedName>
    <definedName name="U_5" localSheetId="3">'[1]HH Carbon Calculator'!#REF!</definedName>
    <definedName name="U_5">'[1]HH Carbon Calculator'!#REF!</definedName>
    <definedName name="U_6" localSheetId="3">#REF!</definedName>
    <definedName name="U_6">#REF!</definedName>
    <definedName name="U_7" localSheetId="3">'[1]HH Carbon Calculator'!#REF!</definedName>
    <definedName name="U_7">'[1]HH Carbon Calculator'!#REF!</definedName>
    <definedName name="U_8" localSheetId="3">#REF!</definedName>
    <definedName name="U_8">#REF!</definedName>
    <definedName name="U_9" localSheetId="3">#REF!</definedName>
    <definedName name="U_9">#REF!</definedName>
    <definedName name="Upj_10thyr">[1]Parameters!$P$17</definedName>
    <definedName name="Upj_1styr">[1]Parameters!$P$8</definedName>
    <definedName name="Upj_2ndyr">[1]Parameters!$P$9</definedName>
    <definedName name="Upj_3rdyr">[1]Parameters!$P$10</definedName>
    <definedName name="Upj_4thyr">[1]Parameters!$P$11</definedName>
    <definedName name="Upj_5thyr">[1]Parameters!$P$12</definedName>
    <definedName name="Upj_6thyr">[1]Parameters!$P$13</definedName>
    <definedName name="Upj_7thyr">[1]Parameters!$P$14</definedName>
    <definedName name="Upj_8thyr">[1]Parameters!$P$15</definedName>
    <definedName name="Upj_9thyr">[1]Parameters!$P$16</definedName>
    <definedName name="Upj_bio2_1styr" localSheetId="3">#REF!</definedName>
    <definedName name="Upj_bio2_1styr">#REF!</definedName>
    <definedName name="Upj_bio2_2ndyr" localSheetId="3">#REF!</definedName>
    <definedName name="Upj_bio2_2ndyr">#REF!</definedName>
    <definedName name="Upj_bio2_3rdyr" localSheetId="3">#REF!</definedName>
    <definedName name="Upj_bio2_3rdyr">#REF!</definedName>
    <definedName name="Upj_bio2_4thyr">#REF!</definedName>
    <definedName name="Upj_bio2_5thyr">#REF!</definedName>
    <definedName name="Upj_bio2_6thyr">#REF!</definedName>
    <definedName name="Upj_bio2_7thyr">#REF!</definedName>
    <definedName name="Upj_bio2_8thyr">#REF!</definedName>
    <definedName name="Upj_bio2_9thyr">#REF!</definedName>
    <definedName name="Upj_bio3_10thyr">#REF!</definedName>
    <definedName name="Upj_bio3_1styr">#REF!</definedName>
    <definedName name="Upj_bio3_2ndyr">#REF!</definedName>
    <definedName name="Upj_bio3_3rdyr">#REF!</definedName>
    <definedName name="Upj_bio3_4thyr">#REF!</definedName>
    <definedName name="Upj_bio3_5thyr">#REF!</definedName>
    <definedName name="Upj_bio3_6thyr">#REF!</definedName>
    <definedName name="Upj_bio3_7thyr">#REF!</definedName>
    <definedName name="Upj_bio3_8thyr">#REF!</definedName>
    <definedName name="Upj_bio3_9thyr">#REF!</definedName>
    <definedName name="Upj_fuel2_10thyr">#REF!</definedName>
    <definedName name="Upj_fuel2_1styr">#REF!</definedName>
    <definedName name="Upj_fuel2_2ndyr">#REF!</definedName>
    <definedName name="Upj_fuel2_3rdyr">#REF!</definedName>
    <definedName name="Upj_fuel2_4thyr">#REF!</definedName>
    <definedName name="Upj_fuel2_5thyr">#REF!</definedName>
    <definedName name="Upj_fuel2_6thyr">#REF!</definedName>
    <definedName name="Upj_fuel2_7thyr">#REF!</definedName>
    <definedName name="Upj_fuel2_8thyr">#REF!</definedName>
    <definedName name="Upj_fuel2_9thyr">#REF!</definedName>
    <definedName name="Upj_fuel3_10thyr">#REF!</definedName>
    <definedName name="Upj_fuel3_1styr">#REF!</definedName>
    <definedName name="Upj_fuel3_2ndyr">#REF!</definedName>
    <definedName name="Upj_fuel3_3rdyr">#REF!</definedName>
    <definedName name="Upj_fuel3_4thyr">#REF!</definedName>
    <definedName name="Upj_fuel3_5thyr">#REF!</definedName>
    <definedName name="Upj_fuel3_6thyr">#REF!</definedName>
    <definedName name="Upj_fuel3_7thyr">#REF!</definedName>
    <definedName name="Upj_fuel3_8thyr">#REF!</definedName>
    <definedName name="Upj_fuel3_9thyr">#REF!</definedName>
    <definedName name="Upj_fule1_10thyr">#REF!</definedName>
    <definedName name="Upj_fule1_1styr">#REF!</definedName>
    <definedName name="Upj_fule1_2ndyr">#REF!</definedName>
    <definedName name="Upj_fule1_3rdyr">#REF!</definedName>
    <definedName name="Upj_fule1_4thyr">#REF!</definedName>
    <definedName name="Upj_fule1_5thyr">#REF!</definedName>
    <definedName name="Upj_fule1_6thyr">#REF!</definedName>
    <definedName name="Upj_fule1_7thyr">#REF!</definedName>
    <definedName name="Upj_fule1_8thyr">#REF!</definedName>
    <definedName name="Upj_fule1_9thyr">#REF!</definedName>
    <definedName name="Xnrb_bl_bio1_yr1">[1]Parameters!$D$8</definedName>
    <definedName name="Xnrb_bl_bio1_yr10">[1]Parameters!$D$17</definedName>
    <definedName name="Xnrb_bl_bio1_yr2">[1]Parameters!$D$9</definedName>
    <definedName name="Xnrb_bl_bio1_yr3">[1]Parameters!$D$10</definedName>
    <definedName name="Xnrb_bl_bio1_yr4">[1]Parameters!$D$11</definedName>
    <definedName name="Xnrb_bl_bio1_yr5">[1]Parameters!$D$12</definedName>
    <definedName name="Xnrb_bl_bio1_yr6">[1]Parameters!$D$13</definedName>
    <definedName name="Xnrb_bl_bio1_yr7">[1]Parameters!$D$14</definedName>
    <definedName name="Xnrb_bl_bio1_yr8">[1]Parameters!$D$15</definedName>
    <definedName name="Xnrb_bl_bio1_yr9">[1]Parameters!$D$16</definedName>
    <definedName name="Xnrb_bl_bio2_yr1">[1]Parameters!$D$45</definedName>
    <definedName name="Xnrb_bl_bio2_yr10">[1]Parameters!$D$54</definedName>
    <definedName name="Xnrb_bl_bio2_yr2">[1]Parameters!$D$46</definedName>
    <definedName name="Xnrb_bl_bio2_yr3">[1]Parameters!$D$47</definedName>
    <definedName name="Xnrb_bl_bio2_yr4">[1]Parameters!$D$48</definedName>
    <definedName name="Xnrb_bl_bio2_yr5">[1]Parameters!$D$49</definedName>
    <definedName name="Xnrb_bl_bio2_yr6">[1]Parameters!$D$50</definedName>
    <definedName name="Xnrb_bl_bio2_yr7">[1]Parameters!$D$51</definedName>
    <definedName name="Xnrb_bl_bio2_yr8">[1]Parameters!$D$52</definedName>
    <definedName name="Xnrb_bl_bio2_yr9">[1]Parameters!$D$53</definedName>
    <definedName name="Xnrb_bl_bio3_yr1">[1]Parameters!$D$94</definedName>
    <definedName name="Xnrb_bl_bio3_yr10">[1]Parameters!$D$103</definedName>
    <definedName name="Xnrb_bl_bio3_yr2">[1]Parameters!$D$95</definedName>
    <definedName name="Xnrb_bl_bio3_yr3">[1]Parameters!$D$96</definedName>
    <definedName name="Xnrb_bl_bio3_yr4">[1]Parameters!$D$97</definedName>
    <definedName name="Xnrb_bl_bio3_yr5">[1]Parameters!$D$98</definedName>
    <definedName name="Xnrb_bl_bio3_yr6">[1]Parameters!$D$99</definedName>
    <definedName name="Xnrb_bl_bio3_yr7">[1]Parameters!$D$100</definedName>
    <definedName name="Xnrb_bl_bio3_yr8">[1]Parameters!$D$101</definedName>
    <definedName name="Xnrb_bl_bio3_yr9">[1]Parameters!$D$102</definedName>
    <definedName name="Xnrb_bl_y1" localSheetId="3">#REF!</definedName>
    <definedName name="Xnrb_bl_y1">#REF!</definedName>
    <definedName name="Xnrb_bl_y10" localSheetId="3">#REF!</definedName>
    <definedName name="Xnrb_bl_y10">#REF!</definedName>
    <definedName name="Xnrb_bl_y2" localSheetId="3">#REF!</definedName>
    <definedName name="Xnrb_bl_y2">#REF!</definedName>
    <definedName name="Xnrb_bl_y3">#REF!</definedName>
    <definedName name="Xnrb_bl_y4">#REF!</definedName>
    <definedName name="Xnrb_bl_y5">#REF!</definedName>
    <definedName name="Xnrb_bl_y6">#REF!</definedName>
    <definedName name="Xnrb_bl_y7">#REF!</definedName>
    <definedName name="Xnrb_bl_y8">#REF!</definedName>
    <definedName name="Xnrb_bl_y9">#REF!</definedName>
    <definedName name="Xnrb_pj_bio1_yr1">[1]Parameters!$J$8</definedName>
    <definedName name="Xnrb_pj_bio1_yr10">[1]Parameters!$J$17</definedName>
    <definedName name="Xnrb_pj_bio1_yr2">[1]Parameters!$J$9</definedName>
    <definedName name="Xnrb_pj_bio1_yr3">[1]Parameters!$J$10</definedName>
    <definedName name="Xnrb_pj_bio1_yr4">[1]Parameters!$J$11</definedName>
    <definedName name="Xnrb_pj_bio1_yr5">[1]Parameters!$J$12</definedName>
    <definedName name="Xnrb_pj_bio1_yr6">[1]Parameters!$J$13</definedName>
    <definedName name="Xnrb_pj_bio1_yr7">[1]Parameters!$J$14</definedName>
    <definedName name="Xnrb_pj_bio1_yr8">[1]Parameters!$J$15</definedName>
    <definedName name="Xnrb_pj_bio1_yr9">[1]Parameters!$J$16</definedName>
    <definedName name="Xnrb_pj_bio2_yr1">[1]Parameters!$J$45</definedName>
    <definedName name="Xnrb_pj_bio2_yr10">[1]Parameters!$J$54</definedName>
    <definedName name="Xnrb_pj_bio2_yr2">[1]Parameters!$J$46</definedName>
    <definedName name="Xnrb_pj_bio2_yr3">[1]Parameters!$J$47</definedName>
    <definedName name="Xnrb_pj_bio2_yr4">[1]Parameters!$J$48</definedName>
    <definedName name="Xnrb_pj_bio2_yr5">[1]Parameters!$J$49</definedName>
    <definedName name="Xnrb_pj_bio2_yr6">[1]Parameters!$J$50</definedName>
    <definedName name="Xnrb_pj_bio2_yr7">[1]Parameters!$J$51</definedName>
    <definedName name="Xnrb_pj_bio2_yr8">[1]Parameters!$J$52</definedName>
    <definedName name="Xnrb_pj_bio2_yr9">[1]Parameters!$J$53</definedName>
    <definedName name="Xnrb_pj_bio3_yr1">[1]Parameters!$J$94</definedName>
    <definedName name="Xnrb_pj_bio3_yr10">[1]Parameters!$J$103</definedName>
    <definedName name="Xnrb_pj_bio3_yr2">[1]Parameters!$J$95</definedName>
    <definedName name="Xnrb_pj_bio3_yr3">[1]Parameters!$J$96</definedName>
    <definedName name="Xnrb_pj_bio3_yr4">[1]Parameters!$J$97</definedName>
    <definedName name="Xnrb_pj_bio3_yr5">[1]Parameters!$J$98</definedName>
    <definedName name="Xnrb_pj_bio3_yr6">[1]Parameters!$J$99</definedName>
    <definedName name="Xnrb_pj_bio3_yr7">[1]Parameters!$J$100</definedName>
    <definedName name="Xnrb_pj_bio3_yr8">[1]Parameters!$J$101</definedName>
    <definedName name="Xnrb_pj_bio3_yr9">[1]Parameters!$J$102</definedName>
    <definedName name="year1">'[1]HH Carbon Calculator'!#REF!</definedName>
    <definedName name="year2">'[1]HH Carbon Calculator'!#REF!</definedName>
    <definedName name="year3" localSheetId="3">#REF!</definedName>
    <definedName name="year3">#REF!</definedName>
    <definedName name="year4">'[1]HH Carbon Calculator'!#REF!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C5" i="41" l="1"/>
  <c r="K46" i="41" l="1"/>
  <c r="K47" i="41"/>
  <c r="K48" i="41"/>
  <c r="K49" i="41"/>
  <c r="K45" i="41"/>
  <c r="K44" i="41"/>
  <c r="K43" i="41" l="1"/>
  <c r="K42" i="41"/>
  <c r="K27" i="41"/>
  <c r="K28" i="41"/>
  <c r="K29" i="41"/>
  <c r="K30" i="41"/>
  <c r="K31" i="41"/>
  <c r="K32" i="41"/>
  <c r="K33" i="41"/>
  <c r="K34" i="41"/>
  <c r="K35" i="41"/>
  <c r="K36" i="41"/>
  <c r="K37" i="41"/>
  <c r="K38" i="41"/>
  <c r="K39" i="41"/>
  <c r="K40" i="41"/>
  <c r="K41" i="41"/>
  <c r="K26" i="41"/>
  <c r="K25" i="41"/>
  <c r="K21" i="41"/>
  <c r="K22" i="41"/>
  <c r="M22" i="41" s="1"/>
  <c r="K23" i="41"/>
  <c r="K24" i="41"/>
  <c r="L21" i="41"/>
  <c r="L22" i="41"/>
  <c r="L23" i="41"/>
  <c r="L24" i="41"/>
  <c r="L25" i="41"/>
  <c r="L26" i="41"/>
  <c r="L27" i="41"/>
  <c r="L28" i="41"/>
  <c r="L29" i="41"/>
  <c r="M29" i="41" s="1"/>
  <c r="L30" i="41"/>
  <c r="L31" i="41"/>
  <c r="L32" i="41"/>
  <c r="L33" i="41"/>
  <c r="L34" i="41"/>
  <c r="L35" i="41"/>
  <c r="L36" i="41"/>
  <c r="L37" i="41"/>
  <c r="L38" i="41"/>
  <c r="M38" i="41" s="1"/>
  <c r="L39" i="41"/>
  <c r="M39" i="41" s="1"/>
  <c r="L40" i="41"/>
  <c r="M40" i="41" s="1"/>
  <c r="L41" i="41"/>
  <c r="M41" i="41" s="1"/>
  <c r="L42" i="41"/>
  <c r="L43" i="41"/>
  <c r="L44" i="41"/>
  <c r="M44" i="41" s="1"/>
  <c r="L45" i="41"/>
  <c r="M45" i="41" s="1"/>
  <c r="L46" i="41"/>
  <c r="M46" i="41" s="1"/>
  <c r="L47" i="41"/>
  <c r="M47" i="41" s="1"/>
  <c r="L48" i="41"/>
  <c r="M48" i="41" s="1"/>
  <c r="L49" i="41"/>
  <c r="M49" i="41" s="1"/>
  <c r="L20" i="41"/>
  <c r="K20" i="41"/>
  <c r="H21" i="41"/>
  <c r="H22" i="41"/>
  <c r="H23" i="41"/>
  <c r="H24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5" i="41"/>
  <c r="H46" i="41"/>
  <c r="H47" i="41"/>
  <c r="H48" i="41"/>
  <c r="H49" i="41"/>
  <c r="H20" i="41"/>
  <c r="J5" i="41"/>
  <c r="L5" i="41" s="1"/>
  <c r="J4" i="41"/>
  <c r="L4" i="41" s="1"/>
  <c r="L6" i="41" s="1"/>
  <c r="M23" i="41" l="1"/>
  <c r="M36" i="41"/>
  <c r="M27" i="41"/>
  <c r="M21" i="41"/>
  <c r="M31" i="41"/>
  <c r="M30" i="41"/>
  <c r="M28" i="41"/>
  <c r="M20" i="41"/>
  <c r="M26" i="41"/>
  <c r="M25" i="41"/>
  <c r="M24" i="41"/>
  <c r="M37" i="41"/>
  <c r="M34" i="41"/>
  <c r="M33" i="41"/>
  <c r="M32" i="41"/>
  <c r="M42" i="41"/>
  <c r="M35" i="41"/>
  <c r="M43" i="41"/>
  <c r="D46" i="41" l="1"/>
  <c r="Z56" i="48" l="1"/>
  <c r="C4" i="41" s="1"/>
  <c r="D48" i="41" l="1"/>
  <c r="D47" i="41"/>
  <c r="D45" i="41"/>
  <c r="D40" i="41" l="1"/>
  <c r="D39" i="41"/>
  <c r="D38" i="41"/>
  <c r="D37" i="41"/>
  <c r="D36" i="41"/>
  <c r="D35" i="41"/>
  <c r="D34" i="41"/>
  <c r="D33" i="41"/>
  <c r="D32" i="41"/>
  <c r="D31" i="41"/>
  <c r="D29" i="41"/>
  <c r="D28" i="41"/>
  <c r="D27" i="41"/>
  <c r="D50" i="41" l="1"/>
  <c r="K31" i="46"/>
  <c r="L3" i="46" l="1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2" i="46"/>
  <c r="E30" i="46"/>
  <c r="E29" i="46"/>
  <c r="E17" i="46"/>
  <c r="E31" i="46" l="1"/>
  <c r="AF19" i="48"/>
  <c r="AF17" i="48"/>
  <c r="AF3" i="48"/>
  <c r="AF18" i="48" l="1"/>
  <c r="C12" i="41"/>
  <c r="R28" i="48"/>
  <c r="R29" i="48"/>
  <c r="R30" i="48"/>
  <c r="R31" i="48"/>
  <c r="R32" i="48"/>
  <c r="R33" i="48"/>
  <c r="R34" i="48"/>
  <c r="R35" i="48"/>
  <c r="R36" i="48"/>
  <c r="R37" i="48"/>
  <c r="R38" i="48"/>
  <c r="R39" i="48"/>
  <c r="R40" i="48"/>
  <c r="R41" i="48"/>
  <c r="R42" i="48"/>
  <c r="R43" i="48"/>
  <c r="R44" i="48"/>
  <c r="R45" i="48"/>
  <c r="R46" i="48"/>
  <c r="R47" i="48"/>
  <c r="R48" i="48"/>
  <c r="R49" i="48"/>
  <c r="R50" i="48"/>
  <c r="N32" i="41" l="1"/>
  <c r="N44" i="41"/>
  <c r="N20" i="41"/>
  <c r="M5" i="41" s="1"/>
  <c r="N5" i="41" s="1"/>
  <c r="N21" i="41"/>
  <c r="N33" i="41"/>
  <c r="N45" i="41"/>
  <c r="N22" i="41"/>
  <c r="N34" i="41"/>
  <c r="N46" i="41"/>
  <c r="N23" i="41"/>
  <c r="N35" i="41"/>
  <c r="N47" i="41"/>
  <c r="N24" i="41"/>
  <c r="N36" i="41"/>
  <c r="N48" i="41"/>
  <c r="N25" i="41"/>
  <c r="N37" i="41"/>
  <c r="N49" i="41"/>
  <c r="N26" i="41"/>
  <c r="N38" i="41"/>
  <c r="N27" i="41"/>
  <c r="N39" i="41"/>
  <c r="N28" i="41"/>
  <c r="N40" i="41"/>
  <c r="N29" i="41"/>
  <c r="N41" i="41"/>
  <c r="N30" i="41"/>
  <c r="N42" i="41"/>
  <c r="N31" i="41"/>
  <c r="N43" i="41"/>
  <c r="C13" i="41"/>
  <c r="O20" i="41" s="1"/>
  <c r="R55" i="48"/>
  <c r="R54" i="48"/>
  <c r="R53" i="48"/>
  <c r="R52" i="48"/>
  <c r="R51" i="48"/>
  <c r="R27" i="48"/>
  <c r="R26" i="48"/>
  <c r="R25" i="48"/>
  <c r="R24" i="48"/>
  <c r="R23" i="48"/>
  <c r="R22" i="48"/>
  <c r="R21" i="48"/>
  <c r="R20" i="48"/>
  <c r="R19" i="48"/>
  <c r="R18" i="48"/>
  <c r="R17" i="48"/>
  <c r="R16" i="48"/>
  <c r="R15" i="48"/>
  <c r="R14" i="48"/>
  <c r="R13" i="48"/>
  <c r="R12" i="48"/>
  <c r="R11" i="48"/>
  <c r="R10" i="48"/>
  <c r="R9" i="48"/>
  <c r="R8" i="48"/>
  <c r="R7" i="48"/>
  <c r="R6" i="48"/>
  <c r="R5" i="48"/>
  <c r="R4" i="48"/>
  <c r="R3" i="48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R2" i="48"/>
  <c r="N50" i="41" l="1"/>
  <c r="K5" i="41" s="1"/>
  <c r="O21" i="41"/>
  <c r="O22" i="41"/>
  <c r="O23" i="41"/>
  <c r="O24" i="41"/>
  <c r="O25" i="41"/>
  <c r="O26" i="41"/>
  <c r="O38" i="41"/>
  <c r="O27" i="41"/>
  <c r="O39" i="41"/>
  <c r="O40" i="41"/>
  <c r="O29" i="41"/>
  <c r="O41" i="41"/>
  <c r="O46" i="41"/>
  <c r="O35" i="41"/>
  <c r="O47" i="41"/>
  <c r="O36" i="41"/>
  <c r="O49" i="41"/>
  <c r="O28" i="41"/>
  <c r="O30" i="41"/>
  <c r="O42" i="41"/>
  <c r="O31" i="41"/>
  <c r="O43" i="41"/>
  <c r="O32" i="41"/>
  <c r="O44" i="41"/>
  <c r="O33" i="41"/>
  <c r="O45" i="41"/>
  <c r="O34" i="41"/>
  <c r="O48" i="41"/>
  <c r="O37" i="41"/>
  <c r="A29" i="48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A40" i="48" s="1"/>
  <c r="A41" i="48" s="1"/>
  <c r="A42" i="48" s="1"/>
  <c r="R56" i="48"/>
  <c r="AF4" i="48" s="1"/>
  <c r="L20" i="46"/>
  <c r="L21" i="46"/>
  <c r="L22" i="46"/>
  <c r="L23" i="46"/>
  <c r="L24" i="46"/>
  <c r="L25" i="46"/>
  <c r="L26" i="46"/>
  <c r="L27" i="46"/>
  <c r="L28" i="46"/>
  <c r="L29" i="46"/>
  <c r="L30" i="46"/>
  <c r="L19" i="46"/>
  <c r="L31" i="46" l="1"/>
  <c r="A43" i="48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G30" i="41" l="1"/>
  <c r="G46" i="41"/>
  <c r="G37" i="41"/>
  <c r="G33" i="41"/>
  <c r="G32" i="41"/>
  <c r="G26" i="41"/>
  <c r="G49" i="41"/>
  <c r="G48" i="41"/>
  <c r="G47" i="41"/>
  <c r="G45" i="41"/>
  <c r="G41" i="41"/>
  <c r="G40" i="41"/>
  <c r="G39" i="41"/>
  <c r="G38" i="41"/>
  <c r="G36" i="41"/>
  <c r="G35" i="41"/>
  <c r="G34" i="41"/>
  <c r="G31" i="41"/>
  <c r="G29" i="41"/>
  <c r="G28" i="41"/>
  <c r="G27" i="41"/>
  <c r="G24" i="41"/>
  <c r="G22" i="41"/>
  <c r="G21" i="41"/>
  <c r="G20" i="41"/>
  <c r="I20" i="41" s="1"/>
  <c r="J20" i="41" s="1"/>
  <c r="M4" i="41" s="1"/>
  <c r="M6" i="41" l="1"/>
  <c r="N6" i="41" s="1"/>
  <c r="N4" i="41"/>
  <c r="I21" i="41"/>
  <c r="J21" i="41" s="1"/>
  <c r="I22" i="41"/>
  <c r="J22" i="41" s="1"/>
  <c r="I24" i="41"/>
  <c r="J24" i="41" s="1"/>
  <c r="I26" i="41"/>
  <c r="J26" i="41" s="1"/>
  <c r="I23" i="41"/>
  <c r="J23" i="41" s="1"/>
  <c r="I27" i="41" l="1"/>
  <c r="J27" i="41" s="1"/>
  <c r="I28" i="41" l="1"/>
  <c r="J28" i="41" s="1"/>
  <c r="I29" i="41" l="1"/>
  <c r="J29" i="41" s="1"/>
  <c r="I30" i="41" l="1"/>
  <c r="J30" i="41" s="1"/>
  <c r="I32" i="41" l="1"/>
  <c r="J32" i="41" s="1"/>
  <c r="I31" i="41"/>
  <c r="J31" i="41" s="1"/>
  <c r="I33" i="41" l="1"/>
  <c r="J33" i="41" s="1"/>
  <c r="I34" i="41"/>
  <c r="J34" i="41" s="1"/>
  <c r="I37" i="41" l="1"/>
  <c r="J37" i="41" s="1"/>
  <c r="I35" i="41"/>
  <c r="J35" i="41" s="1"/>
  <c r="I36" i="41" l="1"/>
  <c r="J36" i="41" s="1"/>
  <c r="I38" i="41" l="1"/>
  <c r="J38" i="41" s="1"/>
  <c r="I39" i="41" l="1"/>
  <c r="J39" i="41" s="1"/>
  <c r="I40" i="41" l="1"/>
  <c r="J40" i="41" s="1"/>
  <c r="I41" i="41" l="1"/>
  <c r="J41" i="41" s="1"/>
  <c r="I46" i="41" l="1"/>
  <c r="J46" i="41" s="1"/>
  <c r="I45" i="41" l="1"/>
  <c r="J45" i="41" s="1"/>
  <c r="I47" i="41" l="1"/>
  <c r="J47" i="41" s="1"/>
  <c r="I48" i="41" l="1"/>
  <c r="J48" i="41" s="1"/>
  <c r="I49" i="41" l="1"/>
  <c r="J49" i="41" s="1"/>
  <c r="B5" i="46" l="1"/>
  <c r="J50" i="41" l="1"/>
  <c r="K4" i="41" s="1"/>
  <c r="K6" i="41" s="1"/>
  <c r="O50" i="41" l="1"/>
  <c r="E18" i="46"/>
  <c r="B9" i="46" l="1"/>
  <c r="E32" i="46" s="1"/>
  <c r="B7" i="46"/>
  <c r="E33" i="46" l="1"/>
  <c r="E34" i="46" s="1"/>
  <c r="E35" i="46" s="1"/>
  <c r="E36" i="46" s="1"/>
  <c r="E37" i="46" s="1"/>
  <c r="E19" i="46"/>
  <c r="E38" i="46" l="1"/>
  <c r="E39" i="46" s="1"/>
  <c r="E27" i="46"/>
  <c r="F27" i="46" s="1"/>
  <c r="E15" i="46"/>
  <c r="F15" i="46" l="1"/>
  <c r="E42" i="46" s="1"/>
  <c r="M13" i="46" l="1"/>
  <c r="M12" i="46"/>
  <c r="M11" i="46"/>
  <c r="M16" i="46"/>
  <c r="M10" i="46"/>
  <c r="M4" i="46"/>
  <c r="M8" i="46"/>
  <c r="M17" i="46"/>
  <c r="M9" i="46"/>
  <c r="M15" i="46"/>
  <c r="M3" i="46"/>
  <c r="M2" i="46"/>
  <c r="M7" i="46"/>
  <c r="M18" i="46"/>
  <c r="M6" i="46"/>
  <c r="M5" i="46"/>
  <c r="M14" i="46"/>
  <c r="M26" i="46"/>
  <c r="M25" i="46"/>
  <c r="M24" i="46"/>
  <c r="M22" i="46"/>
  <c r="M21" i="46"/>
  <c r="M27" i="46"/>
  <c r="M20" i="46"/>
  <c r="M19" i="46"/>
  <c r="M28" i="46"/>
  <c r="M29" i="46"/>
  <c r="M30" i="46"/>
  <c r="M23" i="46"/>
  <c r="M31" i="46" l="1"/>
  <c r="AF6" i="48" l="1"/>
  <c r="AF5" i="48"/>
  <c r="AF7" i="48"/>
  <c r="AF9" i="48" s="1"/>
  <c r="AF8" i="48" l="1"/>
  <c r="AF10" i="48" s="1"/>
</calcChain>
</file>

<file path=xl/sharedStrings.xml><?xml version="1.0" encoding="utf-8"?>
<sst xmlns="http://schemas.openxmlformats.org/spreadsheetml/2006/main" count="1109" uniqueCount="498">
  <si>
    <t>Description</t>
  </si>
  <si>
    <t>Version of the workbook</t>
  </si>
  <si>
    <t>Type</t>
  </si>
  <si>
    <t>Meth (code / name / version / date of approval)</t>
  </si>
  <si>
    <t>PoA Title</t>
  </si>
  <si>
    <t>Sampling Constants</t>
  </si>
  <si>
    <t>Values</t>
  </si>
  <si>
    <t>Level of sampling</t>
  </si>
  <si>
    <t>Confidence (%) (90 or 95)</t>
  </si>
  <si>
    <t>Margin of Error (%)</t>
  </si>
  <si>
    <t>Z value</t>
  </si>
  <si>
    <t>Sampling frame(s)</t>
  </si>
  <si>
    <t>Calculated Sample Size (n)</t>
  </si>
  <si>
    <t>Stove population</t>
  </si>
  <si>
    <t>Sampling approach</t>
  </si>
  <si>
    <t>Monitoring duration</t>
  </si>
  <si>
    <t>Data Ex Ante</t>
  </si>
  <si>
    <t>Source</t>
  </si>
  <si>
    <t>Leakage Correction Factor (LCF)</t>
  </si>
  <si>
    <t>Calculated</t>
  </si>
  <si>
    <t>Date</t>
  </si>
  <si>
    <t>Total</t>
  </si>
  <si>
    <t>Quantity</t>
  </si>
  <si>
    <t>Equivalent Operational year in the monitoring period</t>
  </si>
  <si>
    <t>Name of CPA</t>
  </si>
  <si>
    <t>CERs</t>
  </si>
  <si>
    <t>Monitoring parameter(s)</t>
  </si>
  <si>
    <t>Sampling Population (Batch)</t>
  </si>
  <si>
    <t>Age</t>
  </si>
  <si>
    <t>Sample size determination</t>
  </si>
  <si>
    <t>Sample Size required (SOF)</t>
  </si>
  <si>
    <r>
      <t>Stove Operating Fraction for determination of N</t>
    </r>
    <r>
      <rPr>
        <b/>
        <vertAlign val="subscript"/>
        <sz val="11"/>
        <color theme="0"/>
        <rFont val="Calibri"/>
        <family val="2"/>
      </rPr>
      <t>y</t>
    </r>
  </si>
  <si>
    <t xml:space="preserve">Actual Monitored sample size </t>
  </si>
  <si>
    <t>Estimated Operation (p)</t>
  </si>
  <si>
    <r>
      <t>V</t>
    </r>
    <r>
      <rPr>
        <b/>
        <sz val="8"/>
        <color rgb="FF000000"/>
        <rFont val="Arial"/>
        <family val="2"/>
      </rPr>
      <t>operation</t>
    </r>
    <r>
      <rPr>
        <b/>
        <sz val="10"/>
        <color rgb="FF000000"/>
        <rFont val="Arial"/>
        <family val="2"/>
      </rPr>
      <t>= p(1-p)/p2</t>
    </r>
  </si>
  <si>
    <t>Operational year in monitoring period</t>
  </si>
  <si>
    <t xml:space="preserve">Monitoring period start </t>
  </si>
  <si>
    <t xml:space="preserve">Monitoring period end </t>
  </si>
  <si>
    <t>Grouped Project</t>
  </si>
  <si>
    <t>Ecozen Batch 1</t>
  </si>
  <si>
    <t>PA 001</t>
  </si>
  <si>
    <t>PA 002</t>
  </si>
  <si>
    <t>PA 003</t>
  </si>
  <si>
    <t>PA 005</t>
  </si>
  <si>
    <t>PA 006</t>
  </si>
  <si>
    <t>PA 007</t>
  </si>
  <si>
    <t>PA 010</t>
  </si>
  <si>
    <t>PA 011</t>
  </si>
  <si>
    <t>PA 012</t>
  </si>
  <si>
    <t>PA 013</t>
  </si>
  <si>
    <t>PA 014</t>
  </si>
  <si>
    <t>PA 015</t>
  </si>
  <si>
    <t>PA 016</t>
  </si>
  <si>
    <t>PA 017</t>
  </si>
  <si>
    <t>PA 025</t>
  </si>
  <si>
    <t>PA 026</t>
  </si>
  <si>
    <t>PA 027</t>
  </si>
  <si>
    <t>PA 028</t>
  </si>
  <si>
    <t>PA 029</t>
  </si>
  <si>
    <t>PA 043</t>
  </si>
  <si>
    <t>PA 044</t>
  </si>
  <si>
    <t>PA 045</t>
  </si>
  <si>
    <t>PA 046</t>
  </si>
  <si>
    <t>PA 048</t>
  </si>
  <si>
    <t>PA 049</t>
  </si>
  <si>
    <t>Ex-ante, grouped PD</t>
  </si>
  <si>
    <t>VCU</t>
  </si>
  <si>
    <t>VMR006</t>
  </si>
  <si>
    <t>Monitoring Parameter</t>
  </si>
  <si>
    <t>Sampling Category</t>
  </si>
  <si>
    <t>Sampling frame size</t>
  </si>
  <si>
    <t>Expected SD</t>
  </si>
  <si>
    <t>Calculated Sample Size</t>
  </si>
  <si>
    <t>Estimated efficiency (mean)</t>
  </si>
  <si>
    <t>Estimated Standard Deviation of efficiency (SD)</t>
  </si>
  <si>
    <r>
      <t>V</t>
    </r>
    <r>
      <rPr>
        <b/>
        <vertAlign val="subscript"/>
        <sz val="10"/>
        <color rgb="FF000000"/>
        <rFont val="Calibri"/>
        <family val="2"/>
        <scheme val="minor"/>
      </rPr>
      <t xml:space="preserve">mean </t>
    </r>
    <r>
      <rPr>
        <b/>
        <sz val="10"/>
        <color rgb="FF000000"/>
        <rFont val="Calibri"/>
        <family val="2"/>
        <scheme val="minor"/>
      </rPr>
      <t>= (SD/mean)</t>
    </r>
    <r>
      <rPr>
        <b/>
        <vertAlign val="superscript"/>
        <sz val="10"/>
        <color rgb="FF000000"/>
        <rFont val="Calibri"/>
        <family val="2"/>
        <scheme val="minor"/>
      </rPr>
      <t>2</t>
    </r>
  </si>
  <si>
    <t>Minimum Sample Size required (efficiency)</t>
  </si>
  <si>
    <t>tDistribution sample size adjustment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</si>
  <si>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</si>
  <si>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</si>
  <si>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</si>
  <si>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</si>
  <si>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</si>
  <si>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</si>
  <si>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</si>
  <si>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Sampling Frame requirement as per Grouped PD</t>
  </si>
  <si>
    <t>Ecozen Batch 1 (age 1)</t>
  </si>
  <si>
    <t>Inclusive of 20% non-response</t>
  </si>
  <si>
    <t>Ecozen</t>
  </si>
  <si>
    <r>
      <t>Therefore the sample size for parameters N</t>
    </r>
    <r>
      <rPr>
        <vertAlign val="subscript"/>
        <sz val="10.5"/>
        <color rgb="FF0D0D0D"/>
        <rFont val="Arial"/>
        <family val="2"/>
      </rPr>
      <t>y,i,j</t>
    </r>
    <r>
      <rPr>
        <sz val="10.5"/>
        <color rgb="FF0D0D0D"/>
        <rFont val="Arial"/>
        <family val="2"/>
      </rPr>
      <t xml:space="preserve"> and B</t>
    </r>
    <r>
      <rPr>
        <vertAlign val="subscript"/>
        <sz val="10.5"/>
        <color rgb="FF0D0D0D"/>
        <rFont val="Arial"/>
        <family val="2"/>
      </rPr>
      <t>y=1,new,i,j,survey</t>
    </r>
    <r>
      <rPr>
        <sz val="10.5"/>
        <color rgb="FF0D0D0D"/>
        <rFont val="Arial"/>
        <family val="2"/>
      </rPr>
      <t xml:space="preserve"> is</t>
    </r>
  </si>
  <si>
    <t>Expected Mean Efficiency (Fraction)</t>
  </si>
  <si>
    <t>PA 008</t>
  </si>
  <si>
    <t>PA 047</t>
  </si>
  <si>
    <t>PA 004</t>
  </si>
  <si>
    <t>Total distribution</t>
  </si>
  <si>
    <t>Rate</t>
  </si>
  <si>
    <r>
      <t>Number of Sample for N</t>
    </r>
    <r>
      <rPr>
        <b/>
        <vertAlign val="subscript"/>
        <sz val="11"/>
        <color theme="1"/>
        <rFont val="Calibri"/>
        <family val="2"/>
      </rPr>
      <t>y</t>
    </r>
    <r>
      <rPr>
        <b/>
        <sz val="11"/>
        <color theme="1"/>
        <rFont val="Calibri"/>
        <family val="2"/>
      </rPr>
      <t xml:space="preserve"> and B</t>
    </r>
    <r>
      <rPr>
        <b/>
        <vertAlign val="subscript"/>
        <sz val="11"/>
        <color theme="1"/>
        <rFont val="Calibri"/>
        <family val="2"/>
      </rPr>
      <t>y=1,new,i,2022</t>
    </r>
  </si>
  <si>
    <t>Expected operational proportion</t>
  </si>
  <si>
    <t>Province</t>
  </si>
  <si>
    <t>Corr.</t>
  </si>
  <si>
    <t>SERIAL NUMBER</t>
  </si>
  <si>
    <t>Date of Distribution</t>
  </si>
  <si>
    <t>Stove Model as per database</t>
  </si>
  <si>
    <t>Year</t>
  </si>
  <si>
    <t>Type of stove replaced</t>
  </si>
  <si>
    <t>District</t>
  </si>
  <si>
    <t>TELEPHONE</t>
  </si>
  <si>
    <t>Is project Stove present in the Household?</t>
  </si>
  <si>
    <t>Do you use project Stove for cooking?</t>
  </si>
  <si>
    <t>If yes, have you used the stove regularly since you installed it?</t>
  </si>
  <si>
    <t>if yes, is your stove in good condition?</t>
  </si>
  <si>
    <t>Project Stove Operation Fraction
 Ny</t>
  </si>
  <si>
    <t>If yes, do you use the Traditional Stove for cooking?</t>
  </si>
  <si>
    <t>Number of days in a week when only project stove is used</t>
  </si>
  <si>
    <t>Number of days in a week when only traditional stove is used</t>
  </si>
  <si>
    <t>Traditional cookstove</t>
  </si>
  <si>
    <t>Yes</t>
  </si>
  <si>
    <t>No</t>
  </si>
  <si>
    <t>Average</t>
  </si>
  <si>
    <t>Village</t>
  </si>
  <si>
    <t>Commune</t>
  </si>
  <si>
    <t>yes</t>
  </si>
  <si>
    <t>Is there seasonal variation on firewood use</t>
  </si>
  <si>
    <t>Weight of firewood used on project stove kg/day</t>
  </si>
  <si>
    <t>Number of days in a week when both project stove and traditional stove are used</t>
  </si>
  <si>
    <t>ANALYSIS for parameter Ny</t>
  </si>
  <si>
    <t>Samples Monitored</t>
  </si>
  <si>
    <t>Operation fraction Measured</t>
  </si>
  <si>
    <t>Standard Error of operation</t>
  </si>
  <si>
    <t>Upper Boundary Level</t>
  </si>
  <si>
    <t>Lower Boundary Level</t>
  </si>
  <si>
    <t>Relative precision (Margin of error)</t>
  </si>
  <si>
    <t>Check precision</t>
  </si>
  <si>
    <t>Result</t>
  </si>
  <si>
    <t>Lower Bound confidence value</t>
  </si>
  <si>
    <t>Not applicable</t>
  </si>
  <si>
    <t>ANALYSIS for parameter By=1,new,i,j,survey</t>
  </si>
  <si>
    <t>Mean value</t>
  </si>
  <si>
    <t>Standard deviation</t>
  </si>
  <si>
    <t>Do you use the tradtional cookstove also?</t>
  </si>
  <si>
    <t>Type of cookstove</t>
  </si>
  <si>
    <t>Proejct activity instance</t>
  </si>
  <si>
    <t>Energy saving/device</t>
  </si>
  <si>
    <t>CAM001-ICS-0993</t>
  </si>
  <si>
    <t>CAM002-ICS-7700</t>
  </si>
  <si>
    <t>CAM002-ICS-7201</t>
  </si>
  <si>
    <t>CAM003-ICS-0141</t>
  </si>
  <si>
    <t>CAM003-ICS-0129</t>
  </si>
  <si>
    <t>CAM004-ICS-0660</t>
  </si>
  <si>
    <t>CAM005-ICS-4909</t>
  </si>
  <si>
    <t>CAM005-ICS-6100</t>
  </si>
  <si>
    <t>CAM009-ICS-6884</t>
  </si>
  <si>
    <t>CAM009-ICS-1023</t>
  </si>
  <si>
    <t>CAM006-ICS-1686</t>
  </si>
  <si>
    <t>CAM007-ICS-7043</t>
  </si>
  <si>
    <t>CAM007-ICS-1571</t>
  </si>
  <si>
    <t>CAM008-ICS-5306</t>
  </si>
  <si>
    <t>CAM008-ICS-6733</t>
  </si>
  <si>
    <t>CAM010-ICS-3394</t>
  </si>
  <si>
    <t>CAM011-ICS-0001</t>
  </si>
  <si>
    <t>CAM013-ICS-0703</t>
  </si>
  <si>
    <t>CAM013-ICS-1681</t>
  </si>
  <si>
    <t>CAM014-ICS-3602</t>
  </si>
  <si>
    <t>CAM015-ICS-6616</t>
  </si>
  <si>
    <t>CAM015-ICS-3997</t>
  </si>
  <si>
    <t>CAM016-ICS-1122</t>
  </si>
  <si>
    <t>CAM016-ICS-5070</t>
  </si>
  <si>
    <t>CAM017-ICS-2278</t>
  </si>
  <si>
    <t>CAM017-ICS-2305</t>
  </si>
  <si>
    <t>CAM025-ICS-0197</t>
  </si>
  <si>
    <t>CAM026-ICS-1524</t>
  </si>
  <si>
    <t>CAM026-ICS-0747</t>
  </si>
  <si>
    <t>CAM027-ICS-1189</t>
  </si>
  <si>
    <t>CAM027-ICS-1660</t>
  </si>
  <si>
    <t>CAM028-ICS-0959</t>
  </si>
  <si>
    <t>CAM028-ICS-7749</t>
  </si>
  <si>
    <t>CAM029-ICS-1085</t>
  </si>
  <si>
    <t>CAM043-ICS-6644</t>
  </si>
  <si>
    <t>CAM043-ICS-5235</t>
  </si>
  <si>
    <t>CAM044-ICS-5748</t>
  </si>
  <si>
    <t>CAM044-ICS-7642</t>
  </si>
  <si>
    <t>CAM046-ICS-5248</t>
  </si>
  <si>
    <t>CAM046-ICS-5443</t>
  </si>
  <si>
    <t>CAM046-ICS-7142</t>
  </si>
  <si>
    <t>CAM045-ICS-2642</t>
  </si>
  <si>
    <t>CAM045-ICS-1137</t>
  </si>
  <si>
    <t>CAM047-ICS-1414</t>
  </si>
  <si>
    <t>CAM047-ICS-5626</t>
  </si>
  <si>
    <t>CAM048-ICS-6489</t>
  </si>
  <si>
    <t>CAM048-ICS-3476</t>
  </si>
  <si>
    <t>CAM049-ICS-0681</t>
  </si>
  <si>
    <t>CAM012-ICS-0078</t>
  </si>
  <si>
    <t>CAM012-ICS-0293</t>
  </si>
  <si>
    <t>Takeo</t>
  </si>
  <si>
    <t>Kep</t>
  </si>
  <si>
    <t>Svay Riêng</t>
  </si>
  <si>
    <t>Pray Vêng</t>
  </si>
  <si>
    <t>Kampong Speu</t>
  </si>
  <si>
    <t>Kampot</t>
  </si>
  <si>
    <t>CAM25-ICS-1254</t>
  </si>
  <si>
    <t>CAM014-ICS-5412</t>
  </si>
  <si>
    <t>CAM010-ICS-6474</t>
  </si>
  <si>
    <t>Start date of distribution ICS  in a month</t>
  </si>
  <si>
    <t>End date of distribution ICS in a month</t>
  </si>
  <si>
    <t>PA 009</t>
  </si>
  <si>
    <t>Energy Saving</t>
  </si>
  <si>
    <t>Percent diffirence</t>
  </si>
  <si>
    <t>Grouped projects for Cambodia Improved Cookstove</t>
  </si>
  <si>
    <t>Installation of Improved Cookstoves in 6 provinces in Cambodia</t>
  </si>
  <si>
    <t>02/05/2022 - 31/03/2023</t>
  </si>
  <si>
    <t>Name in Khmer</t>
  </si>
  <si>
    <t>Name in Latinh</t>
  </si>
  <si>
    <t>ហៃ លីហ្លេង</t>
  </si>
  <si>
    <t>Hai Leyleng</t>
  </si>
  <si>
    <t>Trapeang Trav</t>
  </si>
  <si>
    <t>Sla</t>
  </si>
  <si>
    <t>Samraong</t>
  </si>
  <si>
    <t>CAM001-ICS-4215</t>
  </si>
  <si>
    <t>លី វិ</t>
  </si>
  <si>
    <t>Ly Ve</t>
  </si>
  <si>
    <t>Trapeang Thnong</t>
  </si>
  <si>
    <t>Khvav</t>
  </si>
  <si>
    <t>ឃិន  ចិន</t>
  </si>
  <si>
    <t>Khin  Chen   </t>
  </si>
  <si>
    <t>Voat sla</t>
  </si>
  <si>
    <t>KrapumChhuk</t>
  </si>
  <si>
    <t>Koh Andet</t>
  </si>
  <si>
    <t>សែ  យ៉ិម</t>
  </si>
  <si>
    <t>Saes Yoem</t>
  </si>
  <si>
    <t>Beng</t>
  </si>
  <si>
    <t>សេម ភ័ក្ត</t>
  </si>
  <si>
    <t>Sem Pheak</t>
  </si>
  <si>
    <t>0884042930</t>
  </si>
  <si>
    <t>Tropaingkok</t>
  </si>
  <si>
    <t>Thlea Prachum</t>
  </si>
  <si>
    <t>ហៀន ប្រុស</t>
  </si>
  <si>
    <t>Hean Bros</t>
  </si>
  <si>
    <t>098645643</t>
  </si>
  <si>
    <t>Tahean</t>
  </si>
  <si>
    <t>Prey Yuthka</t>
  </si>
  <si>
    <t>នឹម យ៉ាន់</t>
  </si>
  <si>
    <t>Nem Yann</t>
  </si>
  <si>
    <t>Kampongtralach</t>
  </si>
  <si>
    <t>Prey Thom</t>
  </si>
  <si>
    <t>ម៉ម ស៊ីង</t>
  </si>
  <si>
    <t>Mom Sing</t>
  </si>
  <si>
    <t>Trapeang Krasang</t>
  </si>
  <si>
    <t>Our Saray</t>
  </si>
  <si>
    <t>Tram Kak</t>
  </si>
  <si>
    <t>វ៉ាន់ ស្រុន</t>
  </si>
  <si>
    <t>Van Srun</t>
  </si>
  <si>
    <t>017634312</t>
  </si>
  <si>
    <t>Srangae</t>
  </si>
  <si>
    <t>Otdam Soriya</t>
  </si>
  <si>
    <t>ប៉ែន ជីន</t>
  </si>
  <si>
    <t>Pen Chenn</t>
  </si>
  <si>
    <t>Trapeang Kabbas</t>
  </si>
  <si>
    <t>Ta Phem</t>
  </si>
  <si>
    <t>ទេព រ៉ាដូ</t>
  </si>
  <si>
    <t>Tep Rado</t>
  </si>
  <si>
    <t>Ruesey Leap</t>
  </si>
  <si>
    <t>Samyorng</t>
  </si>
  <si>
    <t>Kampongrou</t>
  </si>
  <si>
    <t>Svay Rieng</t>
  </si>
  <si>
    <t>ស ឆេង</t>
  </si>
  <si>
    <t>Sor Chang</t>
  </si>
  <si>
    <t>Kondal</t>
  </si>
  <si>
    <t>Prasat</t>
  </si>
  <si>
    <t>Bavit</t>
  </si>
  <si>
    <t>ងួន មិន</t>
  </si>
  <si>
    <t>Ngun Min</t>
  </si>
  <si>
    <t>Bos Svay</t>
  </si>
  <si>
    <t>Bosmon</t>
  </si>
  <si>
    <t>Rumdoul</t>
  </si>
  <si>
    <t>សណ សុខុម</t>
  </si>
  <si>
    <t>Sn Sukhom</t>
  </si>
  <si>
    <t>Porn</t>
  </si>
  <si>
    <t>SangKer</t>
  </si>
  <si>
    <t>ឡុង ចាន្នី</t>
  </si>
  <si>
    <t>Long Channy</t>
  </si>
  <si>
    <t>Ak Neak</t>
  </si>
  <si>
    <t>Sang khor</t>
  </si>
  <si>
    <t>សំ ថាន</t>
  </si>
  <si>
    <t>Som Than</t>
  </si>
  <si>
    <t>Moeurnchey</t>
  </si>
  <si>
    <t>Moeunchey</t>
  </si>
  <si>
    <t>មាស ស៊ីម</t>
  </si>
  <si>
    <t>Meas Sem</t>
  </si>
  <si>
    <t>Kanhchhet</t>
  </si>
  <si>
    <t>Svay Rompea</t>
  </si>
  <si>
    <t>Svay Teap</t>
  </si>
  <si>
    <t>សែង សារិន</t>
  </si>
  <si>
    <t>Seng Sarin</t>
  </si>
  <si>
    <t>Trorpang Kraum</t>
  </si>
  <si>
    <t>Chres</t>
  </si>
  <si>
    <t>Chantrea</t>
  </si>
  <si>
    <t>ទុំ ចន្ធូ</t>
  </si>
  <si>
    <t>Tum Chanthou</t>
  </si>
  <si>
    <t>Roessey</t>
  </si>
  <si>
    <t>Toul Sdey</t>
  </si>
  <si>
    <t>អ៊ុង ហ៊ាប</t>
  </si>
  <si>
    <t>Oung Heab</t>
  </si>
  <si>
    <t>Prey Kansa</t>
  </si>
  <si>
    <t>Cham</t>
  </si>
  <si>
    <t>Kampong Trabek</t>
  </si>
  <si>
    <t>Prey Veng</t>
  </si>
  <si>
    <t>ផន សាវ៉ន</t>
  </si>
  <si>
    <t>Phorn Savorn</t>
  </si>
  <si>
    <t>0972827912</t>
  </si>
  <si>
    <t>Angkanh</t>
  </si>
  <si>
    <t>Pratheath</t>
  </si>
  <si>
    <t>គុយ យ៉ុម</t>
  </si>
  <si>
    <t>Kuyum</t>
  </si>
  <si>
    <t>Phum Dong</t>
  </si>
  <si>
    <t>Kunh Chom</t>
  </si>
  <si>
    <t>Pea Reang</t>
  </si>
  <si>
    <t>សុស សឿ</t>
  </si>
  <si>
    <t>Sos Soeur</t>
  </si>
  <si>
    <t>Tnot</t>
  </si>
  <si>
    <t>Roka</t>
  </si>
  <si>
    <t>ឡាំ ឡៃអ៊ាង</t>
  </si>
  <si>
    <t>Lam Lai Eang</t>
  </si>
  <si>
    <t>Tamao</t>
  </si>
  <si>
    <t>Rea Thor</t>
  </si>
  <si>
    <t>Preah Sdach</t>
  </si>
  <si>
    <t>ខ្វាង ណារ៉េត</t>
  </si>
  <si>
    <t>Kwang Nareth</t>
  </si>
  <si>
    <t>Tnot Chrus</t>
  </si>
  <si>
    <t>Lvea</t>
  </si>
  <si>
    <t>ពិន ធារ៉ា</t>
  </si>
  <si>
    <t>Pin Theara</t>
  </si>
  <si>
    <t>0976566878</t>
  </si>
  <si>
    <t>Prey Chreang</t>
  </si>
  <si>
    <t>Pean Roung</t>
  </si>
  <si>
    <t xml:space="preserve">Svay Antor </t>
  </si>
  <si>
    <t>យ៉ុន ធន</t>
  </si>
  <si>
    <t>Umida Thun</t>
  </si>
  <si>
    <t>TaKat</t>
  </si>
  <si>
    <t>Somerong</t>
  </si>
  <si>
    <t>ស្រី សែម</t>
  </si>
  <si>
    <t>Srey Sem</t>
  </si>
  <si>
    <t>Samlei Khang Cherng</t>
  </si>
  <si>
    <t>Samlei</t>
  </si>
  <si>
    <t>ហេង​ នី</t>
  </si>
  <si>
    <t>Heng Ny</t>
  </si>
  <si>
    <t>Chinsa</t>
  </si>
  <si>
    <t>Porthireach</t>
  </si>
  <si>
    <t>Svay Chroum</t>
  </si>
  <si>
    <t>ប៊ូ ថន</t>
  </si>
  <si>
    <t>Bor Thorn</t>
  </si>
  <si>
    <t>010871206</t>
  </si>
  <si>
    <t>Bat Thang</t>
  </si>
  <si>
    <t>Kokisom</t>
  </si>
  <si>
    <t>រិន នួន</t>
  </si>
  <si>
    <t>Rin Noun</t>
  </si>
  <si>
    <t>0974851269</t>
  </si>
  <si>
    <t>Prey Tathoeuk</t>
  </si>
  <si>
    <t>ហន ហុន</t>
  </si>
  <si>
    <t>Horn Hun</t>
  </si>
  <si>
    <t>0965108892</t>
  </si>
  <si>
    <t xml:space="preserve">Srae Vien </t>
  </si>
  <si>
    <t>Sangkae Satob</t>
  </si>
  <si>
    <t>Aoral</t>
  </si>
  <si>
    <t>ម៉ោ គួន</t>
  </si>
  <si>
    <t>Mao Koun</t>
  </si>
  <si>
    <t>0965413406</t>
  </si>
  <si>
    <t>Koul</t>
  </si>
  <si>
    <t>Monourom</t>
  </si>
  <si>
    <t>Thpong</t>
  </si>
  <si>
    <t>អ៊ុន ស្រីពៅ</t>
  </si>
  <si>
    <t>Un Sreypao</t>
  </si>
  <si>
    <t>070464294</t>
  </si>
  <si>
    <t>Khlang Bram</t>
  </si>
  <si>
    <t>Veang Chas</t>
  </si>
  <si>
    <t>Oudong</t>
  </si>
  <si>
    <t>មួង ផា</t>
  </si>
  <si>
    <t>Moung Pha</t>
  </si>
  <si>
    <t>Phnom Bat</t>
  </si>
  <si>
    <t>Cheung Roas</t>
  </si>
  <si>
    <t>ប៉េង ប៊ុនលី</t>
  </si>
  <si>
    <t>Peng Bunly</t>
  </si>
  <si>
    <t>Chrok</t>
  </si>
  <si>
    <t>Preykrasang</t>
  </si>
  <si>
    <t>ឆុន រីម</t>
  </si>
  <si>
    <t>Chun Rim</t>
  </si>
  <si>
    <t>Kandak</t>
  </si>
  <si>
    <t>ពត បូី</t>
  </si>
  <si>
    <t>Pot Boi</t>
  </si>
  <si>
    <t>Rasa Stirpe</t>
  </si>
  <si>
    <t>Phnom Toch</t>
  </si>
  <si>
    <t>គីម គន្ធ</t>
  </si>
  <si>
    <t>Kim Kantha</t>
  </si>
  <si>
    <t>092968130</t>
  </si>
  <si>
    <t>Sambour</t>
  </si>
  <si>
    <t>Cheung Reasa</t>
  </si>
  <si>
    <t>សិន សាខន</t>
  </si>
  <si>
    <t>Sin Sakhorn</t>
  </si>
  <si>
    <t>0964021093</t>
  </si>
  <si>
    <t>Chrey Senchey</t>
  </si>
  <si>
    <t>Traing Samrong</t>
  </si>
  <si>
    <t>Phnom Srouch</t>
  </si>
  <si>
    <t>ង៉ា មី</t>
  </si>
  <si>
    <t>Ngami</t>
  </si>
  <si>
    <t>Prey Phdau Cheung</t>
  </si>
  <si>
    <t>Prey Phdau</t>
  </si>
  <si>
    <t>Prey Kabbas</t>
  </si>
  <si>
    <t>ឃុន ខន</t>
  </si>
  <si>
    <t>Khun Khorn</t>
  </si>
  <si>
    <t>Peanmeas Lech</t>
  </si>
  <si>
    <t>Lumpong</t>
  </si>
  <si>
    <t>Bati</t>
  </si>
  <si>
    <t>ហៀម ហេង</t>
  </si>
  <si>
    <t>Hiem Heng</t>
  </si>
  <si>
    <t>0976843639</t>
  </si>
  <si>
    <t>Trapeang Prei</t>
  </si>
  <si>
    <t>Angk Khnor</t>
  </si>
  <si>
    <t>Treang</t>
  </si>
  <si>
    <t>យួន អែម</t>
  </si>
  <si>
    <t>Youn Em</t>
  </si>
  <si>
    <t>Skul</t>
  </si>
  <si>
    <t>Smaong</t>
  </si>
  <si>
    <t>សុខ រេន</t>
  </si>
  <si>
    <t>Sok Ren</t>
  </si>
  <si>
    <t>Trapaing Porn</t>
  </si>
  <si>
    <t>Banteay Meas Keut</t>
  </si>
  <si>
    <t>Banteay Meas</t>
  </si>
  <si>
    <t>រស់ ឌីម</t>
  </si>
  <si>
    <t>Ros Dim</t>
  </si>
  <si>
    <t>070832451</t>
  </si>
  <si>
    <t>Khnay</t>
  </si>
  <si>
    <t>Thnot Chong Srang</t>
  </si>
  <si>
    <t>ម៉ម ទិត</t>
  </si>
  <si>
    <t>Mom Tit</t>
  </si>
  <si>
    <t>0888162668</t>
  </si>
  <si>
    <t>Takok</t>
  </si>
  <si>
    <t>Tani</t>
  </si>
  <si>
    <t>Angkor Chey</t>
  </si>
  <si>
    <t>ជ័យ   ពិសិដ្ឋ</t>
  </si>
  <si>
    <t>Chey Piseth</t>
  </si>
  <si>
    <t>Sdok</t>
  </si>
  <si>
    <t>Som Lanh</t>
  </si>
  <si>
    <t>ចាន់ រ៉ា</t>
  </si>
  <si>
    <t>Chan Ra</t>
  </si>
  <si>
    <t>Boeng Tapream</t>
  </si>
  <si>
    <t>Trery Kok</t>
  </si>
  <si>
    <t>អ៊ីង សម្ភ័ស</t>
  </si>
  <si>
    <t>Ing Samphors</t>
  </si>
  <si>
    <t>0972861670</t>
  </si>
  <si>
    <t>Domnak Chhuorl</t>
  </si>
  <si>
    <t>Trapeang Bei</t>
  </si>
  <si>
    <t>Chhuok</t>
  </si>
  <si>
    <t>នយ វ៉ាង</t>
  </si>
  <si>
    <t>Noy Vang</t>
  </si>
  <si>
    <t>0974848984</t>
  </si>
  <si>
    <t>Beong</t>
  </si>
  <si>
    <t>Beong Nimol</t>
  </si>
  <si>
    <t>សុះ  តៃម៉ះ</t>
  </si>
  <si>
    <t>Sos Taimas</t>
  </si>
  <si>
    <t>086706649</t>
  </si>
  <si>
    <t>Totoeng Thngai</t>
  </si>
  <si>
    <t>Boeng Tuk</t>
  </si>
  <si>
    <t>Bokor</t>
  </si>
  <si>
    <t>ចាន់ សូវៀត</t>
  </si>
  <si>
    <t>Chan Soviet</t>
  </si>
  <si>
    <t>Svay Thom</t>
  </si>
  <si>
    <t>Trpang Thom</t>
  </si>
  <si>
    <t>Teuk Chhou</t>
  </si>
  <si>
    <t>ម៉ៅ ឆាន់</t>
  </si>
  <si>
    <t>Mao Chan</t>
  </si>
  <si>
    <t>Snay Anhchit</t>
  </si>
  <si>
    <t>Chum kiri</t>
  </si>
  <si>
    <t>Weght of firewood used on baseline cookstove</t>
  </si>
  <si>
    <t>Value</t>
  </si>
  <si>
    <t>By=1,new,i,2022(age 1)</t>
  </si>
  <si>
    <t>Vintage 1</t>
  </si>
  <si>
    <t>Vintage 2</t>
  </si>
  <si>
    <t>Start date of stove crediting 
(considering the start date of monitoring vintage)</t>
  </si>
  <si>
    <t>End date of stove crediting  (considering the end date of monitoring vintage)</t>
  </si>
  <si>
    <t>Vintage</t>
  </si>
  <si>
    <t>Start date of vintage</t>
  </si>
  <si>
    <t>End date of vintage</t>
  </si>
  <si>
    <t>Total days of vintage</t>
  </si>
  <si>
    <t>-</t>
  </si>
  <si>
    <t>CER</t>
  </si>
  <si>
    <r>
      <t>B</t>
    </r>
    <r>
      <rPr>
        <vertAlign val="subscript"/>
        <sz val="11"/>
        <color theme="1"/>
        <rFont val="Calibri"/>
        <family val="2"/>
      </rPr>
      <t>y=1,new,i,survey</t>
    </r>
  </si>
  <si>
    <r>
      <t>f</t>
    </r>
    <r>
      <rPr>
        <vertAlign val="subscript"/>
        <sz val="11"/>
        <color theme="1"/>
        <rFont val="Calibri"/>
        <family val="2"/>
      </rPr>
      <t>NRB,b,y</t>
    </r>
  </si>
  <si>
    <r>
      <t>NCV</t>
    </r>
    <r>
      <rPr>
        <vertAlign val="subscript"/>
        <sz val="11"/>
        <color theme="1"/>
        <rFont val="Calibri (Body)"/>
      </rPr>
      <t>biomass</t>
    </r>
  </si>
  <si>
    <r>
      <t>Ef</t>
    </r>
    <r>
      <rPr>
        <vertAlign val="subscript"/>
        <sz val="11"/>
        <color theme="1"/>
        <rFont val="Calibri"/>
        <family val="2"/>
        <scheme val="minor"/>
      </rPr>
      <t>wf,CO2</t>
    </r>
  </si>
  <si>
    <r>
      <t>EF</t>
    </r>
    <r>
      <rPr>
        <vertAlign val="subscript"/>
        <sz val="11"/>
        <color theme="1"/>
        <rFont val="Calibri"/>
        <family val="2"/>
      </rPr>
      <t>WF,non CO2</t>
    </r>
  </si>
  <si>
    <r>
      <t>η</t>
    </r>
    <r>
      <rPr>
        <vertAlign val="subscript"/>
        <sz val="11"/>
        <color theme="1"/>
        <rFont val="Calibri"/>
        <family val="2"/>
      </rPr>
      <t>old</t>
    </r>
  </si>
  <si>
    <r>
      <t>η</t>
    </r>
    <r>
      <rPr>
        <vertAlign val="subscript"/>
        <sz val="11"/>
        <color theme="1"/>
        <rFont val="Calibri"/>
        <family val="2"/>
      </rPr>
      <t>new,,Ecozen,1</t>
    </r>
  </si>
  <si>
    <r>
      <t>B</t>
    </r>
    <r>
      <rPr>
        <vertAlign val="subscript"/>
        <sz val="11"/>
        <color theme="1"/>
        <rFont val="Calibri (Body)"/>
      </rPr>
      <t>y,savings,i=Ecozen,a=1</t>
    </r>
  </si>
  <si>
    <t>Ex-ante emission reductions/ removals (PA 1)</t>
  </si>
  <si>
    <t>Achieved emission reductions/ removal (PA 1)</t>
  </si>
  <si>
    <t>Ex-ante, grouped PD, adjusted MR</t>
  </si>
  <si>
    <t>Given age population</t>
  </si>
  <si>
    <t>Stratified random sampling across stove age</t>
  </si>
  <si>
    <t>Given  age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</si>
</sst>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"/>
    <numFmt numFmtId="167" formatCode="[$-409]d\-mmm\-yy;@"/>
    <numFmt numFmtId="168" formatCode="_-* #,##0_-;\-* #,##0_-;_-* &quot;-&quot;??_-;_-@_-"/>
    <numFmt numFmtId="169" formatCode="0.0000"/>
    <numFmt numFmtId="170" formatCode="_(* #,##0_);_(* \(#,##0\);_(* &quot;-&quot;??_);_(@_)"/>
    <numFmt numFmtId="171" formatCode="_-* #,##0.000_-;\-* #,##0.000_-;_-* &quot;-&quot;??_-;_-@_-"/>
    <numFmt numFmtId="172" formatCode="_ * #,##0_ ;_ * \-#,##0_ ;_ * &quot;-&quot;??_ ;_ @_ "/>
    <numFmt numFmtId="173" formatCode="0.000%"/>
    <numFmt numFmtId="174" formatCode="0.00000"/>
  </numFmts>
  <fonts count="5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宋体"/>
      <charset val="134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11"/>
      <color theme="11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9"/>
      <color indexed="8"/>
      <name val="Calibri"/>
      <family val="2"/>
      <scheme val="minor"/>
    </font>
    <font>
      <b/>
      <sz val="11"/>
      <color theme="0"/>
      <name val="Calibri"/>
      <family val="2"/>
    </font>
    <font>
      <b/>
      <vertAlign val="subscript"/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vertAlign val="subscript"/>
      <sz val="14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bscript"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.5"/>
      <color rgb="FF0D0D0D"/>
      <name val="Arial"/>
      <family val="2"/>
    </font>
    <font>
      <vertAlign val="subscript"/>
      <sz val="10.5"/>
      <color rgb="FF0D0D0D"/>
      <name val="Arial"/>
      <family val="2"/>
    </font>
    <font>
      <b/>
      <vertAlign val="subscript"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 (Body)"/>
    </font>
    <font>
      <vertAlign val="subscript"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6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24994659260841701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AF8C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8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4" fillId="0" borderId="0"/>
    <xf numFmtId="43" fontId="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16" fillId="0" borderId="0"/>
    <xf numFmtId="0" fontId="14" fillId="0" borderId="0"/>
    <xf numFmtId="0" fontId="7" fillId="0" borderId="0"/>
    <xf numFmtId="0" fontId="17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7" fillId="0" borderId="0"/>
    <xf numFmtId="0" fontId="7" fillId="0" borderId="0"/>
    <xf numFmtId="0" fontId="7" fillId="5" borderId="18" applyNumberFormat="0" applyFon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26" fillId="0" borderId="0"/>
  </cellStyleXfs>
  <cellXfs count="458">
    <xf numFmtId="0" fontId="0" fillId="0" borderId="0" xfId="0"/>
    <xf numFmtId="0" fontId="12" fillId="2" borderId="0" xfId="3" applyFont="1" applyFill="1" applyAlignment="1" applyProtection="1">
      <alignment vertical="center"/>
      <protection locked="0"/>
    </xf>
    <xf numFmtId="0" fontId="13" fillId="2" borderId="0" xfId="3" applyFont="1" applyFill="1" applyAlignment="1" applyProtection="1">
      <alignment vertical="center"/>
      <protection locked="0"/>
    </xf>
    <xf numFmtId="0" fontId="0" fillId="0" borderId="0" xfId="0" applyAlignment="1">
      <alignment wrapText="1"/>
    </xf>
    <xf numFmtId="0" fontId="8" fillId="0" borderId="0" xfId="0" applyFont="1"/>
    <xf numFmtId="0" fontId="14" fillId="0" borderId="1" xfId="12" applyFont="1" applyFill="1" applyBorder="1" applyAlignment="1">
      <alignment horizontal="left" vertical="center" wrapText="1"/>
    </xf>
    <xf numFmtId="0" fontId="10" fillId="2" borderId="16" xfId="3" applyFont="1" applyFill="1" applyBorder="1" applyAlignment="1" applyProtection="1">
      <alignment vertical="top"/>
      <protection locked="0"/>
    </xf>
    <xf numFmtId="0" fontId="10" fillId="2" borderId="9" xfId="3" applyFont="1" applyFill="1" applyBorder="1" applyAlignment="1" applyProtection="1">
      <alignment vertical="top"/>
      <protection locked="0"/>
    </xf>
    <xf numFmtId="0" fontId="10" fillId="2" borderId="12" xfId="3" applyFont="1" applyFill="1" applyBorder="1" applyAlignment="1" applyProtection="1">
      <alignment vertical="top"/>
      <protection locked="0"/>
    </xf>
    <xf numFmtId="0" fontId="22" fillId="0" borderId="0" xfId="96" applyFont="1"/>
    <xf numFmtId="0" fontId="22" fillId="0" borderId="0" xfId="96" applyFont="1" applyFill="1" applyAlignment="1">
      <alignment vertical="center"/>
    </xf>
    <xf numFmtId="14" fontId="22" fillId="0" borderId="0" xfId="96" applyNumberFormat="1" applyFont="1"/>
    <xf numFmtId="0" fontId="24" fillId="0" borderId="0" xfId="96" applyFont="1" applyFill="1" applyAlignment="1">
      <alignment vertical="center"/>
    </xf>
    <xf numFmtId="2" fontId="22" fillId="0" borderId="0" xfId="96" applyNumberFormat="1" applyFont="1"/>
    <xf numFmtId="168" fontId="0" fillId="0" borderId="0" xfId="0" applyNumberFormat="1"/>
    <xf numFmtId="0" fontId="14" fillId="6" borderId="0" xfId="12" applyFill="1" applyAlignment="1">
      <alignment horizontal="left" vertical="center" wrapText="1"/>
    </xf>
    <xf numFmtId="0" fontId="15" fillId="7" borderId="1" xfId="12" applyFont="1" applyFill="1" applyBorder="1" applyAlignment="1">
      <alignment horizontal="left" vertical="center" wrapText="1"/>
    </xf>
    <xf numFmtId="0" fontId="15" fillId="7" borderId="1" xfId="12" applyFont="1" applyFill="1" applyBorder="1" applyAlignment="1">
      <alignment horizontal="center" vertical="center" wrapText="1"/>
    </xf>
    <xf numFmtId="167" fontId="14" fillId="0" borderId="1" xfId="12" applyNumberFormat="1" applyFont="1" applyFill="1" applyBorder="1" applyAlignment="1">
      <alignment horizontal="center" vertical="center" wrapText="1"/>
    </xf>
    <xf numFmtId="0" fontId="25" fillId="6" borderId="0" xfId="12" applyFont="1" applyFill="1" applyAlignment="1">
      <alignment horizontal="left" vertical="center"/>
    </xf>
    <xf numFmtId="0" fontId="14" fillId="6" borderId="1" xfId="12" applyFill="1" applyBorder="1" applyAlignment="1">
      <alignment horizontal="left" vertical="center" wrapText="1"/>
    </xf>
    <xf numFmtId="2" fontId="14" fillId="6" borderId="1" xfId="12" applyNumberFormat="1" applyFill="1" applyBorder="1" applyAlignment="1">
      <alignment horizontal="center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center" vertical="center" wrapText="1"/>
    </xf>
    <xf numFmtId="9" fontId="14" fillId="6" borderId="1" xfId="55" applyFont="1" applyFill="1" applyBorder="1" applyAlignment="1">
      <alignment horizontal="center" vertical="center" wrapText="1"/>
    </xf>
    <xf numFmtId="9" fontId="0" fillId="6" borderId="1" xfId="22" applyFont="1" applyFill="1" applyBorder="1" applyAlignment="1">
      <alignment horizontal="center" vertical="center" wrapText="1"/>
    </xf>
    <xf numFmtId="0" fontId="14" fillId="6" borderId="0" xfId="12" applyFill="1" applyBorder="1" applyAlignment="1">
      <alignment horizontal="left" vertical="center" wrapText="1"/>
    </xf>
    <xf numFmtId="2" fontId="14" fillId="6" borderId="0" xfId="12" applyNumberFormat="1" applyFill="1" applyBorder="1" applyAlignment="1">
      <alignment horizontal="left" vertical="center" wrapText="1"/>
    </xf>
    <xf numFmtId="0" fontId="27" fillId="6" borderId="0" xfId="4" applyFont="1" applyFill="1" applyAlignment="1"/>
    <xf numFmtId="167" fontId="7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0" fontId="7" fillId="8" borderId="1" xfId="144" applyNumberFormat="1" applyFont="1" applyFill="1" applyBorder="1" applyAlignment="1">
      <alignment horizontal="right" vertical="center"/>
    </xf>
    <xf numFmtId="170" fontId="7" fillId="4" borderId="1" xfId="144" applyNumberFormat="1" applyFont="1" applyFill="1" applyBorder="1" applyAlignment="1">
      <alignment horizontal="right" vertical="center"/>
    </xf>
    <xf numFmtId="167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15" fillId="9" borderId="1" xfId="12" applyFont="1" applyFill="1" applyBorder="1" applyAlignment="1">
      <alignment horizontal="left" vertical="center" wrapText="1"/>
    </xf>
    <xf numFmtId="2" fontId="17" fillId="0" borderId="1" xfId="0" applyNumberFormat="1" applyFont="1" applyFill="1" applyBorder="1" applyAlignment="1">
      <alignment horizontal="center" vertical="center" wrapText="1"/>
    </xf>
    <xf numFmtId="165" fontId="17" fillId="0" borderId="1" xfId="0" applyNumberFormat="1" applyFont="1" applyFill="1" applyBorder="1" applyAlignment="1">
      <alignment horizontal="center" vertical="center" wrapText="1"/>
    </xf>
    <xf numFmtId="1" fontId="32" fillId="0" borderId="1" xfId="0" applyNumberFormat="1" applyFont="1" applyFill="1" applyBorder="1" applyAlignment="1">
      <alignment horizontal="center" vertical="center" wrapText="1"/>
    </xf>
    <xf numFmtId="0" fontId="15" fillId="9" borderId="1" xfId="12" applyFont="1" applyFill="1" applyBorder="1" applyAlignment="1">
      <alignment horizontal="center" vertical="center" wrapText="1"/>
    </xf>
    <xf numFmtId="0" fontId="15" fillId="0" borderId="4" xfId="12" applyFont="1" applyBorder="1" applyAlignment="1">
      <alignment horizontal="left" vertical="center" wrapText="1"/>
    </xf>
    <xf numFmtId="0" fontId="29" fillId="10" borderId="4" xfId="12" applyFont="1" applyFill="1" applyBorder="1" applyAlignment="1">
      <alignment horizontal="left" vertical="center" wrapText="1"/>
    </xf>
    <xf numFmtId="2" fontId="0" fillId="0" borderId="1" xfId="13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5" fillId="9" borderId="2" xfId="12" applyFont="1" applyFill="1" applyBorder="1" applyAlignment="1">
      <alignment horizontal="center" vertical="center" wrapText="1"/>
    </xf>
    <xf numFmtId="1" fontId="0" fillId="0" borderId="2" xfId="13" applyNumberFormat="1" applyFont="1" applyFill="1" applyBorder="1" applyAlignment="1">
      <alignment horizontal="center" vertical="center" wrapText="1"/>
    </xf>
    <xf numFmtId="1" fontId="14" fillId="6" borderId="0" xfId="12" applyNumberFormat="1" applyFill="1" applyAlignment="1">
      <alignment horizontal="left" vertical="center" wrapText="1"/>
    </xf>
    <xf numFmtId="0" fontId="0" fillId="14" borderId="1" xfId="0" applyFont="1" applyFill="1" applyBorder="1" applyAlignment="1">
      <alignment horizontal="center" vertical="center"/>
    </xf>
    <xf numFmtId="167" fontId="7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170" fontId="7" fillId="15" borderId="1" xfId="144" applyNumberFormat="1" applyFont="1" applyFill="1" applyBorder="1" applyAlignment="1">
      <alignment horizontal="right" vertical="center"/>
    </xf>
    <xf numFmtId="167" fontId="7" fillId="15" borderId="1" xfId="0" applyNumberFormat="1" applyFont="1" applyFill="1" applyBorder="1" applyAlignment="1">
      <alignment horizontal="center" vertical="center"/>
    </xf>
    <xf numFmtId="170" fontId="0" fillId="14" borderId="1" xfId="144" applyNumberFormat="1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167" fontId="7" fillId="16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167" fontId="0" fillId="17" borderId="1" xfId="0" applyNumberFormat="1" applyFont="1" applyFill="1" applyBorder="1" applyAlignment="1">
      <alignment horizontal="center" vertical="center"/>
    </xf>
    <xf numFmtId="167" fontId="7" fillId="17" borderId="1" xfId="0" applyNumberFormat="1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167" fontId="7" fillId="18" borderId="1" xfId="0" applyNumberFormat="1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167" fontId="7" fillId="19" borderId="1" xfId="0" applyNumberFormat="1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167" fontId="7" fillId="20" borderId="1" xfId="0" applyNumberFormat="1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167" fontId="7" fillId="21" borderId="1" xfId="0" applyNumberFormat="1" applyFont="1" applyFill="1" applyBorder="1" applyAlignment="1">
      <alignment horizontal="center" vertical="center"/>
    </xf>
    <xf numFmtId="2" fontId="0" fillId="14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19" borderId="1" xfId="0" applyNumberFormat="1" applyFont="1" applyFill="1" applyBorder="1" applyAlignment="1">
      <alignment horizontal="center" vertical="center"/>
    </xf>
    <xf numFmtId="2" fontId="0" fillId="21" borderId="1" xfId="0" applyNumberFormat="1" applyFont="1" applyFill="1" applyBorder="1" applyAlignment="1">
      <alignment horizontal="center" vertical="center"/>
    </xf>
    <xf numFmtId="172" fontId="15" fillId="2" borderId="20" xfId="12" applyNumberFormat="1" applyFont="1" applyFill="1" applyBorder="1" applyAlignment="1">
      <alignment horizontal="center" vertical="center" wrapText="1"/>
    </xf>
    <xf numFmtId="0" fontId="15" fillId="0" borderId="1" xfId="12" applyFont="1" applyFill="1" applyBorder="1" applyAlignment="1">
      <alignment horizontal="left" vertical="center" wrapText="1"/>
    </xf>
    <xf numFmtId="0" fontId="15" fillId="0" borderId="1" xfId="12" applyFont="1" applyFill="1" applyBorder="1" applyAlignment="1">
      <alignment horizontal="center" vertical="center" wrapText="1"/>
    </xf>
    <xf numFmtId="0" fontId="34" fillId="10" borderId="1" xfId="12" applyFont="1" applyFill="1" applyBorder="1" applyAlignment="1">
      <alignment horizontal="left" vertical="center" wrapText="1"/>
    </xf>
    <xf numFmtId="0" fontId="23" fillId="0" borderId="1" xfId="12" applyFont="1" applyBorder="1" applyAlignment="1">
      <alignment horizontal="left" vertical="center" wrapText="1"/>
    </xf>
    <xf numFmtId="0" fontId="23" fillId="9" borderId="1" xfId="12" applyFont="1" applyFill="1" applyBorder="1" applyAlignment="1">
      <alignment horizontal="left" vertical="center" wrapText="1"/>
    </xf>
    <xf numFmtId="0" fontId="23" fillId="9" borderId="1" xfId="12" applyFont="1" applyFill="1" applyBorder="1" applyAlignment="1">
      <alignment horizontal="center" vertical="center" wrapText="1"/>
    </xf>
    <xf numFmtId="0" fontId="37" fillId="9" borderId="1" xfId="43" applyFont="1" applyFill="1" applyBorder="1" applyAlignment="1">
      <alignment horizontal="left" vertical="center" wrapText="1"/>
    </xf>
    <xf numFmtId="169" fontId="22" fillId="0" borderId="1" xfId="12" applyNumberFormat="1" applyFont="1" applyBorder="1" applyAlignment="1">
      <alignment horizontal="left" vertical="center" wrapText="1"/>
    </xf>
    <xf numFmtId="0" fontId="22" fillId="0" borderId="1" xfId="12" applyFont="1" applyBorder="1" applyAlignment="1">
      <alignment horizontal="center" vertical="center" wrapText="1"/>
    </xf>
    <xf numFmtId="2" fontId="39" fillId="0" borderId="1" xfId="0" applyNumberFormat="1" applyFont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3" fontId="23" fillId="9" borderId="1" xfId="12" applyNumberFormat="1" applyFont="1" applyFill="1" applyBorder="1" applyAlignment="1">
      <alignment horizontal="left" vertical="center" wrapText="1"/>
    </xf>
    <xf numFmtId="0" fontId="43" fillId="0" borderId="0" xfId="0" applyFont="1"/>
    <xf numFmtId="0" fontId="0" fillId="0" borderId="0" xfId="0" applyBorder="1"/>
    <xf numFmtId="0" fontId="42" fillId="0" borderId="1" xfId="0" applyFont="1" applyBorder="1"/>
    <xf numFmtId="0" fontId="44" fillId="2" borderId="0" xfId="0" applyFont="1" applyFill="1"/>
    <xf numFmtId="1" fontId="9" fillId="0" borderId="1" xfId="0" applyNumberFormat="1" applyFont="1" applyBorder="1"/>
    <xf numFmtId="1" fontId="9" fillId="0" borderId="1" xfId="13" applyNumberFormat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 vertical="center" wrapText="1"/>
    </xf>
    <xf numFmtId="1" fontId="43" fillId="2" borderId="27" xfId="0" applyNumberFormat="1" applyFont="1" applyFill="1" applyBorder="1"/>
    <xf numFmtId="173" fontId="0" fillId="0" borderId="0" xfId="0" applyNumberFormat="1"/>
    <xf numFmtId="0" fontId="0" fillId="22" borderId="1" xfId="0" applyFont="1" applyFill="1" applyBorder="1" applyAlignment="1">
      <alignment horizontal="center" vertical="center"/>
    </xf>
    <xf numFmtId="170" fontId="0" fillId="22" borderId="1" xfId="144" applyNumberFormat="1" applyFont="1" applyFill="1" applyBorder="1" applyAlignment="1">
      <alignment horizontal="center" vertical="center"/>
    </xf>
    <xf numFmtId="167" fontId="7" fillId="22" borderId="1" xfId="0" applyNumberFormat="1" applyFont="1" applyFill="1" applyBorder="1" applyAlignment="1">
      <alignment horizontal="center" vertical="center"/>
    </xf>
    <xf numFmtId="2" fontId="0" fillId="22" borderId="1" xfId="0" applyNumberFormat="1" applyFont="1" applyFill="1" applyBorder="1" applyAlignment="1">
      <alignment horizontal="center" vertical="center"/>
    </xf>
    <xf numFmtId="43" fontId="22" fillId="0" borderId="0" xfId="144" applyNumberFormat="1" applyFont="1"/>
    <xf numFmtId="43" fontId="0" fillId="0" borderId="0" xfId="144" applyNumberFormat="1" applyFont="1"/>
    <xf numFmtId="170" fontId="7" fillId="4" borderId="1" xfId="144" applyNumberFormat="1" applyFont="1" applyFill="1" applyBorder="1" applyAlignment="1">
      <alignment horizontal="center" vertical="center"/>
    </xf>
    <xf numFmtId="0" fontId="15" fillId="23" borderId="6" xfId="12" applyFont="1" applyFill="1" applyBorder="1" applyAlignment="1">
      <alignment horizontal="center" vertical="center" wrapText="1"/>
    </xf>
    <xf numFmtId="10" fontId="15" fillId="23" borderId="4" xfId="144" applyNumberFormat="1" applyFont="1" applyFill="1" applyBorder="1" applyAlignment="1">
      <alignment horizontal="center" vertical="center" wrapText="1"/>
    </xf>
    <xf numFmtId="0" fontId="14" fillId="23" borderId="1" xfId="12" applyFill="1" applyBorder="1" applyAlignment="1">
      <alignment horizontal="center" vertical="center" wrapText="1"/>
    </xf>
    <xf numFmtId="10" fontId="14" fillId="23" borderId="4" xfId="144" applyNumberFormat="1" applyFont="1" applyFill="1" applyBorder="1" applyAlignment="1">
      <alignment vertical="center" wrapText="1"/>
    </xf>
    <xf numFmtId="1" fontId="14" fillId="23" borderId="4" xfId="144" applyNumberFormat="1" applyFont="1" applyFill="1" applyBorder="1" applyAlignment="1">
      <alignment horizontal="center" vertical="center" wrapText="1"/>
    </xf>
    <xf numFmtId="0" fontId="15" fillId="23" borderId="1" xfId="12" applyFont="1" applyFill="1" applyBorder="1" applyAlignment="1">
      <alignment horizontal="center" vertical="center" wrapText="1"/>
    </xf>
    <xf numFmtId="1" fontId="15" fillId="23" borderId="1" xfId="12" applyNumberFormat="1" applyFont="1" applyFill="1" applyBorder="1" applyAlignment="1">
      <alignment horizontal="center" vertical="center" wrapText="1"/>
    </xf>
    <xf numFmtId="170" fontId="15" fillId="23" borderId="1" xfId="12" applyNumberFormat="1" applyFont="1" applyFill="1" applyBorder="1" applyAlignment="1">
      <alignment horizontal="center" vertical="center" wrapText="1"/>
    </xf>
    <xf numFmtId="1" fontId="47" fillId="24" borderId="30" xfId="0" applyNumberFormat="1" applyFont="1" applyFill="1" applyBorder="1" applyAlignment="1">
      <alignment horizontal="center" vertical="center" wrapText="1"/>
    </xf>
    <xf numFmtId="0" fontId="47" fillId="24" borderId="31" xfId="0" applyFont="1" applyFill="1" applyBorder="1" applyAlignment="1">
      <alignment horizontal="center" vertical="center" wrapText="1"/>
    </xf>
    <xf numFmtId="0" fontId="47" fillId="24" borderId="32" xfId="0" applyFont="1" applyFill="1" applyBorder="1" applyAlignment="1">
      <alignment horizontal="center" vertical="center" wrapText="1"/>
    </xf>
    <xf numFmtId="1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0" fillId="0" borderId="0" xfId="0" applyNumberFormat="1" applyFont="1" applyFill="1" applyAlignment="1">
      <alignment horizontal="right" vertical="center" wrapText="1"/>
    </xf>
    <xf numFmtId="1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" fontId="9" fillId="0" borderId="0" xfId="0" applyNumberFormat="1" applyFont="1" applyFill="1" applyAlignment="1">
      <alignment horizontal="left" vertical="center"/>
    </xf>
    <xf numFmtId="0" fontId="9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9" fillId="0" borderId="0" xfId="0" applyNumberFormat="1" applyFont="1" applyFill="1"/>
    <xf numFmtId="1" fontId="39" fillId="0" borderId="8" xfId="0" applyNumberFormat="1" applyFont="1" applyFill="1" applyBorder="1" applyAlignment="1">
      <alignment horizontal="center" vertical="center" wrapText="1"/>
    </xf>
    <xf numFmtId="165" fontId="22" fillId="0" borderId="8" xfId="0" applyNumberFormat="1" applyFont="1" applyFill="1" applyBorder="1" applyAlignment="1">
      <alignment horizontal="center" vertical="center" wrapText="1"/>
    </xf>
    <xf numFmtId="10" fontId="39" fillId="0" borderId="8" xfId="97" applyNumberFormat="1" applyFont="1" applyFill="1" applyBorder="1" applyAlignment="1">
      <alignment horizontal="center" vertical="center" wrapText="1"/>
    </xf>
    <xf numFmtId="10" fontId="13" fillId="0" borderId="8" xfId="97" applyNumberFormat="1" applyFont="1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/>
    </xf>
    <xf numFmtId="0" fontId="0" fillId="0" borderId="0" xfId="0" applyFill="1"/>
    <xf numFmtId="10" fontId="39" fillId="0" borderId="8" xfId="5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2" fontId="0" fillId="0" borderId="0" xfId="0" applyNumberFormat="1"/>
    <xf numFmtId="0" fontId="14" fillId="23" borderId="1" xfId="12" applyFill="1" applyBorder="1" applyAlignment="1">
      <alignment horizontal="center" vertical="center" wrapText="1"/>
    </xf>
    <xf numFmtId="0" fontId="14" fillId="23" borderId="1" xfId="12" applyFill="1" applyBorder="1" applyAlignment="1">
      <alignment horizontal="center" vertical="center" wrapText="1"/>
    </xf>
    <xf numFmtId="165" fontId="14" fillId="6" borderId="1" xfId="12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left" vertical="center"/>
    </xf>
    <xf numFmtId="174" fontId="14" fillId="6" borderId="0" xfId="12" applyNumberFormat="1" applyFill="1" applyAlignment="1">
      <alignment horizontal="left" vertical="center" wrapText="1"/>
    </xf>
    <xf numFmtId="10" fontId="15" fillId="23" borderId="1" xfId="12" applyNumberFormat="1" applyFont="1" applyFill="1" applyBorder="1" applyAlignment="1">
      <alignment horizontal="center" vertical="center" wrapText="1"/>
    </xf>
    <xf numFmtId="0" fontId="0" fillId="25" borderId="1" xfId="0" applyFont="1" applyFill="1" applyBorder="1" applyAlignment="1">
      <alignment horizontal="center" vertical="center"/>
    </xf>
    <xf numFmtId="167" fontId="7" fillId="25" borderId="1" xfId="0" applyNumberFormat="1" applyFont="1" applyFill="1" applyBorder="1" applyAlignment="1">
      <alignment horizontal="center" vertical="center"/>
    </xf>
    <xf numFmtId="2" fontId="0" fillId="25" borderId="1" xfId="0" applyNumberFormat="1" applyFont="1" applyFill="1" applyBorder="1" applyAlignment="1">
      <alignment horizontal="center" vertical="center"/>
    </xf>
    <xf numFmtId="170" fontId="0" fillId="25" borderId="1" xfId="144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70" fontId="7" fillId="9" borderId="1" xfId="144" applyNumberFormat="1" applyFont="1" applyFill="1" applyBorder="1" applyAlignment="1">
      <alignment horizontal="right" vertical="center"/>
    </xf>
    <xf numFmtId="167" fontId="0" fillId="9" borderId="1" xfId="0" applyNumberFormat="1" applyFont="1" applyFill="1" applyBorder="1" applyAlignment="1">
      <alignment horizontal="center" vertical="center"/>
    </xf>
    <xf numFmtId="167" fontId="7" fillId="9" borderId="1" xfId="0" applyNumberFormat="1" applyFont="1" applyFill="1" applyBorder="1" applyAlignment="1">
      <alignment horizontal="center" vertical="center"/>
    </xf>
    <xf numFmtId="2" fontId="7" fillId="9" borderId="1" xfId="0" applyNumberFormat="1" applyFont="1" applyFill="1" applyBorder="1" applyAlignment="1">
      <alignment horizontal="center" vertical="center"/>
    </xf>
    <xf numFmtId="170" fontId="7" fillId="9" borderId="1" xfId="144" applyNumberFormat="1" applyFont="1" applyFill="1" applyBorder="1" applyAlignment="1">
      <alignment horizontal="center" vertical="center"/>
    </xf>
    <xf numFmtId="0" fontId="0" fillId="26" borderId="1" xfId="0" applyFont="1" applyFill="1" applyBorder="1" applyAlignment="1">
      <alignment horizontal="center" vertical="center"/>
    </xf>
    <xf numFmtId="170" fontId="7" fillId="26" borderId="1" xfId="144" applyNumberFormat="1" applyFont="1" applyFill="1" applyBorder="1" applyAlignment="1">
      <alignment horizontal="right" vertical="center"/>
    </xf>
    <xf numFmtId="167" fontId="7" fillId="26" borderId="1" xfId="0" applyNumberFormat="1" applyFont="1" applyFill="1" applyBorder="1" applyAlignment="1">
      <alignment horizontal="center" vertical="center"/>
    </xf>
    <xf numFmtId="2" fontId="7" fillId="26" borderId="1" xfId="0" applyNumberFormat="1" applyFont="1" applyFill="1" applyBorder="1" applyAlignment="1">
      <alignment horizontal="center" vertical="center"/>
    </xf>
    <xf numFmtId="170" fontId="7" fillId="26" borderId="1" xfId="144" applyNumberFormat="1" applyFont="1" applyFill="1" applyBorder="1" applyAlignment="1">
      <alignment horizontal="center" vertical="center"/>
    </xf>
    <xf numFmtId="170" fontId="7" fillId="19" borderId="1" xfId="144" applyNumberFormat="1" applyFont="1" applyFill="1" applyBorder="1" applyAlignment="1">
      <alignment horizontal="right" vertical="center"/>
    </xf>
    <xf numFmtId="0" fontId="7" fillId="16" borderId="1" xfId="0" applyFont="1" applyFill="1" applyBorder="1" applyAlignment="1">
      <alignment horizontal="center" vertical="center"/>
    </xf>
    <xf numFmtId="170" fontId="7" fillId="16" borderId="1" xfId="144" applyNumberFormat="1" applyFont="1" applyFill="1" applyBorder="1" applyAlignment="1">
      <alignment horizontal="right" vertical="center"/>
    </xf>
    <xf numFmtId="170" fontId="7" fillId="16" borderId="1" xfId="144" applyNumberFormat="1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170" fontId="7" fillId="27" borderId="1" xfId="144" applyNumberFormat="1" applyFont="1" applyFill="1" applyBorder="1" applyAlignment="1">
      <alignment horizontal="right" vertical="center"/>
    </xf>
    <xf numFmtId="167" fontId="0" fillId="27" borderId="1" xfId="0" applyNumberFormat="1" applyFont="1" applyFill="1" applyBorder="1" applyAlignment="1">
      <alignment horizontal="center" vertical="center"/>
    </xf>
    <xf numFmtId="167" fontId="7" fillId="27" borderId="1" xfId="0" applyNumberFormat="1" applyFont="1" applyFill="1" applyBorder="1" applyAlignment="1">
      <alignment horizontal="center" vertical="center"/>
    </xf>
    <xf numFmtId="2" fontId="7" fillId="27" borderId="1" xfId="0" applyNumberFormat="1" applyFont="1" applyFill="1" applyBorder="1" applyAlignment="1">
      <alignment horizontal="center" vertical="center"/>
    </xf>
    <xf numFmtId="170" fontId="7" fillId="27" borderId="1" xfId="144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7" fontId="0" fillId="4" borderId="1" xfId="0" applyNumberFormat="1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170" fontId="7" fillId="28" borderId="1" xfId="144" applyNumberFormat="1" applyFont="1" applyFill="1" applyBorder="1" applyAlignment="1">
      <alignment horizontal="right" vertical="center"/>
    </xf>
    <xf numFmtId="167" fontId="7" fillId="28" borderId="1" xfId="0" applyNumberFormat="1" applyFont="1" applyFill="1" applyBorder="1" applyAlignment="1">
      <alignment horizontal="center" vertical="center"/>
    </xf>
    <xf numFmtId="2" fontId="7" fillId="28" borderId="1" xfId="0" applyNumberFormat="1" applyFont="1" applyFill="1" applyBorder="1" applyAlignment="1">
      <alignment horizontal="center" vertical="center"/>
    </xf>
    <xf numFmtId="170" fontId="7" fillId="28" borderId="1" xfId="144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7" fontId="7" fillId="7" borderId="1" xfId="0" applyNumberFormat="1" applyFont="1" applyFill="1" applyBorder="1" applyAlignment="1">
      <alignment horizontal="center" vertical="center"/>
    </xf>
    <xf numFmtId="0" fontId="0" fillId="29" borderId="1" xfId="0" applyFont="1" applyFill="1" applyBorder="1" applyAlignment="1">
      <alignment horizontal="center" vertical="center"/>
    </xf>
    <xf numFmtId="0" fontId="7" fillId="29" borderId="1" xfId="0" applyFont="1" applyFill="1" applyBorder="1" applyAlignment="1">
      <alignment horizontal="center" vertical="center"/>
    </xf>
    <xf numFmtId="170" fontId="7" fillId="29" borderId="1" xfId="144" applyNumberFormat="1" applyFont="1" applyFill="1" applyBorder="1" applyAlignment="1">
      <alignment horizontal="right" vertical="center"/>
    </xf>
    <xf numFmtId="167" fontId="7" fillId="29" borderId="1" xfId="0" applyNumberFormat="1" applyFont="1" applyFill="1" applyBorder="1" applyAlignment="1">
      <alignment horizontal="center" vertical="center"/>
    </xf>
    <xf numFmtId="2" fontId="7" fillId="29" borderId="1" xfId="0" applyNumberFormat="1" applyFont="1" applyFill="1" applyBorder="1" applyAlignment="1">
      <alignment horizontal="center" vertical="center"/>
    </xf>
    <xf numFmtId="170" fontId="7" fillId="29" borderId="1" xfId="144" applyNumberFormat="1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70" fontId="7" fillId="20" borderId="1" xfId="144" applyNumberFormat="1" applyFont="1" applyFill="1" applyBorder="1" applyAlignment="1">
      <alignment horizontal="right" vertical="center"/>
    </xf>
    <xf numFmtId="2" fontId="7" fillId="20" borderId="1" xfId="0" applyNumberFormat="1" applyFont="1" applyFill="1" applyBorder="1" applyAlignment="1">
      <alignment horizontal="center" vertical="center"/>
    </xf>
    <xf numFmtId="170" fontId="7" fillId="20" borderId="1" xfId="144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170" fontId="7" fillId="15" borderId="1" xfId="144" applyNumberFormat="1" applyFont="1" applyFill="1" applyBorder="1" applyAlignment="1">
      <alignment horizontal="center" vertical="center"/>
    </xf>
    <xf numFmtId="170" fontId="7" fillId="21" borderId="1" xfId="144" applyNumberFormat="1" applyFont="1" applyFill="1" applyBorder="1" applyAlignment="1">
      <alignment horizontal="right" vertical="center"/>
    </xf>
    <xf numFmtId="0" fontId="0" fillId="30" borderId="1" xfId="0" applyFont="1" applyFill="1" applyBorder="1" applyAlignment="1">
      <alignment horizontal="center" vertical="center"/>
    </xf>
    <xf numFmtId="167" fontId="7" fillId="30" borderId="1" xfId="0" applyNumberFormat="1" applyFont="1" applyFill="1" applyBorder="1" applyAlignment="1">
      <alignment horizontal="center" vertical="center"/>
    </xf>
    <xf numFmtId="0" fontId="0" fillId="31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170" fontId="7" fillId="31" borderId="1" xfId="144" applyNumberFormat="1" applyFont="1" applyFill="1" applyBorder="1" applyAlignment="1">
      <alignment horizontal="right" vertical="center"/>
    </xf>
    <xf numFmtId="167" fontId="7" fillId="31" borderId="1" xfId="0" applyNumberFormat="1" applyFont="1" applyFill="1" applyBorder="1" applyAlignment="1">
      <alignment horizontal="center" vertical="center"/>
    </xf>
    <xf numFmtId="2" fontId="7" fillId="31" borderId="1" xfId="0" applyNumberFormat="1" applyFont="1" applyFill="1" applyBorder="1" applyAlignment="1">
      <alignment horizontal="center" vertical="center"/>
    </xf>
    <xf numFmtId="170" fontId="7" fillId="31" borderId="1" xfId="144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170" fontId="7" fillId="17" borderId="1" xfId="144" applyNumberFormat="1" applyFont="1" applyFill="1" applyBorder="1" applyAlignment="1">
      <alignment horizontal="right" vertical="center"/>
    </xf>
    <xf numFmtId="2" fontId="7" fillId="17" borderId="1" xfId="0" applyNumberFormat="1" applyFont="1" applyFill="1" applyBorder="1" applyAlignment="1">
      <alignment horizontal="center" vertical="center"/>
    </xf>
    <xf numFmtId="170" fontId="7" fillId="17" borderId="1" xfId="144" applyNumberFormat="1" applyFont="1" applyFill="1" applyBorder="1" applyAlignment="1">
      <alignment horizontal="center" vertical="center"/>
    </xf>
    <xf numFmtId="0" fontId="0" fillId="32" borderId="1" xfId="0" applyFont="1" applyFill="1" applyBorder="1" applyAlignment="1">
      <alignment horizontal="center" vertical="center"/>
    </xf>
    <xf numFmtId="170" fontId="7" fillId="32" borderId="1" xfId="144" applyNumberFormat="1" applyFont="1" applyFill="1" applyBorder="1" applyAlignment="1">
      <alignment horizontal="right" vertical="center"/>
    </xf>
    <xf numFmtId="167" fontId="7" fillId="32" borderId="1" xfId="0" applyNumberFormat="1" applyFont="1" applyFill="1" applyBorder="1" applyAlignment="1">
      <alignment horizontal="center" vertical="center"/>
    </xf>
    <xf numFmtId="2" fontId="7" fillId="32" borderId="1" xfId="0" applyNumberFormat="1" applyFont="1" applyFill="1" applyBorder="1" applyAlignment="1">
      <alignment horizontal="center" vertical="center"/>
    </xf>
    <xf numFmtId="170" fontId="7" fillId="32" borderId="1" xfId="144" applyNumberFormat="1" applyFont="1" applyFill="1" applyBorder="1" applyAlignment="1">
      <alignment horizontal="center" vertical="center"/>
    </xf>
    <xf numFmtId="0" fontId="0" fillId="33" borderId="1" xfId="0" applyFont="1" applyFill="1" applyBorder="1" applyAlignment="1">
      <alignment horizontal="center" vertical="center"/>
    </xf>
    <xf numFmtId="170" fontId="7" fillId="33" borderId="1" xfId="144" applyNumberFormat="1" applyFont="1" applyFill="1" applyBorder="1" applyAlignment="1">
      <alignment horizontal="right" vertical="center"/>
    </xf>
    <xf numFmtId="167" fontId="7" fillId="33" borderId="1" xfId="0" applyNumberFormat="1" applyFont="1" applyFill="1" applyBorder="1" applyAlignment="1">
      <alignment horizontal="center" vertical="center"/>
    </xf>
    <xf numFmtId="0" fontId="0" fillId="34" borderId="1" xfId="0" applyFont="1" applyFill="1" applyBorder="1" applyAlignment="1">
      <alignment horizontal="center" vertical="center"/>
    </xf>
    <xf numFmtId="170" fontId="7" fillId="34" borderId="1" xfId="144" applyNumberFormat="1" applyFont="1" applyFill="1" applyBorder="1" applyAlignment="1">
      <alignment horizontal="right" vertical="center"/>
    </xf>
    <xf numFmtId="167" fontId="7" fillId="34" borderId="1" xfId="0" applyNumberFormat="1" applyFont="1" applyFill="1" applyBorder="1" applyAlignment="1">
      <alignment horizontal="center" vertical="center"/>
    </xf>
    <xf numFmtId="167" fontId="0" fillId="34" borderId="1" xfId="0" applyNumberFormat="1" applyFont="1" applyFill="1" applyBorder="1" applyAlignment="1">
      <alignment horizontal="center" vertical="center"/>
    </xf>
    <xf numFmtId="2" fontId="0" fillId="34" borderId="1" xfId="0" applyNumberFormat="1" applyFont="1" applyFill="1" applyBorder="1" applyAlignment="1">
      <alignment horizontal="center" vertical="center"/>
    </xf>
    <xf numFmtId="2" fontId="0" fillId="30" borderId="1" xfId="0" applyNumberFormat="1" applyFont="1" applyFill="1" applyBorder="1" applyAlignment="1">
      <alignment horizontal="center" vertical="center"/>
    </xf>
    <xf numFmtId="170" fontId="0" fillId="30" borderId="1" xfId="144" applyNumberFormat="1" applyFont="1" applyFill="1" applyBorder="1" applyAlignment="1">
      <alignment horizontal="center" vertical="center"/>
    </xf>
    <xf numFmtId="2" fontId="0" fillId="33" borderId="1" xfId="0" applyNumberFormat="1" applyFont="1" applyFill="1" applyBorder="1" applyAlignment="1">
      <alignment horizontal="center" vertical="center"/>
    </xf>
    <xf numFmtId="170" fontId="7" fillId="18" borderId="1" xfId="144" applyNumberFormat="1" applyFont="1" applyFill="1" applyBorder="1" applyAlignment="1">
      <alignment horizontal="right" vertical="center"/>
    </xf>
    <xf numFmtId="2" fontId="7" fillId="18" borderId="1" xfId="0" applyNumberFormat="1" applyFont="1" applyFill="1" applyBorder="1" applyAlignment="1">
      <alignment horizontal="center" vertical="center"/>
    </xf>
    <xf numFmtId="170" fontId="7" fillId="18" borderId="1" xfId="144" applyNumberFormat="1" applyFont="1" applyFill="1" applyBorder="1" applyAlignment="1">
      <alignment horizontal="center" vertical="center"/>
    </xf>
    <xf numFmtId="0" fontId="0" fillId="35" borderId="1" xfId="0" applyFont="1" applyFill="1" applyBorder="1" applyAlignment="1">
      <alignment horizontal="center" vertical="center"/>
    </xf>
    <xf numFmtId="170" fontId="7" fillId="35" borderId="1" xfId="144" applyNumberFormat="1" applyFont="1" applyFill="1" applyBorder="1" applyAlignment="1">
      <alignment horizontal="right" vertical="center"/>
    </xf>
    <xf numFmtId="167" fontId="7" fillId="35" borderId="1" xfId="0" applyNumberFormat="1" applyFont="1" applyFill="1" applyBorder="1" applyAlignment="1">
      <alignment horizontal="center" vertical="center"/>
    </xf>
    <xf numFmtId="2" fontId="0" fillId="35" borderId="1" xfId="0" applyNumberFormat="1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/>
    </xf>
    <xf numFmtId="170" fontId="7" fillId="36" borderId="1" xfId="144" applyNumberFormat="1" applyFont="1" applyFill="1" applyBorder="1" applyAlignment="1">
      <alignment horizontal="right" vertical="center"/>
    </xf>
    <xf numFmtId="167" fontId="7" fillId="36" borderId="1" xfId="0" applyNumberFormat="1" applyFont="1" applyFill="1" applyBorder="1" applyAlignment="1">
      <alignment horizontal="center" vertical="center"/>
    </xf>
    <xf numFmtId="2" fontId="0" fillId="36" borderId="1" xfId="0" applyNumberFormat="1" applyFont="1" applyFill="1" applyBorder="1" applyAlignment="1">
      <alignment horizontal="center" vertical="center"/>
    </xf>
    <xf numFmtId="170" fontId="0" fillId="7" borderId="1" xfId="144" applyNumberFormat="1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0" fontId="0" fillId="37" borderId="1" xfId="0" applyFont="1" applyFill="1" applyBorder="1" applyAlignment="1">
      <alignment horizontal="center" vertical="center"/>
    </xf>
    <xf numFmtId="170" fontId="0" fillId="37" borderId="1" xfId="144" applyNumberFormat="1" applyFont="1" applyFill="1" applyBorder="1" applyAlignment="1">
      <alignment horizontal="center" vertical="center"/>
    </xf>
    <xf numFmtId="167" fontId="7" fillId="37" borderId="1" xfId="0" applyNumberFormat="1" applyFont="1" applyFill="1" applyBorder="1" applyAlignment="1">
      <alignment horizontal="center" vertical="center"/>
    </xf>
    <xf numFmtId="2" fontId="0" fillId="37" borderId="1" xfId="0" applyNumberFormat="1" applyFont="1" applyFill="1" applyBorder="1" applyAlignment="1">
      <alignment horizontal="center" vertical="center"/>
    </xf>
    <xf numFmtId="0" fontId="0" fillId="38" borderId="1" xfId="0" applyFont="1" applyFill="1" applyBorder="1" applyAlignment="1">
      <alignment horizontal="center" vertical="center"/>
    </xf>
    <xf numFmtId="170" fontId="0" fillId="38" borderId="1" xfId="144" applyNumberFormat="1" applyFont="1" applyFill="1" applyBorder="1" applyAlignment="1">
      <alignment horizontal="center" vertical="center"/>
    </xf>
    <xf numFmtId="167" fontId="7" fillId="38" borderId="1" xfId="0" applyNumberFormat="1" applyFont="1" applyFill="1" applyBorder="1" applyAlignment="1">
      <alignment horizontal="center" vertical="center"/>
    </xf>
    <xf numFmtId="2" fontId="0" fillId="38" borderId="1" xfId="0" applyNumberFormat="1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170" fontId="0" fillId="39" borderId="1" xfId="144" applyNumberFormat="1" applyFont="1" applyFill="1" applyBorder="1" applyAlignment="1">
      <alignment horizontal="center" vertical="center"/>
    </xf>
    <xf numFmtId="167" fontId="7" fillId="39" borderId="1" xfId="0" applyNumberFormat="1" applyFont="1" applyFill="1" applyBorder="1" applyAlignment="1">
      <alignment horizontal="center" vertical="center"/>
    </xf>
    <xf numFmtId="2" fontId="0" fillId="39" borderId="1" xfId="0" applyNumberFormat="1" applyFont="1" applyFill="1" applyBorder="1" applyAlignment="1">
      <alignment horizontal="center" vertical="center"/>
    </xf>
    <xf numFmtId="170" fontId="0" fillId="31" borderId="1" xfId="144" applyNumberFormat="1" applyFont="1" applyFill="1" applyBorder="1" applyAlignment="1">
      <alignment horizontal="center" vertical="center"/>
    </xf>
    <xf numFmtId="2" fontId="0" fillId="31" borderId="1" xfId="0" applyNumberFormat="1" applyFont="1" applyFill="1" applyBorder="1" applyAlignment="1">
      <alignment horizontal="center" vertical="center"/>
    </xf>
    <xf numFmtId="170" fontId="0" fillId="0" borderId="0" xfId="144" applyNumberFormat="1" applyFont="1" applyAlignment="1"/>
    <xf numFmtId="170" fontId="9" fillId="8" borderId="1" xfId="144" applyNumberFormat="1" applyFont="1" applyFill="1" applyBorder="1" applyAlignment="1">
      <alignment horizontal="center" vertical="center"/>
    </xf>
    <xf numFmtId="0" fontId="28" fillId="12" borderId="1" xfId="145" applyFont="1" applyFill="1" applyBorder="1" applyAlignment="1">
      <alignment horizontal="center" vertical="center" wrapText="1"/>
    </xf>
    <xf numFmtId="0" fontId="0" fillId="0" borderId="0" xfId="0" applyFont="1"/>
    <xf numFmtId="167" fontId="0" fillId="0" borderId="0" xfId="0" applyNumberFormat="1"/>
    <xf numFmtId="15" fontId="0" fillId="0" borderId="0" xfId="0" applyNumberFormat="1"/>
    <xf numFmtId="167" fontId="0" fillId="0" borderId="0" xfId="0" quotePrefix="1" applyNumberFormat="1" applyAlignment="1">
      <alignment horizontal="right"/>
    </xf>
    <xf numFmtId="167" fontId="0" fillId="0" borderId="0" xfId="0" applyNumberFormat="1" applyAlignment="1">
      <alignment horizontal="right"/>
    </xf>
    <xf numFmtId="169" fontId="39" fillId="0" borderId="20" xfId="0" applyNumberFormat="1" applyFont="1" applyBorder="1" applyAlignment="1">
      <alignment horizontal="center" vertical="center" wrapText="1"/>
    </xf>
    <xf numFmtId="169" fontId="39" fillId="0" borderId="1" xfId="0" applyNumberFormat="1" applyFont="1" applyBorder="1" applyAlignment="1">
      <alignment horizontal="center" vertical="center" wrapText="1"/>
    </xf>
    <xf numFmtId="165" fontId="22" fillId="0" borderId="0" xfId="96" applyNumberFormat="1" applyFont="1"/>
    <xf numFmtId="170" fontId="0" fillId="0" borderId="0" xfId="0" applyNumberFormat="1"/>
    <xf numFmtId="0" fontId="9" fillId="8" borderId="3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170" fontId="9" fillId="8" borderId="1" xfId="0" applyNumberFormat="1" applyFont="1" applyFill="1" applyBorder="1" applyAlignment="1">
      <alignment vertical="center"/>
    </xf>
    <xf numFmtId="170" fontId="7" fillId="19" borderId="1" xfId="144" applyNumberFormat="1" applyFont="1" applyFill="1" applyBorder="1" applyAlignment="1">
      <alignment horizontal="center" vertical="center"/>
    </xf>
    <xf numFmtId="170" fontId="7" fillId="34" borderId="1" xfId="144" applyNumberFormat="1" applyFont="1" applyFill="1" applyBorder="1" applyAlignment="1">
      <alignment horizontal="center" vertical="center"/>
    </xf>
    <xf numFmtId="170" fontId="7" fillId="22" borderId="1" xfId="144" applyNumberFormat="1" applyFont="1" applyFill="1" applyBorder="1" applyAlignment="1">
      <alignment horizontal="center" vertical="center"/>
    </xf>
    <xf numFmtId="170" fontId="7" fillId="14" borderId="1" xfId="144" applyNumberFormat="1" applyFont="1" applyFill="1" applyBorder="1" applyAlignment="1">
      <alignment horizontal="center" vertical="center"/>
    </xf>
    <xf numFmtId="170" fontId="7" fillId="21" borderId="1" xfId="144" applyNumberFormat="1" applyFont="1" applyFill="1" applyBorder="1" applyAlignment="1">
      <alignment horizontal="center" vertical="center"/>
    </xf>
    <xf numFmtId="170" fontId="7" fillId="7" borderId="1" xfId="144" applyNumberFormat="1" applyFont="1" applyFill="1" applyBorder="1" applyAlignment="1">
      <alignment horizontal="center" vertical="center"/>
    </xf>
    <xf numFmtId="170" fontId="7" fillId="35" borderId="1" xfId="144" applyNumberFormat="1" applyFont="1" applyFill="1" applyBorder="1" applyAlignment="1">
      <alignment horizontal="center" vertical="center"/>
    </xf>
    <xf numFmtId="170" fontId="7" fillId="37" borderId="1" xfId="144" applyNumberFormat="1" applyFont="1" applyFill="1" applyBorder="1" applyAlignment="1">
      <alignment horizontal="center" vertical="center"/>
    </xf>
    <xf numFmtId="170" fontId="7" fillId="25" borderId="1" xfId="144" applyNumberFormat="1" applyFont="1" applyFill="1" applyBorder="1" applyAlignment="1">
      <alignment horizontal="center" vertical="center"/>
    </xf>
    <xf numFmtId="170" fontId="7" fillId="8" borderId="1" xfId="144" applyNumberFormat="1" applyFont="1" applyFill="1" applyBorder="1" applyAlignment="1">
      <alignment horizontal="center" vertical="center"/>
    </xf>
    <xf numFmtId="170" fontId="7" fillId="33" borderId="1" xfId="144" applyNumberFormat="1" applyFont="1" applyFill="1" applyBorder="1" applyAlignment="1">
      <alignment horizontal="center" vertical="center"/>
    </xf>
    <xf numFmtId="170" fontId="7" fillId="30" borderId="1" xfId="144" applyNumberFormat="1" applyFont="1" applyFill="1" applyBorder="1" applyAlignment="1">
      <alignment horizontal="center" vertical="center"/>
    </xf>
    <xf numFmtId="170" fontId="7" fillId="40" borderId="1" xfId="144" applyNumberFormat="1" applyFont="1" applyFill="1" applyBorder="1" applyAlignment="1">
      <alignment horizontal="center" vertical="center"/>
    </xf>
    <xf numFmtId="170" fontId="7" fillId="39" borderId="1" xfId="144" applyNumberFormat="1" applyFont="1" applyFill="1" applyBorder="1" applyAlignment="1">
      <alignment horizontal="center" vertical="center"/>
    </xf>
    <xf numFmtId="170" fontId="7" fillId="38" borderId="1" xfId="144" applyNumberFormat="1" applyFont="1" applyFill="1" applyBorder="1" applyAlignment="1">
      <alignment horizontal="center" vertical="center"/>
    </xf>
    <xf numFmtId="170" fontId="7" fillId="9" borderId="21" xfId="144" applyNumberFormat="1" applyFont="1" applyFill="1" applyBorder="1" applyAlignment="1">
      <alignment horizontal="center" vertical="center"/>
    </xf>
    <xf numFmtId="170" fontId="7" fillId="27" borderId="21" xfId="144" applyNumberFormat="1" applyFon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center" vertical="center"/>
    </xf>
    <xf numFmtId="0" fontId="0" fillId="27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167" fontId="7" fillId="9" borderId="1" xfId="144" applyNumberFormat="1" applyFont="1" applyFill="1" applyBorder="1" applyAlignment="1">
      <alignment horizontal="center" vertical="center"/>
    </xf>
    <xf numFmtId="167" fontId="7" fillId="27" borderId="1" xfId="144" applyNumberFormat="1" applyFont="1" applyFill="1" applyBorder="1" applyAlignment="1">
      <alignment horizontal="center" vertical="center"/>
    </xf>
    <xf numFmtId="167" fontId="7" fillId="4" borderId="1" xfId="144" applyNumberFormat="1" applyFont="1" applyFill="1" applyBorder="1" applyAlignment="1">
      <alignment horizontal="center" vertical="center"/>
    </xf>
    <xf numFmtId="167" fontId="7" fillId="29" borderId="1" xfId="144" applyNumberFormat="1" applyFont="1" applyFill="1" applyBorder="1" applyAlignment="1">
      <alignment horizontal="center" vertical="center"/>
    </xf>
    <xf numFmtId="167" fontId="7" fillId="20" borderId="1" xfId="144" applyNumberFormat="1" applyFont="1" applyFill="1" applyBorder="1" applyAlignment="1">
      <alignment horizontal="center" vertical="center"/>
    </xf>
    <xf numFmtId="167" fontId="7" fillId="16" borderId="1" xfId="144" applyNumberFormat="1" applyFont="1" applyFill="1" applyBorder="1" applyAlignment="1">
      <alignment horizontal="center" vertical="center"/>
    </xf>
    <xf numFmtId="167" fontId="7" fillId="31" borderId="1" xfId="144" applyNumberFormat="1" applyFont="1" applyFill="1" applyBorder="1" applyAlignment="1">
      <alignment horizontal="center" vertical="center"/>
    </xf>
    <xf numFmtId="167" fontId="7" fillId="17" borderId="1" xfId="144" applyNumberFormat="1" applyFont="1" applyFill="1" applyBorder="1" applyAlignment="1">
      <alignment horizontal="center" vertical="center"/>
    </xf>
    <xf numFmtId="167" fontId="7" fillId="15" borderId="1" xfId="144" applyNumberFormat="1" applyFont="1" applyFill="1" applyBorder="1" applyAlignment="1">
      <alignment horizontal="center" vertical="center"/>
    </xf>
    <xf numFmtId="167" fontId="7" fillId="32" borderId="1" xfId="144" applyNumberFormat="1" applyFont="1" applyFill="1" applyBorder="1" applyAlignment="1">
      <alignment horizontal="center" vertical="center"/>
    </xf>
    <xf numFmtId="167" fontId="7" fillId="28" borderId="1" xfId="144" applyNumberFormat="1" applyFont="1" applyFill="1" applyBorder="1" applyAlignment="1">
      <alignment horizontal="center" vertical="center"/>
    </xf>
    <xf numFmtId="167" fontId="7" fillId="19" borderId="1" xfId="144" applyNumberFormat="1" applyFont="1" applyFill="1" applyBorder="1" applyAlignment="1">
      <alignment horizontal="center" vertical="center"/>
    </xf>
    <xf numFmtId="167" fontId="7" fillId="34" borderId="1" xfId="144" applyNumberFormat="1" applyFont="1" applyFill="1" applyBorder="1" applyAlignment="1">
      <alignment horizontal="center" vertical="center"/>
    </xf>
    <xf numFmtId="167" fontId="7" fillId="21" borderId="1" xfId="144" applyNumberFormat="1" applyFont="1" applyFill="1" applyBorder="1" applyAlignment="1">
      <alignment horizontal="center" vertical="center"/>
    </xf>
    <xf numFmtId="167" fontId="7" fillId="8" borderId="1" xfId="144" applyNumberFormat="1" applyFont="1" applyFill="1" applyBorder="1" applyAlignment="1">
      <alignment horizontal="center" vertical="center"/>
    </xf>
    <xf numFmtId="167" fontId="7" fillId="33" borderId="1" xfId="144" applyNumberFormat="1" applyFont="1" applyFill="1" applyBorder="1" applyAlignment="1">
      <alignment horizontal="center" vertical="center"/>
    </xf>
    <xf numFmtId="167" fontId="7" fillId="18" borderId="1" xfId="144" applyNumberFormat="1" applyFont="1" applyFill="1" applyBorder="1" applyAlignment="1">
      <alignment horizontal="center" vertical="center"/>
    </xf>
    <xf numFmtId="167" fontId="7" fillId="26" borderId="1" xfId="144" applyNumberFormat="1" applyFont="1" applyFill="1" applyBorder="1" applyAlignment="1">
      <alignment horizontal="center" vertical="center"/>
    </xf>
    <xf numFmtId="167" fontId="7" fillId="35" borderId="1" xfId="144" applyNumberFormat="1" applyFont="1" applyFill="1" applyBorder="1" applyAlignment="1">
      <alignment horizontal="center" vertical="center"/>
    </xf>
    <xf numFmtId="167" fontId="7" fillId="40" borderId="1" xfId="144" applyNumberFormat="1" applyFont="1" applyFill="1" applyBorder="1" applyAlignment="1">
      <alignment horizontal="center" vertical="center"/>
    </xf>
    <xf numFmtId="167" fontId="7" fillId="7" borderId="1" xfId="144" applyNumberFormat="1" applyFont="1" applyFill="1" applyBorder="1" applyAlignment="1">
      <alignment horizontal="center" vertical="center"/>
    </xf>
    <xf numFmtId="167" fontId="7" fillId="22" borderId="1" xfId="144" applyNumberFormat="1" applyFont="1" applyFill="1" applyBorder="1" applyAlignment="1">
      <alignment horizontal="center" vertical="center"/>
    </xf>
    <xf numFmtId="167" fontId="7" fillId="37" borderId="1" xfId="144" applyNumberFormat="1" applyFont="1" applyFill="1" applyBorder="1" applyAlignment="1">
      <alignment horizontal="center" vertical="center"/>
    </xf>
    <xf numFmtId="167" fontId="7" fillId="25" borderId="1" xfId="144" applyNumberFormat="1" applyFont="1" applyFill="1" applyBorder="1" applyAlignment="1">
      <alignment horizontal="center" vertical="center"/>
    </xf>
    <xf numFmtId="167" fontId="7" fillId="30" borderId="1" xfId="144" applyNumberFormat="1" applyFont="1" applyFill="1" applyBorder="1" applyAlignment="1">
      <alignment horizontal="center" vertical="center"/>
    </xf>
    <xf numFmtId="167" fontId="7" fillId="38" borderId="1" xfId="144" applyNumberFormat="1" applyFont="1" applyFill="1" applyBorder="1" applyAlignment="1">
      <alignment horizontal="center" vertical="center"/>
    </xf>
    <xf numFmtId="167" fontId="7" fillId="39" borderId="1" xfId="144" applyNumberFormat="1" applyFont="1" applyFill="1" applyBorder="1" applyAlignment="1">
      <alignment horizontal="center" vertical="center"/>
    </xf>
    <xf numFmtId="167" fontId="7" fillId="14" borderId="1" xfId="144" applyNumberFormat="1" applyFont="1" applyFill="1" applyBorder="1" applyAlignment="1">
      <alignment horizontal="center" vertical="center"/>
    </xf>
    <xf numFmtId="167" fontId="0" fillId="27" borderId="1" xfId="144" applyNumberFormat="1" applyFont="1" applyFill="1" applyBorder="1" applyAlignment="1">
      <alignment horizontal="center" vertical="center"/>
    </xf>
    <xf numFmtId="167" fontId="0" fillId="16" borderId="1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170" fontId="0" fillId="16" borderId="1" xfId="144" applyNumberFormat="1" applyFont="1" applyFill="1" applyBorder="1" applyAlignment="1">
      <alignment horizontal="center" vertical="center"/>
    </xf>
    <xf numFmtId="2" fontId="7" fillId="9" borderId="1" xfId="144" applyNumberFormat="1" applyFont="1" applyFill="1" applyBorder="1" applyAlignment="1">
      <alignment horizontal="center" vertical="center"/>
    </xf>
    <xf numFmtId="2" fontId="7" fillId="27" borderId="1" xfId="144" applyNumberFormat="1" applyFont="1" applyFill="1" applyBorder="1" applyAlignment="1">
      <alignment horizontal="center" vertical="center"/>
    </xf>
    <xf numFmtId="2" fontId="7" fillId="4" borderId="1" xfId="144" applyNumberFormat="1" applyFont="1" applyFill="1" applyBorder="1" applyAlignment="1">
      <alignment horizontal="center" vertical="center"/>
    </xf>
    <xf numFmtId="2" fontId="7" fillId="29" borderId="1" xfId="144" applyNumberFormat="1" applyFont="1" applyFill="1" applyBorder="1" applyAlignment="1">
      <alignment horizontal="center" vertical="center"/>
    </xf>
    <xf numFmtId="2" fontId="7" fillId="20" borderId="1" xfId="144" applyNumberFormat="1" applyFont="1" applyFill="1" applyBorder="1" applyAlignment="1">
      <alignment horizontal="center" vertical="center"/>
    </xf>
    <xf numFmtId="2" fontId="7" fillId="16" borderId="1" xfId="144" applyNumberFormat="1" applyFont="1" applyFill="1" applyBorder="1" applyAlignment="1">
      <alignment horizontal="center" vertical="center"/>
    </xf>
    <xf numFmtId="2" fontId="7" fillId="31" borderId="1" xfId="144" applyNumberFormat="1" applyFont="1" applyFill="1" applyBorder="1" applyAlignment="1">
      <alignment horizontal="center" vertical="center"/>
    </xf>
    <xf numFmtId="2" fontId="7" fillId="17" borderId="1" xfId="144" applyNumberFormat="1" applyFont="1" applyFill="1" applyBorder="1" applyAlignment="1">
      <alignment horizontal="center" vertical="center"/>
    </xf>
    <xf numFmtId="2" fontId="7" fillId="15" borderId="1" xfId="144" applyNumberFormat="1" applyFont="1" applyFill="1" applyBorder="1" applyAlignment="1">
      <alignment horizontal="center" vertical="center"/>
    </xf>
    <xf numFmtId="2" fontId="7" fillId="32" borderId="1" xfId="144" applyNumberFormat="1" applyFont="1" applyFill="1" applyBorder="1" applyAlignment="1">
      <alignment horizontal="center" vertical="center"/>
    </xf>
    <xf numFmtId="2" fontId="7" fillId="28" borderId="1" xfId="144" applyNumberFormat="1" applyFont="1" applyFill="1" applyBorder="1" applyAlignment="1">
      <alignment horizontal="center" vertical="center"/>
    </xf>
    <xf numFmtId="2" fontId="7" fillId="19" borderId="1" xfId="144" applyNumberFormat="1" applyFont="1" applyFill="1" applyBorder="1" applyAlignment="1">
      <alignment horizontal="center" vertical="center"/>
    </xf>
    <xf numFmtId="2" fontId="7" fillId="34" borderId="1" xfId="144" applyNumberFormat="1" applyFont="1" applyFill="1" applyBorder="1" applyAlignment="1">
      <alignment horizontal="center" vertical="center"/>
    </xf>
    <xf numFmtId="2" fontId="7" fillId="21" borderId="1" xfId="144" applyNumberFormat="1" applyFont="1" applyFill="1" applyBorder="1" applyAlignment="1">
      <alignment horizontal="center" vertical="center"/>
    </xf>
    <xf numFmtId="2" fontId="7" fillId="8" borderId="1" xfId="144" applyNumberFormat="1" applyFont="1" applyFill="1" applyBorder="1" applyAlignment="1">
      <alignment horizontal="center" vertical="center"/>
    </xf>
    <xf numFmtId="2" fontId="7" fillId="33" borderId="1" xfId="144" applyNumberFormat="1" applyFont="1" applyFill="1" applyBorder="1" applyAlignment="1">
      <alignment horizontal="center" vertical="center"/>
    </xf>
    <xf numFmtId="2" fontId="7" fillId="18" borderId="1" xfId="144" applyNumberFormat="1" applyFont="1" applyFill="1" applyBorder="1" applyAlignment="1">
      <alignment horizontal="center" vertical="center"/>
    </xf>
    <xf numFmtId="2" fontId="7" fillId="26" borderId="1" xfId="144" applyNumberFormat="1" applyFont="1" applyFill="1" applyBorder="1" applyAlignment="1">
      <alignment horizontal="center" vertical="center"/>
    </xf>
    <xf numFmtId="2" fontId="7" fillId="35" borderId="1" xfId="144" applyNumberFormat="1" applyFont="1" applyFill="1" applyBorder="1" applyAlignment="1">
      <alignment horizontal="center" vertical="center"/>
    </xf>
    <xf numFmtId="2" fontId="7" fillId="40" borderId="1" xfId="144" applyNumberFormat="1" applyFont="1" applyFill="1" applyBorder="1" applyAlignment="1">
      <alignment horizontal="center" vertical="center"/>
    </xf>
    <xf numFmtId="2" fontId="7" fillId="7" borderId="1" xfId="144" applyNumberFormat="1" applyFont="1" applyFill="1" applyBorder="1" applyAlignment="1">
      <alignment horizontal="center" vertical="center"/>
    </xf>
    <xf numFmtId="2" fontId="7" fillId="22" borderId="1" xfId="144" applyNumberFormat="1" applyFont="1" applyFill="1" applyBorder="1" applyAlignment="1">
      <alignment horizontal="center" vertical="center"/>
    </xf>
    <xf numFmtId="2" fontId="7" fillId="37" borderId="1" xfId="144" applyNumberFormat="1" applyFont="1" applyFill="1" applyBorder="1" applyAlignment="1">
      <alignment horizontal="center" vertical="center"/>
    </xf>
    <xf numFmtId="2" fontId="7" fillId="25" borderId="1" xfId="144" applyNumberFormat="1" applyFont="1" applyFill="1" applyBorder="1" applyAlignment="1">
      <alignment horizontal="center" vertical="center"/>
    </xf>
    <xf numFmtId="2" fontId="7" fillId="30" borderId="1" xfId="144" applyNumberFormat="1" applyFont="1" applyFill="1" applyBorder="1" applyAlignment="1">
      <alignment horizontal="center" vertical="center"/>
    </xf>
    <xf numFmtId="2" fontId="7" fillId="38" borderId="1" xfId="144" applyNumberFormat="1" applyFont="1" applyFill="1" applyBorder="1" applyAlignment="1">
      <alignment horizontal="center" vertical="center"/>
    </xf>
    <xf numFmtId="2" fontId="7" fillId="39" borderId="1" xfId="144" applyNumberFormat="1" applyFont="1" applyFill="1" applyBorder="1" applyAlignment="1">
      <alignment horizontal="center" vertical="center"/>
    </xf>
    <xf numFmtId="2" fontId="7" fillId="14" borderId="1" xfId="144" applyNumberFormat="1" applyFont="1" applyFill="1" applyBorder="1" applyAlignment="1">
      <alignment horizontal="center" vertical="center"/>
    </xf>
    <xf numFmtId="167" fontId="0" fillId="37" borderId="1" xfId="0" applyNumberFormat="1" applyFont="1" applyFill="1" applyBorder="1" applyAlignment="1">
      <alignment horizontal="center" vertical="center"/>
    </xf>
    <xf numFmtId="167" fontId="0" fillId="25" borderId="1" xfId="0" applyNumberFormat="1" applyFont="1" applyFill="1" applyBorder="1" applyAlignment="1">
      <alignment horizontal="center" vertical="center"/>
    </xf>
    <xf numFmtId="43" fontId="28" fillId="13" borderId="1" xfId="144" applyNumberFormat="1" applyFont="1" applyFill="1" applyBorder="1" applyAlignment="1">
      <alignment horizontal="center" vertical="center" wrapText="1"/>
    </xf>
    <xf numFmtId="14" fontId="7" fillId="0" borderId="1" xfId="96" applyNumberFormat="1" applyFont="1" applyBorder="1"/>
    <xf numFmtId="0" fontId="7" fillId="0" borderId="1" xfId="96" applyNumberFormat="1" applyFont="1" applyBorder="1"/>
    <xf numFmtId="170" fontId="7" fillId="0" borderId="1" xfId="96" applyNumberFormat="1" applyFont="1" applyBorder="1"/>
    <xf numFmtId="14" fontId="9" fillId="3" borderId="13" xfId="96" applyNumberFormat="1" applyFont="1" applyFill="1" applyBorder="1" applyAlignment="1">
      <alignment wrapText="1"/>
    </xf>
    <xf numFmtId="14" fontId="9" fillId="3" borderId="14" xfId="96" applyNumberFormat="1" applyFont="1" applyFill="1" applyBorder="1" applyAlignment="1">
      <alignment horizontal="center" wrapText="1"/>
    </xf>
    <xf numFmtId="14" fontId="9" fillId="3" borderId="15" xfId="96" applyNumberFormat="1" applyFont="1" applyFill="1" applyBorder="1" applyAlignment="1">
      <alignment wrapText="1"/>
    </xf>
    <xf numFmtId="0" fontId="14" fillId="0" borderId="5" xfId="0" applyFont="1" applyBorder="1" applyAlignment="1">
      <alignment horizontal="left" vertical="center"/>
    </xf>
    <xf numFmtId="165" fontId="7" fillId="0" borderId="6" xfId="96" applyNumberFormat="1" applyFont="1" applyBorder="1" applyAlignment="1">
      <alignment horizontal="right"/>
    </xf>
    <xf numFmtId="0" fontId="14" fillId="0" borderId="7" xfId="0" applyFont="1" applyBorder="1" applyAlignment="1">
      <alignment horizontal="left" vertical="center" wrapText="1"/>
    </xf>
    <xf numFmtId="14" fontId="7" fillId="0" borderId="7" xfId="96" applyNumberFormat="1" applyFont="1" applyBorder="1" applyAlignment="1">
      <alignment horizontal="left"/>
    </xf>
    <xf numFmtId="169" fontId="7" fillId="0" borderId="1" xfId="96" applyNumberFormat="1" applyFont="1" applyBorder="1" applyAlignment="1">
      <alignment horizontal="right"/>
    </xf>
    <xf numFmtId="165" fontId="7" fillId="0" borderId="8" xfId="96" applyNumberFormat="1" applyFont="1" applyBorder="1"/>
    <xf numFmtId="1" fontId="7" fillId="0" borderId="1" xfId="96" applyNumberFormat="1" applyFont="1" applyBorder="1" applyAlignment="1">
      <alignment horizontal="right"/>
    </xf>
    <xf numFmtId="166" fontId="7" fillId="0" borderId="8" xfId="96" applyNumberFormat="1" applyFont="1" applyBorder="1"/>
    <xf numFmtId="2" fontId="7" fillId="0" borderId="1" xfId="96" applyNumberFormat="1" applyFont="1" applyBorder="1" applyAlignment="1">
      <alignment horizontal="right"/>
    </xf>
    <xf numFmtId="0" fontId="14" fillId="0" borderId="7" xfId="0" applyFont="1" applyBorder="1" applyAlignment="1">
      <alignment horizontal="left" vertical="center"/>
    </xf>
    <xf numFmtId="9" fontId="11" fillId="0" borderId="1" xfId="5" applyFont="1" applyBorder="1" applyAlignment="1">
      <alignment horizontal="right"/>
    </xf>
    <xf numFmtId="165" fontId="11" fillId="0" borderId="8" xfId="96" applyNumberFormat="1" applyFont="1" applyBorder="1"/>
    <xf numFmtId="0" fontId="14" fillId="0" borderId="23" xfId="0" applyFont="1" applyBorder="1" applyAlignment="1">
      <alignment horizontal="left" vertical="center"/>
    </xf>
    <xf numFmtId="10" fontId="11" fillId="0" borderId="21" xfId="5" applyNumberFormat="1" applyFont="1" applyBorder="1" applyAlignment="1">
      <alignment horizontal="right"/>
    </xf>
    <xf numFmtId="165" fontId="11" fillId="0" borderId="24" xfId="96" applyNumberFormat="1" applyFont="1" applyBorder="1"/>
    <xf numFmtId="14" fontId="7" fillId="0" borderId="23" xfId="96" applyNumberFormat="1" applyFont="1" applyBorder="1" applyAlignment="1">
      <alignment horizontal="left"/>
    </xf>
    <xf numFmtId="2" fontId="7" fillId="0" borderId="21" xfId="96" applyNumberFormat="1" applyFont="1" applyBorder="1"/>
    <xf numFmtId="2" fontId="7" fillId="0" borderId="24" xfId="96" applyNumberFormat="1" applyFont="1" applyBorder="1"/>
    <xf numFmtId="0" fontId="7" fillId="0" borderId="7" xfId="96" applyFont="1" applyFill="1" applyBorder="1" applyAlignment="1">
      <alignment vertical="center"/>
    </xf>
    <xf numFmtId="171" fontId="7" fillId="0" borderId="1" xfId="98" applyNumberFormat="1" applyFont="1" applyFill="1" applyBorder="1" applyAlignment="1">
      <alignment vertical="center"/>
    </xf>
    <xf numFmtId="0" fontId="7" fillId="0" borderId="24" xfId="96" applyFont="1" applyBorder="1" applyAlignment="1">
      <alignment horizontal="left"/>
    </xf>
    <xf numFmtId="14" fontId="7" fillId="0" borderId="1" xfId="96" applyNumberFormat="1" applyFont="1" applyBorder="1" applyAlignment="1">
      <alignment horizontal="left"/>
    </xf>
    <xf numFmtId="165" fontId="7" fillId="0" borderId="1" xfId="96" applyNumberFormat="1" applyFont="1" applyBorder="1" applyAlignment="1">
      <alignment horizontal="right"/>
    </xf>
    <xf numFmtId="0" fontId="7" fillId="0" borderId="1" xfId="0" applyFont="1" applyBorder="1"/>
    <xf numFmtId="170" fontId="9" fillId="0" borderId="1" xfId="96" applyNumberFormat="1" applyFont="1" applyBorder="1"/>
    <xf numFmtId="14" fontId="9" fillId="19" borderId="1" xfId="96" applyNumberFormat="1" applyFont="1" applyFill="1" applyBorder="1" applyAlignment="1">
      <alignment horizontal="center" vertical="center" wrapText="1"/>
    </xf>
    <xf numFmtId="170" fontId="7" fillId="0" borderId="1" xfId="144" applyNumberFormat="1" applyFont="1" applyBorder="1"/>
    <xf numFmtId="43" fontId="7" fillId="0" borderId="1" xfId="96" applyNumberFormat="1" applyFont="1" applyBorder="1"/>
    <xf numFmtId="167" fontId="7" fillId="0" borderId="1" xfId="96" applyNumberFormat="1" applyFont="1" applyBorder="1"/>
    <xf numFmtId="43" fontId="22" fillId="0" borderId="0" xfId="96" applyNumberFormat="1" applyFont="1"/>
    <xf numFmtId="2" fontId="11" fillId="0" borderId="17" xfId="96" applyNumberFormat="1" applyFont="1" applyBorder="1" applyAlignment="1">
      <alignment vertical="center"/>
    </xf>
    <xf numFmtId="169" fontId="11" fillId="0" borderId="1" xfId="96" applyNumberFormat="1" applyFont="1" applyBorder="1" applyAlignment="1">
      <alignment horizontal="right" vertical="center"/>
    </xf>
    <xf numFmtId="2" fontId="11" fillId="0" borderId="8" xfId="96" applyNumberFormat="1" applyFont="1" applyBorder="1" applyAlignment="1">
      <alignment vertical="center" wrapText="1"/>
    </xf>
    <xf numFmtId="170" fontId="22" fillId="0" borderId="0" xfId="96" applyNumberFormat="1" applyFont="1"/>
    <xf numFmtId="0" fontId="11" fillId="2" borderId="16" xfId="3" applyFont="1" applyFill="1" applyBorder="1" applyAlignment="1" applyProtection="1">
      <alignment vertical="top" wrapText="1"/>
      <protection locked="0"/>
    </xf>
    <xf numFmtId="0" fontId="11" fillId="2" borderId="10" xfId="3" applyFont="1" applyFill="1" applyBorder="1" applyAlignment="1" applyProtection="1">
      <alignment vertical="top" wrapText="1"/>
      <protection locked="0"/>
    </xf>
    <xf numFmtId="0" fontId="11" fillId="2" borderId="7" xfId="3" applyFont="1" applyFill="1" applyBorder="1" applyAlignment="1" applyProtection="1">
      <alignment vertical="top" wrapText="1"/>
      <protection locked="0"/>
    </xf>
    <xf numFmtId="0" fontId="11" fillId="2" borderId="8" xfId="3" applyFont="1" applyFill="1" applyBorder="1" applyAlignment="1" applyProtection="1">
      <alignment vertical="top" wrapText="1"/>
      <protection locked="0"/>
    </xf>
    <xf numFmtId="0" fontId="11" fillId="2" borderId="9" xfId="3" applyFont="1" applyFill="1" applyBorder="1" applyAlignment="1" applyProtection="1">
      <alignment vertical="top" wrapText="1"/>
      <protection locked="0"/>
    </xf>
    <xf numFmtId="0" fontId="11" fillId="2" borderId="11" xfId="3" applyFont="1" applyFill="1" applyBorder="1" applyAlignment="1" applyProtection="1">
      <alignment vertical="top" wrapText="1"/>
      <protection locked="0"/>
    </xf>
    <xf numFmtId="167" fontId="11" fillId="2" borderId="12" xfId="3" applyNumberFormat="1" applyFont="1" applyFill="1" applyBorder="1" applyAlignment="1" applyProtection="1">
      <alignment horizontal="left" vertical="top"/>
      <protection locked="0"/>
    </xf>
    <xf numFmtId="167" fontId="11" fillId="2" borderId="22" xfId="3" applyNumberFormat="1" applyFont="1" applyFill="1" applyBorder="1" applyAlignment="1" applyProtection="1">
      <alignment horizontal="left" vertical="top"/>
      <protection locked="0"/>
    </xf>
    <xf numFmtId="166" fontId="11" fillId="2" borderId="9" xfId="3" applyNumberFormat="1" applyFont="1" applyFill="1" applyBorder="1" applyAlignment="1" applyProtection="1">
      <alignment horizontal="left" vertical="top"/>
      <protection locked="0"/>
    </xf>
    <xf numFmtId="166" fontId="11" fillId="2" borderId="11" xfId="3" applyNumberFormat="1" applyFont="1" applyFill="1" applyBorder="1" applyAlignment="1" applyProtection="1">
      <alignment horizontal="left" vertical="top"/>
      <protection locked="0"/>
    </xf>
    <xf numFmtId="0" fontId="11" fillId="2" borderId="7" xfId="3" applyFont="1" applyFill="1" applyBorder="1" applyAlignment="1" applyProtection="1">
      <alignment vertical="top"/>
      <protection locked="0"/>
    </xf>
    <xf numFmtId="0" fontId="11" fillId="2" borderId="8" xfId="3" applyFont="1" applyFill="1" applyBorder="1" applyAlignment="1" applyProtection="1">
      <alignment vertical="top"/>
      <protection locked="0"/>
    </xf>
    <xf numFmtId="0" fontId="11" fillId="2" borderId="9" xfId="3" applyFont="1" applyFill="1" applyBorder="1" applyAlignment="1" applyProtection="1">
      <alignment horizontal="left" vertical="top"/>
      <protection locked="0"/>
    </xf>
    <xf numFmtId="0" fontId="11" fillId="2" borderId="11" xfId="3" applyFont="1" applyFill="1" applyBorder="1" applyAlignment="1" applyProtection="1">
      <alignment horizontal="left" vertical="top"/>
      <protection locked="0"/>
    </xf>
    <xf numFmtId="0" fontId="14" fillId="23" borderId="21" xfId="12" applyFill="1" applyBorder="1" applyAlignment="1">
      <alignment horizontal="center" vertical="center" wrapText="1"/>
    </xf>
    <xf numFmtId="0" fontId="14" fillId="23" borderId="38" xfId="12" applyFill="1" applyBorder="1" applyAlignment="1">
      <alignment horizontal="center" vertical="center" wrapText="1"/>
    </xf>
    <xf numFmtId="0" fontId="14" fillId="23" borderId="20" xfId="12" applyFill="1" applyBorder="1" applyAlignment="1">
      <alignment horizontal="center" vertical="center" wrapText="1"/>
    </xf>
    <xf numFmtId="0" fontId="38" fillId="0" borderId="25" xfId="0" applyFont="1" applyBorder="1" applyAlignment="1">
      <alignment horizontal="center" vertical="center" wrapText="1"/>
    </xf>
    <xf numFmtId="0" fontId="38" fillId="0" borderId="26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39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1" fillId="11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4" fillId="11" borderId="2" xfId="0" applyFont="1" applyFill="1" applyBorder="1" applyAlignment="1">
      <alignment horizontal="center" vertical="center" wrapText="1"/>
    </xf>
    <xf numFmtId="0" fontId="34" fillId="11" borderId="3" xfId="0" applyFont="1" applyFill="1" applyBorder="1" applyAlignment="1">
      <alignment horizontal="center" vertical="center" wrapText="1"/>
    </xf>
    <xf numFmtId="0" fontId="34" fillId="11" borderId="4" xfId="0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 vertical="center" wrapText="1"/>
    </xf>
    <xf numFmtId="0" fontId="22" fillId="0" borderId="1" xfId="12" applyFont="1" applyBorder="1" applyAlignment="1">
      <alignment horizontal="center" vertical="center" wrapText="1"/>
    </xf>
    <xf numFmtId="0" fontId="14" fillId="0" borderId="21" xfId="12" applyFont="1" applyFill="1" applyBorder="1" applyAlignment="1">
      <alignment horizontal="left" vertical="center" wrapText="1"/>
    </xf>
    <xf numFmtId="0" fontId="14" fillId="0" borderId="20" xfId="12" applyFont="1" applyFill="1" applyBorder="1" applyAlignment="1">
      <alignment horizontal="left" vertical="center" wrapText="1"/>
    </xf>
    <xf numFmtId="167" fontId="14" fillId="0" borderId="21" xfId="12" applyNumberFormat="1" applyFont="1" applyFill="1" applyBorder="1" applyAlignment="1">
      <alignment horizontal="center" vertical="center" wrapText="1"/>
    </xf>
    <xf numFmtId="167" fontId="14" fillId="0" borderId="20" xfId="12" applyNumberFormat="1" applyFont="1" applyFill="1" applyBorder="1" applyAlignment="1">
      <alignment horizontal="center" vertical="center" wrapText="1"/>
    </xf>
    <xf numFmtId="0" fontId="36" fillId="10" borderId="1" xfId="12" applyFont="1" applyFill="1" applyBorder="1" applyAlignment="1">
      <alignment horizontal="center" vertical="center" wrapText="1"/>
    </xf>
    <xf numFmtId="0" fontId="35" fillId="10" borderId="1" xfId="12" applyFont="1" applyFill="1" applyBorder="1" applyAlignment="1">
      <alignment horizontal="center" vertical="center" wrapText="1"/>
    </xf>
    <xf numFmtId="0" fontId="29" fillId="10" borderId="0" xfId="12" applyFont="1" applyFill="1" applyBorder="1" applyAlignment="1">
      <alignment horizontal="center" vertical="center" wrapText="1"/>
    </xf>
    <xf numFmtId="0" fontId="29" fillId="10" borderId="19" xfId="12" applyFont="1" applyFill="1" applyBorder="1" applyAlignment="1">
      <alignment horizontal="center" vertical="center" wrapText="1"/>
    </xf>
    <xf numFmtId="0" fontId="29" fillId="10" borderId="2" xfId="12" applyFont="1" applyFill="1" applyBorder="1" applyAlignment="1">
      <alignment horizontal="center" vertical="center" wrapText="1"/>
    </xf>
    <xf numFmtId="0" fontId="29" fillId="10" borderId="3" xfId="12" applyFont="1" applyFill="1" applyBorder="1" applyAlignment="1">
      <alignment horizontal="center" vertical="center" wrapText="1"/>
    </xf>
    <xf numFmtId="0" fontId="15" fillId="0" borderId="0" xfId="12" applyFont="1" applyBorder="1" applyAlignment="1">
      <alignment horizontal="center" vertical="center" wrapText="1"/>
    </xf>
    <xf numFmtId="0" fontId="15" fillId="0" borderId="19" xfId="12" applyFont="1" applyBorder="1" applyAlignment="1">
      <alignment horizontal="center" vertical="center" wrapText="1"/>
    </xf>
    <xf numFmtId="0" fontId="15" fillId="0" borderId="2" xfId="12" applyFont="1" applyBorder="1" applyAlignment="1">
      <alignment horizontal="center" vertical="center" wrapText="1"/>
    </xf>
    <xf numFmtId="0" fontId="15" fillId="0" borderId="3" xfId="12" applyFont="1" applyBorder="1" applyAlignment="1">
      <alignment horizontal="center" vertical="center" wrapText="1"/>
    </xf>
    <xf numFmtId="0" fontId="14" fillId="0" borderId="2" xfId="12" applyBorder="1" applyAlignment="1">
      <alignment horizontal="center" vertical="center" wrapText="1"/>
    </xf>
    <xf numFmtId="0" fontId="14" fillId="0" borderId="3" xfId="12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9" fillId="9" borderId="16" xfId="12" applyFont="1" applyFill="1" applyBorder="1" applyAlignment="1">
      <alignment horizontal="center" vertical="center" wrapText="1"/>
    </xf>
    <xf numFmtId="0" fontId="9" fillId="9" borderId="33" xfId="12" applyFont="1" applyFill="1" applyBorder="1" applyAlignment="1">
      <alignment horizontal="center" vertical="center" wrapText="1"/>
    </xf>
    <xf numFmtId="0" fontId="9" fillId="9" borderId="10" xfId="12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34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 wrapText="1"/>
    </xf>
    <xf numFmtId="0" fontId="9" fillId="0" borderId="16" xfId="12" applyFont="1" applyFill="1" applyBorder="1" applyAlignment="1">
      <alignment horizontal="center" vertical="center" wrapText="1"/>
    </xf>
    <xf numFmtId="0" fontId="9" fillId="0" borderId="33" xfId="12" applyFont="1" applyFill="1" applyBorder="1" applyAlignment="1">
      <alignment horizontal="center" vertical="center" wrapText="1"/>
    </xf>
    <xf numFmtId="0" fontId="9" fillId="0" borderId="10" xfId="12" applyFont="1" applyFill="1" applyBorder="1" applyAlignment="1">
      <alignment horizontal="center" vertical="center" wrapText="1"/>
    </xf>
    <xf numFmtId="14" fontId="9" fillId="0" borderId="1" xfId="96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28" fillId="12" borderId="1" xfId="145" applyFont="1" applyFill="1" applyBorder="1" applyAlignment="1">
      <alignment horizontal="center" vertical="center" wrapText="1"/>
    </xf>
    <xf numFmtId="43" fontId="28" fillId="13" borderId="1" xfId="144" applyNumberFormat="1" applyFont="1" applyFill="1" applyBorder="1" applyAlignment="1">
      <alignment horizontal="center" vertical="center" wrapText="1"/>
    </xf>
    <xf numFmtId="0" fontId="9" fillId="26" borderId="1" xfId="0" applyFont="1" applyFill="1" applyBorder="1" applyAlignment="1">
      <alignment horizontal="center"/>
    </xf>
    <xf numFmtId="43" fontId="9" fillId="26" borderId="1" xfId="144" applyNumberFormat="1" applyFont="1" applyFill="1" applyBorder="1" applyAlignment="1">
      <alignment horizontal="center"/>
    </xf>
  </cellXfs>
  <cellStyles count="146">
    <cellStyle name="Comma" xfId="144" builtinId="3"/>
    <cellStyle name="Comma 2" xfId="11"/>
    <cellStyle name="Comma 2 2" xfId="65"/>
    <cellStyle name="Comma 2 2 2" xfId="71"/>
    <cellStyle name="Comma 2 2 3" xfId="98"/>
    <cellStyle name="Comma 2 3" xfId="72"/>
    <cellStyle name="Comma 3" xfId="25"/>
    <cellStyle name="Comma 3 2" xfId="27"/>
    <cellStyle name="Comma 3 2 2" xfId="28"/>
    <cellStyle name="Comma 3 2 3" xfId="29"/>
    <cellStyle name="Comma 3 3" xfId="30"/>
    <cellStyle name="Comma 3 3 2" xfId="31"/>
    <cellStyle name="Comma 3 3 3" xfId="32"/>
    <cellStyle name="Comma 3 4" xfId="33"/>
    <cellStyle name="Comma 3 5" xfId="34"/>
    <cellStyle name="Comma 4" xfId="35"/>
    <cellStyle name="Comma 5" xfId="14"/>
    <cellStyle name="Comma 5 2" xfId="15"/>
    <cellStyle name="Currency 2" xfId="36"/>
    <cellStyle name="Currency 2 2" xfId="37"/>
    <cellStyle name="Currency 3" xfId="38"/>
    <cellStyle name="Currency 4" xfId="39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Hyperlink 2" xfId="1"/>
    <cellStyle name="Hyperlink 3" xfId="26"/>
    <cellStyle name="Moneda 2 2" xfId="73"/>
    <cellStyle name="Normal" xfId="0" builtinId="0"/>
    <cellStyle name="Normal 10" xfId="74"/>
    <cellStyle name="Normal 10 2" xfId="2"/>
    <cellStyle name="Normal 2" xfId="3"/>
    <cellStyle name="Normal 2 2" xfId="7"/>
    <cellStyle name="Normal 2 2 2" xfId="16"/>
    <cellStyle name="Normal 2 2 2 2" xfId="17"/>
    <cellStyle name="Normal 2 2 3" xfId="18"/>
    <cellStyle name="Normal 2 3" xfId="8"/>
    <cellStyle name="Normal 3" xfId="10"/>
    <cellStyle name="Normal 3 2" xfId="12"/>
    <cellStyle name="Normal 3 2 2" xfId="9"/>
    <cellStyle name="Normal 3 3" xfId="19"/>
    <cellStyle name="Normal 3 3 2" xfId="20"/>
    <cellStyle name="Normal 3 4" xfId="40"/>
    <cellStyle name="Normal 3 5" xfId="41"/>
    <cellStyle name="Normal 4" xfId="4"/>
    <cellStyle name="Normal 4 2" xfId="21"/>
    <cellStyle name="Normal 4 3" xfId="42"/>
    <cellStyle name="Normal 4 4" xfId="63"/>
    <cellStyle name="Normal 4 4 2" xfId="96"/>
    <cellStyle name="Normal 5" xfId="43"/>
    <cellStyle name="Normal 6" xfId="44"/>
    <cellStyle name="Normal 6 2" xfId="45"/>
    <cellStyle name="Normal 6 2 2" xfId="46"/>
    <cellStyle name="Normal 6 2 3" xfId="47"/>
    <cellStyle name="Normal 6 3" xfId="48"/>
    <cellStyle name="Normal 6 3 2" xfId="49"/>
    <cellStyle name="Normal 6 3 3" xfId="50"/>
    <cellStyle name="Normal 6 4" xfId="51"/>
    <cellStyle name="Normal 6 5" xfId="52"/>
    <cellStyle name="Normal 7" xfId="53"/>
    <cellStyle name="Normal 8" xfId="54"/>
    <cellStyle name="Normal 9" xfId="75"/>
    <cellStyle name="Normal_Sheet1" xfId="145"/>
    <cellStyle name="Note 2" xfId="76"/>
    <cellStyle name="Percent" xfId="5" builtinId="5"/>
    <cellStyle name="Percent 2" xfId="13"/>
    <cellStyle name="Percent 2 2" xfId="22"/>
    <cellStyle name="Percent 2 2 2" xfId="64"/>
    <cellStyle name="Percent 2 2 2 2" xfId="97"/>
    <cellStyle name="Percent 3" xfId="6"/>
    <cellStyle name="Percent 3 2" xfId="23"/>
    <cellStyle name="Percent 3 2 2" xfId="55"/>
    <cellStyle name="Percent 3 2 3" xfId="56"/>
    <cellStyle name="Percent 3 3" xfId="57"/>
    <cellStyle name="Percent 3 3 2" xfId="58"/>
    <cellStyle name="Percent 3 3 3" xfId="59"/>
    <cellStyle name="Percent 3 4" xfId="60"/>
    <cellStyle name="Percent 3 5" xfId="61"/>
    <cellStyle name="Percent 4" xfId="24"/>
    <cellStyle name="Percent 5" xfId="62"/>
    <cellStyle name="Título 4" xfId="77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6633"/>
      <color rgb="FF008080"/>
      <color rgb="FFFAF8C4"/>
      <color rgb="FF00FFFF"/>
      <color rgb="FFFF7C80"/>
      <color rgb="FF99FF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tt%20Evans\My%20Documents\My%20Dropbox\All%20Projects\Paradigm%20Kenya\Modeling\Updated%20Project%20P%20and%20L.fix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Local%20Disc%20(D)\Climate%20Secure\Honduras\MRV\Airheads-togvda\ceihd\Projects\Project%20Templates\Carbon%20Documentation\China%20Program\Carbon%20Program\Offset%20projections\Aggregate%20China%20Proje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nesh.naidu\AppData\Local\Microsoft\Windows\INetCache\Content.Outlook\D0AXV9IC\efficiency%20calculator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3\Documents\SugarSync%20Shared%20Folders\Carsten%20Jung\Carbon%20Africa%20UG%20+RW\03_CDM%20Projects\Envirofit%20Ghana\13%20Monitoring%20Period%201\ER%20calculations%20Ex%20Post\ER%20and%20sample%20size\2014%2008%2003%20Ex%20post%20ER%20calc%20v0.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dhika\Projects\Bangladesh%20Poa\Validation%20with%20new%20meth\Docs%20sent%20to%20TUV%20SUD_25042011\Revised%20docs\ICS_Bangladesh%20CER%20%20Calcs_RT_2104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mate%20Secure\Nigeria\CPA0005%20response\Round%201\CPA%20Distribution%20Record%20CPA0005%202207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HH Carbon Calculato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ngchang Stov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est-1"/>
      <sheetName val="Test-2"/>
      <sheetName val="Test-3"/>
      <sheetName val="Results"/>
      <sheetName val="Fuel Moisture"/>
      <sheetName val="Calorific valu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>
            <v>1</v>
          </cell>
          <cell r="C3" t="str">
            <v>(Select from list)</v>
          </cell>
          <cell r="D3" t="str">
            <v>(select from list or use defalut value of 20,000 MJ/kg)</v>
          </cell>
        </row>
        <row r="4">
          <cell r="B4">
            <v>2</v>
          </cell>
          <cell r="C4" t="str">
            <v>LPG</v>
          </cell>
          <cell r="I4">
            <v>48000</v>
          </cell>
          <cell r="K4">
            <v>44700</v>
          </cell>
          <cell r="L4">
            <v>0</v>
          </cell>
          <cell r="M4">
            <v>0.81799999999999995</v>
          </cell>
        </row>
        <row r="5">
          <cell r="B5">
            <v>3</v>
          </cell>
          <cell r="C5" t="str">
            <v>Kerosene</v>
          </cell>
          <cell r="I5">
            <v>43300</v>
          </cell>
          <cell r="K5">
            <v>39700</v>
          </cell>
          <cell r="L5">
            <v>0</v>
          </cell>
          <cell r="M5">
            <v>0.84499999999999997</v>
          </cell>
        </row>
        <row r="6">
          <cell r="B6">
            <v>4</v>
          </cell>
          <cell r="C6" t="str">
            <v>Ethanol</v>
          </cell>
          <cell r="I6">
            <v>29800</v>
          </cell>
          <cell r="K6">
            <v>26700</v>
          </cell>
          <cell r="L6">
            <v>0</v>
          </cell>
          <cell r="M6">
            <v>0.52200000000000002</v>
          </cell>
        </row>
        <row r="7">
          <cell r="B7">
            <v>5</v>
          </cell>
          <cell r="C7" t="str">
            <v>Methanol</v>
          </cell>
          <cell r="I7">
            <v>22700</v>
          </cell>
          <cell r="K7">
            <v>21100</v>
          </cell>
          <cell r="L7">
            <v>0</v>
          </cell>
          <cell r="M7">
            <v>0.375</v>
          </cell>
        </row>
        <row r="8">
          <cell r="B8">
            <v>6</v>
          </cell>
          <cell r="C8" t="str">
            <v>Charcoal</v>
          </cell>
          <cell r="I8">
            <v>31000</v>
          </cell>
          <cell r="K8">
            <v>29800</v>
          </cell>
          <cell r="L8">
            <v>29800</v>
          </cell>
          <cell r="M8">
            <v>0.95</v>
          </cell>
        </row>
        <row r="9">
          <cell r="B9">
            <v>7</v>
          </cell>
          <cell r="C9" t="str">
            <v>Coal</v>
          </cell>
          <cell r="I9">
            <v>24700</v>
          </cell>
          <cell r="K9">
            <v>23500</v>
          </cell>
          <cell r="L9">
            <v>29500</v>
          </cell>
          <cell r="M9">
            <v>0.75</v>
          </cell>
        </row>
        <row r="10">
          <cell r="B10">
            <v>8</v>
          </cell>
          <cell r="C10" t="str">
            <v>Crop residues</v>
          </cell>
          <cell r="I10">
            <v>14700</v>
          </cell>
          <cell r="K10">
            <v>13380</v>
          </cell>
          <cell r="L10">
            <v>29500</v>
          </cell>
          <cell r="M10">
            <v>0.5</v>
          </cell>
        </row>
        <row r="11">
          <cell r="B11">
            <v>9</v>
          </cell>
          <cell r="C11" t="str">
            <v>Dung</v>
          </cell>
          <cell r="I11">
            <v>13600</v>
          </cell>
          <cell r="K11">
            <v>12280</v>
          </cell>
          <cell r="L11">
            <v>29500</v>
          </cell>
          <cell r="M11">
            <v>0.5</v>
          </cell>
        </row>
        <row r="12">
          <cell r="B12">
            <v>10</v>
          </cell>
          <cell r="C12" t="str">
            <v>Average Hardwood</v>
          </cell>
          <cell r="D12" t="str">
            <v>Average Hardwood</v>
          </cell>
          <cell r="I12">
            <v>19734</v>
          </cell>
          <cell r="K12">
            <v>18414</v>
          </cell>
          <cell r="L12">
            <v>29500</v>
          </cell>
          <cell r="M12">
            <v>0.5</v>
          </cell>
        </row>
        <row r="13">
          <cell r="B13">
            <v>11</v>
          </cell>
          <cell r="C13" t="str">
            <v>Average Softwood (Conifer)</v>
          </cell>
          <cell r="D13" t="str">
            <v>Average Softwood (conifer)</v>
          </cell>
          <cell r="I13">
            <v>20817</v>
          </cell>
          <cell r="K13">
            <v>19497</v>
          </cell>
          <cell r="L13">
            <v>29500</v>
          </cell>
          <cell r="M13">
            <v>0.5</v>
          </cell>
        </row>
        <row r="14">
          <cell r="B14">
            <v>12</v>
          </cell>
          <cell r="C14" t="str">
            <v>Abies Balsamea (Balsam Fir)</v>
          </cell>
          <cell r="D14" t="str">
            <v>Abies Balsamea</v>
          </cell>
          <cell r="E14" t="str">
            <v>balsam fir</v>
          </cell>
          <cell r="I14">
            <v>18916.150000000001</v>
          </cell>
          <cell r="K14">
            <v>17596.150000000001</v>
          </cell>
          <cell r="L14">
            <v>29500</v>
          </cell>
          <cell r="M14">
            <v>0.5</v>
          </cell>
        </row>
        <row r="15">
          <cell r="B15">
            <v>13</v>
          </cell>
          <cell r="C15" t="str">
            <v>Acacia Auriculiformis (Ear-Leaf Acacia, Ear-Pod Wattle)</v>
          </cell>
          <cell r="D15" t="str">
            <v>Acacia Auriculiformis</v>
          </cell>
          <cell r="E15" t="str">
            <v>ear-leaf acacia, ear-pod wattle</v>
          </cell>
          <cell r="F15">
            <v>4800</v>
          </cell>
          <cell r="G15">
            <v>4900</v>
          </cell>
          <cell r="H15">
            <v>4850</v>
          </cell>
          <cell r="I15">
            <v>20370</v>
          </cell>
          <cell r="K15">
            <v>19050</v>
          </cell>
          <cell r="L15">
            <v>29500</v>
          </cell>
          <cell r="M15">
            <v>0.5</v>
          </cell>
        </row>
        <row r="16">
          <cell r="B16">
            <v>14</v>
          </cell>
          <cell r="C16" t="str">
            <v>Acacia Decurrens  (King Wattle, Green Wattle, Sydney Black Wattle)</v>
          </cell>
          <cell r="D16" t="str">
            <v xml:space="preserve">Acacia Decurrens </v>
          </cell>
          <cell r="E16" t="str">
            <v>king wattle, green wattle, Sydney black wattle</v>
          </cell>
          <cell r="I16">
            <v>18700</v>
          </cell>
          <cell r="K16">
            <v>17380</v>
          </cell>
          <cell r="L16">
            <v>29500</v>
          </cell>
          <cell r="M16">
            <v>0.5</v>
          </cell>
        </row>
        <row r="17">
          <cell r="B17">
            <v>15</v>
          </cell>
          <cell r="C17" t="str">
            <v>Acacia Farnesiana (Sweet Acacia, Sweet Wattle)</v>
          </cell>
          <cell r="D17" t="str">
            <v>Acacia Farnesiana</v>
          </cell>
          <cell r="E17" t="str">
            <v>sweet acacia, sweet wattle</v>
          </cell>
          <cell r="I17">
            <v>19200</v>
          </cell>
          <cell r="K17">
            <v>17880</v>
          </cell>
          <cell r="L17">
            <v>29500</v>
          </cell>
          <cell r="M17">
            <v>0.5</v>
          </cell>
        </row>
        <row r="18">
          <cell r="B18">
            <v>16</v>
          </cell>
          <cell r="C18" t="str">
            <v>Acacia Leucophloea (Kikar, Kuteeera Gum)</v>
          </cell>
          <cell r="D18" t="str">
            <v>Acacia Leucophloea</v>
          </cell>
          <cell r="E18" t="str">
            <v>kikar, kuteeera gum</v>
          </cell>
          <cell r="I18">
            <v>21800</v>
          </cell>
          <cell r="K18">
            <v>20480</v>
          </cell>
          <cell r="L18">
            <v>29500</v>
          </cell>
          <cell r="M18">
            <v>0.5</v>
          </cell>
        </row>
        <row r="19">
          <cell r="B19">
            <v>17</v>
          </cell>
          <cell r="C19" t="str">
            <v>Acacia Mearnsi  (Black Wattle)</v>
          </cell>
          <cell r="D19" t="str">
            <v xml:space="preserve">Acacia Mearnsi </v>
          </cell>
          <cell r="E19" t="str">
            <v>black wattle</v>
          </cell>
          <cell r="F19">
            <v>4650</v>
          </cell>
          <cell r="H19">
            <v>4650</v>
          </cell>
          <cell r="I19">
            <v>19530</v>
          </cell>
          <cell r="K19">
            <v>18210</v>
          </cell>
          <cell r="L19">
            <v>29500</v>
          </cell>
          <cell r="M19">
            <v>0.5</v>
          </cell>
        </row>
        <row r="20">
          <cell r="B20">
            <v>18</v>
          </cell>
          <cell r="C20" t="str">
            <v>Acacia Nilotica (Egyptian Thorn, Babul (India), Babar (Pakistan))</v>
          </cell>
          <cell r="D20" t="str">
            <v>Acacia Nilotica</v>
          </cell>
          <cell r="E20" t="str">
            <v>egyptian thorn, babul (India), babar (Pakistan)</v>
          </cell>
          <cell r="F20">
            <v>4800</v>
          </cell>
          <cell r="G20">
            <v>4950</v>
          </cell>
          <cell r="H20">
            <v>4875</v>
          </cell>
          <cell r="I20">
            <v>20475</v>
          </cell>
          <cell r="K20">
            <v>19155</v>
          </cell>
          <cell r="L20">
            <v>29500</v>
          </cell>
          <cell r="M20">
            <v>0.5</v>
          </cell>
        </row>
        <row r="21">
          <cell r="B21">
            <v>19</v>
          </cell>
          <cell r="C21" t="str">
            <v>Acacia Tortilis (Umbrella Thorn)</v>
          </cell>
          <cell r="D21" t="str">
            <v>Acacia Tortilis</v>
          </cell>
          <cell r="E21" t="str">
            <v>umbrella thorn</v>
          </cell>
          <cell r="F21">
            <v>4400</v>
          </cell>
          <cell r="H21">
            <v>4400</v>
          </cell>
          <cell r="I21">
            <v>18480</v>
          </cell>
          <cell r="K21">
            <v>17160</v>
          </cell>
          <cell r="L21">
            <v>29500</v>
          </cell>
          <cell r="M21">
            <v>0.5</v>
          </cell>
        </row>
        <row r="22">
          <cell r="B22">
            <v>20</v>
          </cell>
          <cell r="C22" t="str">
            <v>Acer Rubrum (Red Maple)</v>
          </cell>
          <cell r="D22" t="str">
            <v>Acer Rubrum</v>
          </cell>
          <cell r="E22" t="str">
            <v>red maple</v>
          </cell>
          <cell r="I22">
            <v>18544.79</v>
          </cell>
          <cell r="J22" t="str">
            <v>dry</v>
          </cell>
          <cell r="K22">
            <v>17224.79</v>
          </cell>
          <cell r="L22">
            <v>29500</v>
          </cell>
          <cell r="M22">
            <v>0.5</v>
          </cell>
        </row>
        <row r="23">
          <cell r="B23">
            <v>21</v>
          </cell>
          <cell r="C23" t="str">
            <v>Albizia Falcataria (Batai, Malucca Albizia, ,Placata)</v>
          </cell>
          <cell r="D23" t="str">
            <v>Albizia Falcataria</v>
          </cell>
          <cell r="E23" t="str">
            <v>batai, malucca albizia, ,placata</v>
          </cell>
          <cell r="I23">
            <v>18100</v>
          </cell>
          <cell r="K23">
            <v>16780</v>
          </cell>
          <cell r="L23">
            <v>29500</v>
          </cell>
          <cell r="M23">
            <v>0.5</v>
          </cell>
        </row>
        <row r="24">
          <cell r="B24">
            <v>22</v>
          </cell>
          <cell r="C24" t="str">
            <v xml:space="preserve">Albizia Lebbek (Lebbek, East Indian Walnut Tree) </v>
          </cell>
          <cell r="D24" t="str">
            <v>Albizia Lebbek</v>
          </cell>
          <cell r="E24" t="str">
            <v xml:space="preserve">lebbek, East Indian walnut tree; </v>
          </cell>
          <cell r="F24">
            <v>5200</v>
          </cell>
          <cell r="H24">
            <v>5200</v>
          </cell>
          <cell r="I24">
            <v>21840</v>
          </cell>
          <cell r="K24">
            <v>20520</v>
          </cell>
          <cell r="L24">
            <v>29500</v>
          </cell>
          <cell r="M24">
            <v>0.5</v>
          </cell>
        </row>
        <row r="25">
          <cell r="B25">
            <v>23</v>
          </cell>
          <cell r="C25" t="str">
            <v>Albizia Procera (Albicia, Silver Bark Rain Tree)</v>
          </cell>
          <cell r="D25" t="str">
            <v>Albizia Procera</v>
          </cell>
          <cell r="E25" t="str">
            <v>albicia, silver bark rain tree</v>
          </cell>
          <cell r="I25">
            <v>19700</v>
          </cell>
          <cell r="K25">
            <v>18380</v>
          </cell>
          <cell r="L25">
            <v>29500</v>
          </cell>
          <cell r="M25">
            <v>0.5</v>
          </cell>
        </row>
        <row r="26">
          <cell r="B26">
            <v>24</v>
          </cell>
          <cell r="C26" t="str">
            <v>Alnus Nepalensis (Nepal Alder)</v>
          </cell>
          <cell r="D26" t="str">
            <v>Alnus Nepalensis</v>
          </cell>
          <cell r="E26" t="str">
            <v>Nepal alder</v>
          </cell>
          <cell r="I26">
            <v>17150</v>
          </cell>
          <cell r="K26">
            <v>15830</v>
          </cell>
          <cell r="L26">
            <v>29500</v>
          </cell>
          <cell r="M26">
            <v>0.5</v>
          </cell>
        </row>
        <row r="27">
          <cell r="B27">
            <v>25</v>
          </cell>
          <cell r="C27" t="str">
            <v>Alnus Rubra (Red Alder)</v>
          </cell>
          <cell r="D27" t="str">
            <v>Alnus Rubra</v>
          </cell>
          <cell r="E27" t="str">
            <v>red alder</v>
          </cell>
          <cell r="F27">
            <v>4600</v>
          </cell>
          <cell r="H27">
            <v>4600</v>
          </cell>
          <cell r="I27">
            <v>19320</v>
          </cell>
          <cell r="K27">
            <v>18000</v>
          </cell>
          <cell r="L27">
            <v>29500</v>
          </cell>
          <cell r="M27">
            <v>0.5</v>
          </cell>
        </row>
        <row r="28">
          <cell r="B28">
            <v>26</v>
          </cell>
          <cell r="C28" t="str">
            <v>Alnus Rubra (Red Alder)</v>
          </cell>
          <cell r="D28" t="str">
            <v>Alnus Rubra</v>
          </cell>
          <cell r="E28" t="str">
            <v>red alder</v>
          </cell>
          <cell r="I28">
            <v>18544.79</v>
          </cell>
          <cell r="K28">
            <v>17224.79</v>
          </cell>
          <cell r="L28">
            <v>29500</v>
          </cell>
          <cell r="M28">
            <v>0.5</v>
          </cell>
        </row>
        <row r="29">
          <cell r="B29">
            <v>27</v>
          </cell>
          <cell r="C29" t="str">
            <v>Alstonia Macrophylla (Devil Tree)</v>
          </cell>
          <cell r="D29" t="str">
            <v>Alstonia Macrophylla</v>
          </cell>
          <cell r="E29" t="str">
            <v xml:space="preserve">devil tree, </v>
          </cell>
          <cell r="I29">
            <v>19200</v>
          </cell>
          <cell r="K29">
            <v>17880</v>
          </cell>
          <cell r="L29">
            <v>29500</v>
          </cell>
          <cell r="M29">
            <v>0.5</v>
          </cell>
        </row>
        <row r="30">
          <cell r="B30">
            <v>28</v>
          </cell>
          <cell r="C30" t="str">
            <v>Anogeissus Latifolia (Axle-Wood Tree, Dhausa (Hindi))</v>
          </cell>
          <cell r="D30" t="str">
            <v>Anogeissus Latifolia</v>
          </cell>
          <cell r="E30" t="str">
            <v xml:space="preserve">axle-wood tree, dhausa (Hindi) </v>
          </cell>
          <cell r="F30">
            <v>4900</v>
          </cell>
          <cell r="H30">
            <v>4900</v>
          </cell>
          <cell r="I30">
            <v>20580</v>
          </cell>
          <cell r="K30">
            <v>19260</v>
          </cell>
          <cell r="L30">
            <v>29500</v>
          </cell>
          <cell r="M30">
            <v>0.5</v>
          </cell>
        </row>
        <row r="31">
          <cell r="B31">
            <v>29</v>
          </cell>
          <cell r="C31" t="str">
            <v>Anthocephalus Cadamba (Labula (Indonesia))</v>
          </cell>
          <cell r="D31" t="str">
            <v>Anthocephalus Cadamba</v>
          </cell>
          <cell r="E31" t="str">
            <v>Labula (Indonesia)</v>
          </cell>
          <cell r="I31">
            <v>19350</v>
          </cell>
          <cell r="K31">
            <v>18030</v>
          </cell>
          <cell r="L31">
            <v>29500</v>
          </cell>
          <cell r="M31">
            <v>0.5</v>
          </cell>
        </row>
        <row r="32">
          <cell r="B32">
            <v>30</v>
          </cell>
          <cell r="C32" t="str">
            <v>Antidesma Ghaessimbilla</v>
          </cell>
          <cell r="D32" t="str">
            <v>Antidesma Ghaessimbilla</v>
          </cell>
          <cell r="I32">
            <v>19100</v>
          </cell>
          <cell r="K32">
            <v>17780</v>
          </cell>
          <cell r="L32">
            <v>29500</v>
          </cell>
          <cell r="M32">
            <v>0.5</v>
          </cell>
        </row>
        <row r="33">
          <cell r="B33">
            <v>31</v>
          </cell>
          <cell r="C33" t="str">
            <v>Avicennia Officinalis (Mangrove, Api-Api Sudu (Philippines))</v>
          </cell>
          <cell r="D33" t="str">
            <v>Avicennia Officinalis</v>
          </cell>
          <cell r="E33" t="str">
            <v>mangrove, api-api sudu (Philippines)</v>
          </cell>
          <cell r="I33">
            <v>18500</v>
          </cell>
          <cell r="K33">
            <v>17180</v>
          </cell>
          <cell r="L33">
            <v>29500</v>
          </cell>
          <cell r="M33">
            <v>0.5</v>
          </cell>
        </row>
        <row r="34">
          <cell r="B34">
            <v>32</v>
          </cell>
          <cell r="C34" t="str">
            <v>Balanites Aegyptiaca (Desert Date, Thorn Tree, Soapberry Tree)</v>
          </cell>
          <cell r="D34" t="str">
            <v>Balanites Aegyptiaca</v>
          </cell>
          <cell r="E34" t="str">
            <v>desert date, thorn tree, soapberry tree</v>
          </cell>
          <cell r="F34">
            <v>4600</v>
          </cell>
          <cell r="H34">
            <v>4600</v>
          </cell>
          <cell r="I34">
            <v>19320</v>
          </cell>
          <cell r="K34">
            <v>18000</v>
          </cell>
          <cell r="L34">
            <v>29500</v>
          </cell>
          <cell r="M34">
            <v>0.5</v>
          </cell>
        </row>
        <row r="35">
          <cell r="B35">
            <v>33</v>
          </cell>
          <cell r="C35" t="str">
            <v>Bruguiera Gymnorrhiza (Black Mangrove, Large-Leafed Mangrove)</v>
          </cell>
          <cell r="D35" t="str">
            <v>Bruguiera Gymnorrhiza</v>
          </cell>
          <cell r="E35" t="str">
            <v>black mangrove, large-leafed mangrove</v>
          </cell>
          <cell r="I35">
            <v>20400</v>
          </cell>
          <cell r="K35">
            <v>19080</v>
          </cell>
          <cell r="L35">
            <v>29500</v>
          </cell>
          <cell r="M35">
            <v>0.5</v>
          </cell>
        </row>
        <row r="36">
          <cell r="B36">
            <v>34</v>
          </cell>
          <cell r="C36" t="str">
            <v>Bruguiera Parviflora (Thua Shale, Slender-Fruited Orange Mangrove)</v>
          </cell>
          <cell r="D36" t="str">
            <v>Bruguiera Parviflora</v>
          </cell>
          <cell r="E36" t="str">
            <v>thua shale, slender-fruited orange mangrove</v>
          </cell>
          <cell r="I36">
            <v>18700</v>
          </cell>
          <cell r="K36">
            <v>17380</v>
          </cell>
          <cell r="L36">
            <v>29500</v>
          </cell>
          <cell r="M36">
            <v>0.5</v>
          </cell>
        </row>
        <row r="37">
          <cell r="B37">
            <v>35</v>
          </cell>
          <cell r="C37" t="str">
            <v>Bruguiera Sexangula (Orange Mangrove)</v>
          </cell>
          <cell r="D37" t="str">
            <v>Bruguiera Sexangula</v>
          </cell>
          <cell r="E37" t="str">
            <v>orange mangrove</v>
          </cell>
          <cell r="I37">
            <v>19400</v>
          </cell>
          <cell r="K37">
            <v>18080</v>
          </cell>
          <cell r="L37">
            <v>29500</v>
          </cell>
          <cell r="M37">
            <v>0.5</v>
          </cell>
        </row>
        <row r="38">
          <cell r="B38">
            <v>36</v>
          </cell>
          <cell r="C38" t="str">
            <v>Calliandra Calothyrsus (Calliandra)</v>
          </cell>
          <cell r="D38" t="str">
            <v>Calliandra Calothyrsus</v>
          </cell>
          <cell r="E38" t="str">
            <v>calliandra</v>
          </cell>
          <cell r="F38">
            <v>4500</v>
          </cell>
          <cell r="G38">
            <v>4750</v>
          </cell>
          <cell r="H38">
            <v>4625</v>
          </cell>
          <cell r="I38">
            <v>19425</v>
          </cell>
          <cell r="K38">
            <v>18105</v>
          </cell>
          <cell r="L38">
            <v>29500</v>
          </cell>
          <cell r="M38">
            <v>0.5</v>
          </cell>
        </row>
        <row r="39">
          <cell r="B39">
            <v>37</v>
          </cell>
          <cell r="C39" t="str">
            <v>Carya Spp (Hickory)</v>
          </cell>
          <cell r="D39" t="str">
            <v>Carya Spp</v>
          </cell>
          <cell r="E39" t="str">
            <v>hickory</v>
          </cell>
          <cell r="I39">
            <v>18684.050000000003</v>
          </cell>
          <cell r="K39">
            <v>17364.050000000003</v>
          </cell>
          <cell r="L39">
            <v>29500</v>
          </cell>
          <cell r="M39">
            <v>0.5</v>
          </cell>
        </row>
        <row r="40">
          <cell r="B40">
            <v>38</v>
          </cell>
          <cell r="C40" t="str">
            <v>Cassia Fistula (Cassia Stick Tree, Guayaba Cimarrona, Canafistula, Golden Shower, Indian Laburnum, Baton ‎Casse, Chacara, Nanban-Saikati, Kachang Kayu (Woody Bean), Kallober, Keyok, Klober)</v>
          </cell>
          <cell r="D40" t="str">
            <v>Cassia Fistula</v>
          </cell>
          <cell r="E40" t="str">
            <v>cassia stick tree, guayaba cimarrona, canafistula, golden shower, Indian laburnum, baton ‎casse, chacara, nanban-saikati, kachang kayu (woody bean), kallober, keyok, klober</v>
          </cell>
          <cell r="I40">
            <v>18400</v>
          </cell>
          <cell r="K40">
            <v>17080</v>
          </cell>
          <cell r="L40">
            <v>29500</v>
          </cell>
          <cell r="M40">
            <v>0.5</v>
          </cell>
        </row>
        <row r="41">
          <cell r="B41">
            <v>39</v>
          </cell>
          <cell r="C41" t="str">
            <v>Cassia Siamea (Siamese Cassia)</v>
          </cell>
          <cell r="D41" t="str">
            <v>Cassia Siamea</v>
          </cell>
          <cell r="E41" t="str">
            <v>siamese cassia</v>
          </cell>
          <cell r="I41">
            <v>18800</v>
          </cell>
          <cell r="K41">
            <v>17480</v>
          </cell>
          <cell r="L41">
            <v>29500</v>
          </cell>
          <cell r="M41">
            <v>0.5</v>
          </cell>
        </row>
        <row r="42">
          <cell r="B42">
            <v>40</v>
          </cell>
          <cell r="C42" t="str">
            <v>Casuarina Equistofolia (Casuarina, She-Oak, Whistling Pine)</v>
          </cell>
          <cell r="D42" t="str">
            <v>Casuarina Equistofolia</v>
          </cell>
          <cell r="E42" t="str">
            <v>casuarina, she-oak, whistling pine</v>
          </cell>
          <cell r="F42">
            <v>4950</v>
          </cell>
          <cell r="H42">
            <v>4950</v>
          </cell>
          <cell r="I42">
            <v>20790</v>
          </cell>
          <cell r="K42">
            <v>19470</v>
          </cell>
          <cell r="L42">
            <v>29500</v>
          </cell>
          <cell r="M42">
            <v>0.5</v>
          </cell>
        </row>
        <row r="43">
          <cell r="B43">
            <v>41</v>
          </cell>
          <cell r="C43" t="str">
            <v>Ceriops Tagal (Tagal Mangrove, Kandal)</v>
          </cell>
          <cell r="D43" t="str">
            <v>Ceriops Tagal</v>
          </cell>
          <cell r="E43" t="str">
            <v>tagal mangrove, kandal</v>
          </cell>
          <cell r="I43">
            <v>19600</v>
          </cell>
          <cell r="K43">
            <v>18280</v>
          </cell>
          <cell r="L43">
            <v>29500</v>
          </cell>
          <cell r="M43">
            <v>0.5</v>
          </cell>
        </row>
        <row r="44">
          <cell r="B44">
            <v>42</v>
          </cell>
          <cell r="C44" t="str">
            <v>Cocus Nucifera (Coconut Palm)</v>
          </cell>
          <cell r="D44" t="str">
            <v>Cocus Nucifera</v>
          </cell>
          <cell r="E44" t="str">
            <v>coconut palm</v>
          </cell>
          <cell r="I44">
            <v>19000</v>
          </cell>
          <cell r="K44">
            <v>17680</v>
          </cell>
          <cell r="L44">
            <v>29500</v>
          </cell>
          <cell r="M44">
            <v>0.5</v>
          </cell>
        </row>
        <row r="45">
          <cell r="B45">
            <v>43</v>
          </cell>
          <cell r="C45" t="str">
            <v>Cordia Dichotoma (Anunang (Philippines), Bird Lime Tree)</v>
          </cell>
          <cell r="D45" t="str">
            <v>Cordia Dichotoma</v>
          </cell>
          <cell r="E45" t="str">
            <v>anunang (Philippines), bird lime tree</v>
          </cell>
          <cell r="I45">
            <v>18400</v>
          </cell>
          <cell r="K45">
            <v>17080</v>
          </cell>
          <cell r="L45">
            <v>29500</v>
          </cell>
          <cell r="M45">
            <v>0.5</v>
          </cell>
        </row>
        <row r="46">
          <cell r="B46">
            <v>44</v>
          </cell>
          <cell r="C46" t="str">
            <v>Dalbergia Latifolia (East Indian Rosewood, Malabar Rosewood, Sitsal, Beete, Shisham)</v>
          </cell>
          <cell r="D46" t="str">
            <v>Dalbergia Latifolia</v>
          </cell>
          <cell r="E46" t="str">
            <v>East Indian rosewood, Malabar rosewood, sitsal, beete, shisham</v>
          </cell>
          <cell r="I46">
            <v>19800</v>
          </cell>
          <cell r="K46">
            <v>18480</v>
          </cell>
          <cell r="L46">
            <v>29500</v>
          </cell>
          <cell r="M46">
            <v>0.5</v>
          </cell>
        </row>
        <row r="47">
          <cell r="B47">
            <v>45</v>
          </cell>
          <cell r="C47" t="str">
            <v>Dalbergia Sissoo (Sissoo, Shisham, Karra, Shewa)</v>
          </cell>
          <cell r="D47" t="str">
            <v>Dalbergia Sissoo</v>
          </cell>
          <cell r="E47" t="str">
            <v>sissoo, shisham, karra, shewa</v>
          </cell>
          <cell r="F47">
            <v>4900</v>
          </cell>
          <cell r="G47">
            <v>5200</v>
          </cell>
          <cell r="H47">
            <v>5050</v>
          </cell>
          <cell r="I47">
            <v>21210</v>
          </cell>
          <cell r="K47">
            <v>19890</v>
          </cell>
          <cell r="L47">
            <v>29500</v>
          </cell>
          <cell r="M47">
            <v>0.5</v>
          </cell>
        </row>
        <row r="48">
          <cell r="B48">
            <v>46</v>
          </cell>
          <cell r="C48" t="str">
            <v>Derris Indica (India: Pongam, Ponga, Kona, Kanji, Karanja, Karanda; English: Indian Beech)</v>
          </cell>
          <cell r="D48" t="str">
            <v>Derris Indica</v>
          </cell>
          <cell r="E48" t="str">
            <v>India: pongam, ponga, kona, kanji, karanja, karanda; English: Indian beech</v>
          </cell>
          <cell r="F48">
            <v>4600</v>
          </cell>
          <cell r="H48">
            <v>4600</v>
          </cell>
          <cell r="I48">
            <v>19320</v>
          </cell>
          <cell r="K48">
            <v>18000</v>
          </cell>
          <cell r="L48">
            <v>29500</v>
          </cell>
          <cell r="M48">
            <v>0.5</v>
          </cell>
        </row>
        <row r="49">
          <cell r="B49">
            <v>47</v>
          </cell>
          <cell r="C49" t="str">
            <v>Diospyros Philippinensis (Kamagong (Philippines))</v>
          </cell>
          <cell r="D49" t="str">
            <v>Diospyros Philippinensis</v>
          </cell>
          <cell r="E49" t="str">
            <v>kamagong (Philippines)</v>
          </cell>
          <cell r="I49">
            <v>18600</v>
          </cell>
          <cell r="K49">
            <v>17280</v>
          </cell>
          <cell r="L49">
            <v>29500</v>
          </cell>
          <cell r="M49">
            <v>0.5</v>
          </cell>
        </row>
        <row r="50">
          <cell r="B50">
            <v>48</v>
          </cell>
          <cell r="C50" t="str">
            <v>Diospyros Philosanthera (Bolong-Eta (Philippines))</v>
          </cell>
          <cell r="D50" t="str">
            <v>Diospyros Philosanthera</v>
          </cell>
          <cell r="E50" t="str">
            <v>bolong-eta (Philippines)</v>
          </cell>
          <cell r="I50">
            <v>18100</v>
          </cell>
          <cell r="K50">
            <v>16780</v>
          </cell>
          <cell r="L50">
            <v>29500</v>
          </cell>
          <cell r="M50">
            <v>0.5</v>
          </cell>
        </row>
        <row r="51">
          <cell r="B51">
            <v>49</v>
          </cell>
          <cell r="C51" t="str">
            <v>Emblica Ofiicinalis (Madre De Cacao, Kakauati (Philippines), Mexican Lilac, Madera Negra)</v>
          </cell>
          <cell r="D51" t="str">
            <v>Emblica Ofiicinalis</v>
          </cell>
          <cell r="E51" t="str">
            <v>Madre de cacao, kakauati (Philippines), Mexican lilac, madera negra</v>
          </cell>
          <cell r="F51">
            <v>5200</v>
          </cell>
          <cell r="H51">
            <v>5200</v>
          </cell>
          <cell r="I51">
            <v>21840</v>
          </cell>
          <cell r="J51" t="str">
            <v>air dry</v>
          </cell>
          <cell r="K51">
            <v>20520</v>
          </cell>
          <cell r="L51">
            <v>29500</v>
          </cell>
          <cell r="M51">
            <v>0.5</v>
          </cell>
        </row>
        <row r="52">
          <cell r="B52">
            <v>50</v>
          </cell>
          <cell r="C52" t="str">
            <v>Eucalyptus Camaldulensis (Red River Gum, Red Gum)</v>
          </cell>
          <cell r="D52" t="str">
            <v>Eucalyptus Camaldulensis</v>
          </cell>
          <cell r="E52" t="str">
            <v>red river gum, red gum</v>
          </cell>
          <cell r="F52">
            <v>4800</v>
          </cell>
          <cell r="H52">
            <v>4800</v>
          </cell>
          <cell r="I52">
            <v>20160</v>
          </cell>
          <cell r="K52">
            <v>18840</v>
          </cell>
          <cell r="L52">
            <v>29500</v>
          </cell>
          <cell r="M52">
            <v>0.5</v>
          </cell>
        </row>
        <row r="53">
          <cell r="B53">
            <v>51</v>
          </cell>
          <cell r="C53" t="str">
            <v>Eucalyptus Deglupta (Rainbow Gum Tree)</v>
          </cell>
          <cell r="D53" t="str">
            <v>Eucalyptus Deglupta</v>
          </cell>
          <cell r="E53" t="str">
            <v>rainbow gum tree</v>
          </cell>
          <cell r="I53">
            <v>18700</v>
          </cell>
          <cell r="K53">
            <v>17380</v>
          </cell>
          <cell r="L53">
            <v>29500</v>
          </cell>
          <cell r="M53">
            <v>0.5</v>
          </cell>
        </row>
        <row r="54">
          <cell r="B54">
            <v>52</v>
          </cell>
          <cell r="C54" t="str">
            <v>Eucalyptus Globulus (Southern Blue Gum, Fever Tree)</v>
          </cell>
          <cell r="D54" t="str">
            <v>Eucalyptus Globulus</v>
          </cell>
          <cell r="E54" t="str">
            <v>southern blue gum, fever tree</v>
          </cell>
          <cell r="F54">
            <v>4800</v>
          </cell>
          <cell r="H54">
            <v>4800</v>
          </cell>
          <cell r="I54">
            <v>20160</v>
          </cell>
          <cell r="K54">
            <v>18840</v>
          </cell>
          <cell r="L54">
            <v>29500</v>
          </cell>
          <cell r="M54">
            <v>0.5</v>
          </cell>
        </row>
        <row r="55">
          <cell r="B55">
            <v>53</v>
          </cell>
          <cell r="C55" t="str">
            <v>Eucalyptus Grandis (Rose Gum, Grand Eucalyptus)</v>
          </cell>
          <cell r="D55" t="str">
            <v>Eucalyptus Grandis</v>
          </cell>
          <cell r="E55" t="str">
            <v>rose gum, grand eucalyptus</v>
          </cell>
          <cell r="I55">
            <v>19750</v>
          </cell>
          <cell r="K55">
            <v>18430</v>
          </cell>
          <cell r="L55">
            <v>29500</v>
          </cell>
          <cell r="M55">
            <v>0.5</v>
          </cell>
        </row>
        <row r="56">
          <cell r="B56">
            <v>54</v>
          </cell>
          <cell r="C56" t="str">
            <v>Fagus Spp (Beech)</v>
          </cell>
          <cell r="D56" t="str">
            <v>Fagus Spp</v>
          </cell>
          <cell r="E56" t="str">
            <v>beech</v>
          </cell>
          <cell r="I56">
            <v>18916.150000000001</v>
          </cell>
          <cell r="K56">
            <v>17596.150000000001</v>
          </cell>
          <cell r="L56">
            <v>29500</v>
          </cell>
          <cell r="M56">
            <v>0.5</v>
          </cell>
        </row>
        <row r="57">
          <cell r="B57">
            <v>55</v>
          </cell>
          <cell r="C57" t="str">
            <v>Gigantochloa Apus (Pring Tali, Tabasheer Bamboo)</v>
          </cell>
          <cell r="D57" t="str">
            <v>Gigantochloa Apus</v>
          </cell>
          <cell r="E57" t="str">
            <v>pring tali, tabasheer bamboo</v>
          </cell>
          <cell r="I57">
            <v>18400</v>
          </cell>
          <cell r="K57">
            <v>17080</v>
          </cell>
          <cell r="L57">
            <v>29500</v>
          </cell>
          <cell r="M57">
            <v>0.5</v>
          </cell>
        </row>
        <row r="58">
          <cell r="B58">
            <v>56</v>
          </cell>
          <cell r="C58" t="str">
            <v>Gliricidia Sepium</v>
          </cell>
          <cell r="D58" t="str">
            <v>Gliricidia Sepium</v>
          </cell>
          <cell r="E58" t="str">
            <v>cacahuananche, madre de cacao</v>
          </cell>
          <cell r="F58">
            <v>4900</v>
          </cell>
          <cell r="H58">
            <v>4900</v>
          </cell>
          <cell r="I58">
            <v>20580</v>
          </cell>
          <cell r="K58">
            <v>19260</v>
          </cell>
          <cell r="L58">
            <v>29500</v>
          </cell>
          <cell r="M58">
            <v>0.5</v>
          </cell>
        </row>
        <row r="59">
          <cell r="B59">
            <v>57</v>
          </cell>
          <cell r="C59" t="str">
            <v>Gmelina Arborea (Gmelina, Gumhar (India))</v>
          </cell>
          <cell r="D59" t="str">
            <v>Gmelina Arborea</v>
          </cell>
          <cell r="E59" t="str">
            <v>gmelina, gumhar (India)</v>
          </cell>
          <cell r="F59">
            <v>4800</v>
          </cell>
          <cell r="H59">
            <v>4800</v>
          </cell>
          <cell r="I59">
            <v>20160</v>
          </cell>
          <cell r="K59">
            <v>18840</v>
          </cell>
          <cell r="L59">
            <v>29500</v>
          </cell>
          <cell r="M59">
            <v>0.5</v>
          </cell>
        </row>
        <row r="60">
          <cell r="B60">
            <v>58</v>
          </cell>
          <cell r="C60" t="str">
            <v>Lagerstroemia Speciosa (Queen's Crape Myrtle, Giant Crape Myrtle)</v>
          </cell>
          <cell r="D60" t="str">
            <v>Lagerstroemia Speciosa</v>
          </cell>
          <cell r="E60" t="str">
            <v>queen's crape myrtle, giant crape myrtle</v>
          </cell>
          <cell r="I60">
            <v>19300</v>
          </cell>
          <cell r="K60">
            <v>17980</v>
          </cell>
          <cell r="L60">
            <v>29500</v>
          </cell>
          <cell r="M60">
            <v>0.5</v>
          </cell>
        </row>
        <row r="61">
          <cell r="B61">
            <v>59</v>
          </cell>
          <cell r="C61" t="str">
            <v>Leucaena Leucocephala (Leucaena, Ipil-Ipil (Philippines), Uaxin (Latin America), Lamtora (Indonesia), Lead Tree)</v>
          </cell>
          <cell r="D61" t="str">
            <v>Leucaena Leucocephala</v>
          </cell>
          <cell r="E61" t="str">
            <v>leucaena, ipil-ipil (Philippines), uaxin (Latin America), lamtora (Indonesia), lead tree</v>
          </cell>
          <cell r="F61">
            <v>4200</v>
          </cell>
          <cell r="G61">
            <v>4600</v>
          </cell>
          <cell r="H61">
            <v>4400</v>
          </cell>
          <cell r="I61">
            <v>18480</v>
          </cell>
          <cell r="K61">
            <v>17160</v>
          </cell>
          <cell r="L61">
            <v>29500</v>
          </cell>
          <cell r="M61">
            <v>0.5</v>
          </cell>
        </row>
        <row r="62">
          <cell r="B62">
            <v>60</v>
          </cell>
          <cell r="C62" t="str">
            <v>Melia Azedarach (China Berry, Persian Lilac, Bead Tree, Cape Lilac)</v>
          </cell>
          <cell r="D62" t="str">
            <v>Melia Azedarach</v>
          </cell>
          <cell r="E62" t="str">
            <v>China berry, Persian lilac, bead tree, cape lilac</v>
          </cell>
          <cell r="F62">
            <v>5043</v>
          </cell>
          <cell r="G62">
            <v>5176</v>
          </cell>
          <cell r="H62">
            <v>5109.5</v>
          </cell>
          <cell r="I62">
            <v>21459.9</v>
          </cell>
          <cell r="K62">
            <v>20139.900000000001</v>
          </cell>
          <cell r="L62">
            <v>29500</v>
          </cell>
          <cell r="M62">
            <v>0.5</v>
          </cell>
        </row>
        <row r="63">
          <cell r="B63">
            <v>61</v>
          </cell>
          <cell r="C63" t="str">
            <v>Pinus Elliotii (Southern Pine)</v>
          </cell>
          <cell r="D63" t="str">
            <v>Pinus Elliotii</v>
          </cell>
          <cell r="E63" t="str">
            <v>southern pine</v>
          </cell>
          <cell r="I63">
            <v>19960.600000000002</v>
          </cell>
          <cell r="K63">
            <v>18640.600000000002</v>
          </cell>
          <cell r="L63">
            <v>29500</v>
          </cell>
          <cell r="M63">
            <v>0.5</v>
          </cell>
        </row>
        <row r="64">
          <cell r="B64">
            <v>62</v>
          </cell>
          <cell r="C64" t="str">
            <v>Pinus Ponderosa (Ponderosa Pine)</v>
          </cell>
          <cell r="D64" t="str">
            <v>Pinus Ponderosa</v>
          </cell>
          <cell r="E64" t="str">
            <v>ponderosa pine</v>
          </cell>
          <cell r="I64">
            <v>18684.050000000003</v>
          </cell>
          <cell r="K64">
            <v>17364.050000000003</v>
          </cell>
          <cell r="L64">
            <v>29500</v>
          </cell>
          <cell r="M64">
            <v>0.5</v>
          </cell>
        </row>
        <row r="65">
          <cell r="B65">
            <v>63</v>
          </cell>
          <cell r="C65" t="str">
            <v>Pithecellobium Dulce (Quamachil, Guamuchil (Mexico), Manila Tamarind)</v>
          </cell>
          <cell r="D65" t="str">
            <v>Pithecellobium Dulce</v>
          </cell>
          <cell r="E65" t="str">
            <v>quamachil, guamuchil (Mexico), Manila tamarind</v>
          </cell>
          <cell r="F65">
            <v>5200</v>
          </cell>
          <cell r="G65">
            <v>5600</v>
          </cell>
          <cell r="H65">
            <v>5400</v>
          </cell>
          <cell r="I65">
            <v>22680</v>
          </cell>
          <cell r="K65">
            <v>21360</v>
          </cell>
          <cell r="L65">
            <v>29500</v>
          </cell>
          <cell r="M65">
            <v>0.5</v>
          </cell>
        </row>
        <row r="66">
          <cell r="B66">
            <v>64</v>
          </cell>
          <cell r="C66" t="str">
            <v>Platanus Occidentalis (Sycamore)</v>
          </cell>
          <cell r="D66" t="str">
            <v>Platanus Occidentalis</v>
          </cell>
          <cell r="E66" t="str">
            <v>sycamore</v>
          </cell>
          <cell r="I66">
            <v>18544.79</v>
          </cell>
          <cell r="K66">
            <v>17224.79</v>
          </cell>
          <cell r="L66">
            <v>29500</v>
          </cell>
          <cell r="M66">
            <v>0.5</v>
          </cell>
        </row>
        <row r="67">
          <cell r="B67">
            <v>65</v>
          </cell>
          <cell r="C67" t="str">
            <v>Populus Euphratica (Euphrates Poplar, Saf-Saf, Indian Poplar)</v>
          </cell>
          <cell r="D67" t="str">
            <v>Populus Euphratica</v>
          </cell>
          <cell r="E67" t="str">
            <v>Euphrates poplar, saf-saf, Indian poplar</v>
          </cell>
          <cell r="F67">
            <v>5008</v>
          </cell>
          <cell r="G67">
            <v>5019</v>
          </cell>
          <cell r="H67">
            <v>5013.5</v>
          </cell>
          <cell r="I67">
            <v>21056.7</v>
          </cell>
          <cell r="K67">
            <v>19736.7</v>
          </cell>
          <cell r="L67">
            <v>29500</v>
          </cell>
          <cell r="M67">
            <v>0.5</v>
          </cell>
        </row>
        <row r="68">
          <cell r="B68">
            <v>66</v>
          </cell>
          <cell r="C68" t="str">
            <v>Populus Trichocarpa (Black Cottonwood)</v>
          </cell>
          <cell r="D68" t="str">
            <v>Populus Trichocarpa</v>
          </cell>
          <cell r="E68" t="str">
            <v>black cottonwood</v>
          </cell>
          <cell r="I68">
            <v>20424.800000000003</v>
          </cell>
          <cell r="K68">
            <v>19104.800000000003</v>
          </cell>
          <cell r="L68">
            <v>29500</v>
          </cell>
          <cell r="M68">
            <v>0.5</v>
          </cell>
        </row>
        <row r="69">
          <cell r="B69">
            <v>67</v>
          </cell>
          <cell r="C69" t="str">
            <v>Prosopis Cineraria (Jand, Khejri (India))</v>
          </cell>
          <cell r="D69" t="str">
            <v>Prosopis Cineraria</v>
          </cell>
          <cell r="E69" t="str">
            <v>jand, khejri (India)</v>
          </cell>
          <cell r="F69">
            <v>5000</v>
          </cell>
          <cell r="H69">
            <v>5000</v>
          </cell>
          <cell r="I69">
            <v>21000</v>
          </cell>
          <cell r="J69" t="str">
            <v>dry</v>
          </cell>
          <cell r="K69">
            <v>19680</v>
          </cell>
          <cell r="L69">
            <v>29500</v>
          </cell>
          <cell r="M69">
            <v>0.5</v>
          </cell>
        </row>
        <row r="70">
          <cell r="B70">
            <v>68</v>
          </cell>
          <cell r="C70" t="str">
            <v>Prosopis Pallida (Kiawe)</v>
          </cell>
          <cell r="D70" t="str">
            <v>Prosopis Pallida</v>
          </cell>
          <cell r="E70" t="str">
            <v xml:space="preserve">kiawe </v>
          </cell>
          <cell r="I70">
            <v>19750</v>
          </cell>
          <cell r="K70">
            <v>18430</v>
          </cell>
          <cell r="L70">
            <v>29500</v>
          </cell>
          <cell r="M70">
            <v>0.5</v>
          </cell>
        </row>
        <row r="71">
          <cell r="B71">
            <v>69</v>
          </cell>
          <cell r="C71" t="str">
            <v>Pseudotsuga Menziesii (Douglas Fir)</v>
          </cell>
          <cell r="D71" t="str">
            <v>Pseudotsuga Menziesii</v>
          </cell>
          <cell r="E71" t="str">
            <v>douglas fir</v>
          </cell>
          <cell r="I71">
            <v>20633.689999999999</v>
          </cell>
          <cell r="K71">
            <v>19313.689999999999</v>
          </cell>
          <cell r="L71">
            <v>29500</v>
          </cell>
          <cell r="M71">
            <v>0.5</v>
          </cell>
        </row>
        <row r="72">
          <cell r="B72">
            <v>70</v>
          </cell>
          <cell r="C72" t="str">
            <v>Psidium Guajava  (Guava, Guayaba)</v>
          </cell>
          <cell r="D72" t="str">
            <v xml:space="preserve">Psidium Guajava </v>
          </cell>
          <cell r="E72" t="str">
            <v>guava, guayaba</v>
          </cell>
          <cell r="F72">
            <v>4792</v>
          </cell>
          <cell r="H72">
            <v>4792</v>
          </cell>
          <cell r="I72">
            <v>20126.400000000001</v>
          </cell>
          <cell r="K72">
            <v>18806.400000000001</v>
          </cell>
          <cell r="L72">
            <v>29500</v>
          </cell>
          <cell r="M72">
            <v>0.5</v>
          </cell>
        </row>
        <row r="73">
          <cell r="B73">
            <v>71</v>
          </cell>
          <cell r="C73" t="str">
            <v>Quercus Bicolor (White Oak)</v>
          </cell>
          <cell r="D73" t="str">
            <v>Quercus Bicolor</v>
          </cell>
          <cell r="E73" t="str">
            <v xml:space="preserve">white oak </v>
          </cell>
          <cell r="I73">
            <v>18916.150000000001</v>
          </cell>
          <cell r="K73">
            <v>17596.150000000001</v>
          </cell>
          <cell r="L73">
            <v>29500</v>
          </cell>
          <cell r="M73">
            <v>0.5</v>
          </cell>
        </row>
        <row r="74">
          <cell r="B74">
            <v>72</v>
          </cell>
          <cell r="C74" t="str">
            <v>Quercus Rubra  (Red Oak)</v>
          </cell>
          <cell r="D74" t="str">
            <v xml:space="preserve">Quercus Rubra </v>
          </cell>
          <cell r="E74" t="str">
            <v>red oak</v>
          </cell>
          <cell r="I74">
            <v>18684.050000000003</v>
          </cell>
          <cell r="K74">
            <v>17364.050000000003</v>
          </cell>
          <cell r="L74">
            <v>29500</v>
          </cell>
          <cell r="M74">
            <v>0.5</v>
          </cell>
        </row>
        <row r="75">
          <cell r="B75">
            <v>73</v>
          </cell>
          <cell r="C75" t="str">
            <v>Rhizophera Spp (Mangrove Spp (Also Avicennia Spp))</v>
          </cell>
          <cell r="D75" t="str">
            <v>Rhizophera Spp</v>
          </cell>
          <cell r="E75" t="str">
            <v>mangrove spp (also avicennia spp)</v>
          </cell>
          <cell r="F75">
            <v>4000</v>
          </cell>
          <cell r="G75">
            <v>4300</v>
          </cell>
          <cell r="H75">
            <v>4150</v>
          </cell>
          <cell r="I75">
            <v>17430</v>
          </cell>
          <cell r="K75">
            <v>16110</v>
          </cell>
          <cell r="L75">
            <v>29500</v>
          </cell>
          <cell r="M75">
            <v>0.5</v>
          </cell>
        </row>
        <row r="76">
          <cell r="B76">
            <v>74</v>
          </cell>
          <cell r="C76" t="str">
            <v>Sapium Sebiferum (Chinese Tallow Tree, Soap Tree, Tarchabi (Pahari) Shishum (India))</v>
          </cell>
          <cell r="D76" t="str">
            <v>Sapium Sebiferum</v>
          </cell>
          <cell r="E76" t="str">
            <v>Chinese tallow tree, soap tree, tarchabi (pahari) shishum (India)</v>
          </cell>
          <cell r="F76">
            <v>4134</v>
          </cell>
          <cell r="G76">
            <v>4277</v>
          </cell>
          <cell r="H76">
            <v>4205.5</v>
          </cell>
          <cell r="I76">
            <v>17663.100000000002</v>
          </cell>
          <cell r="K76">
            <v>16343.100000000002</v>
          </cell>
          <cell r="L76">
            <v>29500</v>
          </cell>
          <cell r="M76">
            <v>0.5</v>
          </cell>
        </row>
        <row r="77">
          <cell r="B77">
            <v>75</v>
          </cell>
          <cell r="C77" t="str">
            <v>Schima Noronhae</v>
          </cell>
          <cell r="D77" t="str">
            <v>Schima Noronhae</v>
          </cell>
          <cell r="I77">
            <v>20000</v>
          </cell>
          <cell r="K77">
            <v>18680</v>
          </cell>
          <cell r="L77">
            <v>29500</v>
          </cell>
          <cell r="M77">
            <v>0.5</v>
          </cell>
        </row>
        <row r="78">
          <cell r="B78">
            <v>76</v>
          </cell>
          <cell r="C78" t="str">
            <v>Schleichera Oleosa (Kosambi (Indonesia), Lac Tree)</v>
          </cell>
          <cell r="D78" t="str">
            <v>Schleichera Oleosa</v>
          </cell>
          <cell r="E78" t="str">
            <v>kosambi (Indonesia), lac tree</v>
          </cell>
          <cell r="I78">
            <v>18700</v>
          </cell>
          <cell r="K78">
            <v>17380</v>
          </cell>
          <cell r="L78">
            <v>29500</v>
          </cell>
          <cell r="M78">
            <v>0.5</v>
          </cell>
        </row>
        <row r="79">
          <cell r="B79">
            <v>77</v>
          </cell>
          <cell r="C79" t="str">
            <v>Sesbania Grandiflora (Scarlet Wisteria Tree, Agati, Corkwood Tree, West Indian Pea)</v>
          </cell>
          <cell r="D79" t="str">
            <v>Sesbania Grandiflora</v>
          </cell>
          <cell r="E79" t="str">
            <v>scarlet wisteria tree, agati, corkwood tree, West Indian pea</v>
          </cell>
          <cell r="I79">
            <v>19300</v>
          </cell>
          <cell r="K79">
            <v>17980</v>
          </cell>
          <cell r="L79">
            <v>29500</v>
          </cell>
          <cell r="M79">
            <v>0.5</v>
          </cell>
        </row>
        <row r="80">
          <cell r="B80">
            <v>78</v>
          </cell>
          <cell r="C80" t="str">
            <v>Swietenia Macrophylla (Brazilian Mahogany, Caoba, Honduras Mahogany, Big Leaf Mahogany)</v>
          </cell>
          <cell r="D80" t="str">
            <v>Swietenia Macrophylla</v>
          </cell>
          <cell r="E80" t="str">
            <v>Brazilian mahogany, caoba, Honduras mahogany, bigleaf mahogany</v>
          </cell>
          <cell r="I80">
            <v>20700</v>
          </cell>
          <cell r="K80">
            <v>19380</v>
          </cell>
          <cell r="L80">
            <v>29500</v>
          </cell>
          <cell r="M80">
            <v>0.5</v>
          </cell>
        </row>
        <row r="81">
          <cell r="B81">
            <v>79</v>
          </cell>
          <cell r="C81" t="str">
            <v>Syzygium Cumini (Jambolan, Java Plum)</v>
          </cell>
          <cell r="D81" t="str">
            <v>Syzygium Cumini</v>
          </cell>
          <cell r="E81" t="str">
            <v>jambolan, Java plum</v>
          </cell>
          <cell r="F81">
            <v>4800</v>
          </cell>
          <cell r="H81">
            <v>4800</v>
          </cell>
          <cell r="I81">
            <v>20160</v>
          </cell>
          <cell r="K81">
            <v>18840</v>
          </cell>
          <cell r="L81">
            <v>29500</v>
          </cell>
          <cell r="M81">
            <v>0.5</v>
          </cell>
        </row>
        <row r="82">
          <cell r="B82">
            <v>80</v>
          </cell>
          <cell r="C82" t="str">
            <v>Thuja Plicata (Western Red Cedar)</v>
          </cell>
          <cell r="D82" t="str">
            <v>Thuja Plicata</v>
          </cell>
          <cell r="E82" t="str">
            <v>western red cedar</v>
          </cell>
          <cell r="I82">
            <v>22513.7</v>
          </cell>
          <cell r="K82">
            <v>21193.7</v>
          </cell>
          <cell r="L82">
            <v>29500</v>
          </cell>
          <cell r="M82">
            <v>0.5</v>
          </cell>
        </row>
        <row r="83">
          <cell r="B83">
            <v>81</v>
          </cell>
          <cell r="C83" t="str">
            <v>Trema Spp</v>
          </cell>
          <cell r="D83" t="str">
            <v>Trema Spp</v>
          </cell>
          <cell r="F83">
            <v>4500</v>
          </cell>
          <cell r="H83">
            <v>4500</v>
          </cell>
          <cell r="I83">
            <v>18900</v>
          </cell>
          <cell r="K83">
            <v>17580</v>
          </cell>
          <cell r="L83">
            <v>29500</v>
          </cell>
          <cell r="M83">
            <v>0.5</v>
          </cell>
        </row>
        <row r="84">
          <cell r="B84">
            <v>82</v>
          </cell>
          <cell r="C84" t="str">
            <v>Tsuga Canadensis (Eastern Hemlock)</v>
          </cell>
          <cell r="D84" t="str">
            <v>Tsuga Canadensis</v>
          </cell>
          <cell r="E84" t="str">
            <v>eastern hemlock</v>
          </cell>
          <cell r="I84">
            <v>19519.61</v>
          </cell>
          <cell r="K84">
            <v>18199.61</v>
          </cell>
          <cell r="L84">
            <v>29500</v>
          </cell>
          <cell r="M84">
            <v>0.5</v>
          </cell>
        </row>
        <row r="85">
          <cell r="B85">
            <v>83</v>
          </cell>
          <cell r="C85" t="str">
            <v>Tsuga Heterophylla (Western Hemlock)</v>
          </cell>
          <cell r="D85" t="str">
            <v>Tsuga Heterophylla</v>
          </cell>
          <cell r="E85" t="str">
            <v>western hemlock</v>
          </cell>
          <cell r="I85">
            <v>19519.61</v>
          </cell>
          <cell r="K85">
            <v>18199.61</v>
          </cell>
          <cell r="L85">
            <v>29500</v>
          </cell>
          <cell r="M85">
            <v>0.5</v>
          </cell>
        </row>
        <row r="86">
          <cell r="B86">
            <v>84</v>
          </cell>
          <cell r="C86" t="str">
            <v>Ulmus Spp (Elm)</v>
          </cell>
          <cell r="D86" t="str">
            <v>Ulmus Spp</v>
          </cell>
          <cell r="E86" t="str">
            <v>elm</v>
          </cell>
          <cell r="I86">
            <v>18962.570000000003</v>
          </cell>
          <cell r="K86">
            <v>17642.570000000003</v>
          </cell>
          <cell r="L86">
            <v>29500</v>
          </cell>
          <cell r="M86">
            <v>0.5</v>
          </cell>
        </row>
        <row r="87">
          <cell r="B87">
            <v>85</v>
          </cell>
          <cell r="C87" t="str">
            <v>Xylocarpus Granatum (Cannonball Mangrove, Cedar Mangrove)</v>
          </cell>
          <cell r="D87" t="str">
            <v>Xylocarpus Granatum</v>
          </cell>
          <cell r="E87" t="str">
            <v>cannonball mangrove, cedar mangrove</v>
          </cell>
          <cell r="I87">
            <v>16300</v>
          </cell>
          <cell r="K87">
            <v>14980</v>
          </cell>
          <cell r="L87">
            <v>29500</v>
          </cell>
          <cell r="M87">
            <v>0.5</v>
          </cell>
        </row>
        <row r="88">
          <cell r="B88">
            <v>86</v>
          </cell>
          <cell r="C88" t="str">
            <v>Xylocarpus Moluccensis (Cedar Mangrove)</v>
          </cell>
          <cell r="D88" t="str">
            <v>Xylocarpus Moluccensis</v>
          </cell>
          <cell r="E88" t="str">
            <v>cedar mangrove</v>
          </cell>
          <cell r="I88">
            <v>15400</v>
          </cell>
          <cell r="K88">
            <v>14080</v>
          </cell>
          <cell r="L88">
            <v>29500</v>
          </cell>
          <cell r="M88">
            <v>0.5</v>
          </cell>
        </row>
        <row r="89">
          <cell r="B89">
            <v>87</v>
          </cell>
          <cell r="C89" t="str">
            <v>Zizyphus Mauritania (Indian Jujube, Indian Plum)</v>
          </cell>
          <cell r="D89" t="str">
            <v>Zizyphus Mauritania</v>
          </cell>
          <cell r="E89" t="str">
            <v>Indian jujube, Indian plum</v>
          </cell>
          <cell r="F89">
            <v>4900</v>
          </cell>
          <cell r="H89">
            <v>4900</v>
          </cell>
          <cell r="I89">
            <v>20580</v>
          </cell>
          <cell r="K89">
            <v>19260</v>
          </cell>
          <cell r="L89">
            <v>29500</v>
          </cell>
          <cell r="M89">
            <v>0.5</v>
          </cell>
        </row>
        <row r="90">
          <cell r="B90">
            <v>88</v>
          </cell>
          <cell r="C90" t="str">
            <v>Zizyphus Talanai</v>
          </cell>
          <cell r="D90" t="str">
            <v>Zizyphus Talanai</v>
          </cell>
          <cell r="I90">
            <v>18300</v>
          </cell>
          <cell r="K90">
            <v>16980</v>
          </cell>
          <cell r="L90">
            <v>29500</v>
          </cell>
          <cell r="M90">
            <v>0.5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ing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 per ICS"/>
      <sheetName val="De-bundling"/>
      <sheetName val="Calc per CPA"/>
    </sheetNames>
    <sheetDataSet>
      <sheetData sheetId="0"/>
      <sheetData sheetId="1">
        <row r="19">
          <cell r="C19">
            <v>0.2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9" sqref="B9"/>
    </sheetView>
  </sheetViews>
  <sheetFormatPr defaultColWidth="8.85546875" defaultRowHeight="15"/>
  <cols>
    <col min="1" max="1" width="43.28515625" customWidth="1"/>
    <col min="2" max="2" width="38.28515625" customWidth="1"/>
    <col min="3" max="3" width="49.140625" customWidth="1"/>
  </cols>
  <sheetData>
    <row r="1" spans="1:4" ht="15.75" thickBot="1"/>
    <row r="2" spans="1:4" ht="15" customHeight="1">
      <c r="A2" s="6" t="s">
        <v>4</v>
      </c>
      <c r="B2" s="385" t="s">
        <v>207</v>
      </c>
      <c r="C2" s="386"/>
      <c r="D2" s="3"/>
    </row>
    <row r="3" spans="1:4">
      <c r="A3" s="7" t="s">
        <v>0</v>
      </c>
      <c r="B3" s="387" t="s">
        <v>208</v>
      </c>
      <c r="C3" s="388"/>
    </row>
    <row r="4" spans="1:4" ht="15.75">
      <c r="A4" s="7" t="s">
        <v>3</v>
      </c>
      <c r="B4" s="389" t="s">
        <v>67</v>
      </c>
      <c r="C4" s="390"/>
      <c r="D4" s="4"/>
    </row>
    <row r="5" spans="1:4">
      <c r="A5" s="7" t="s">
        <v>2</v>
      </c>
      <c r="B5" s="395" t="s">
        <v>66</v>
      </c>
      <c r="C5" s="396"/>
    </row>
    <row r="6" spans="1:4">
      <c r="A6" s="7" t="s">
        <v>15</v>
      </c>
      <c r="B6" s="397" t="s">
        <v>209</v>
      </c>
      <c r="C6" s="398"/>
    </row>
    <row r="7" spans="1:4">
      <c r="A7" s="7" t="s">
        <v>1</v>
      </c>
      <c r="B7" s="393">
        <v>1.3</v>
      </c>
      <c r="C7" s="394"/>
    </row>
    <row r="8" spans="1:4" ht="15.75" thickBot="1">
      <c r="A8" s="8" t="s">
        <v>20</v>
      </c>
      <c r="B8" s="391">
        <v>45258</v>
      </c>
      <c r="C8" s="392"/>
    </row>
    <row r="9" spans="1:4">
      <c r="A9" s="1"/>
      <c r="B9" s="2"/>
      <c r="C9" s="2"/>
    </row>
  </sheetData>
  <mergeCells count="7">
    <mergeCell ref="B2:C2"/>
    <mergeCell ref="B3:C3"/>
    <mergeCell ref="B4:C4"/>
    <mergeCell ref="B8:C8"/>
    <mergeCell ref="B7:C7"/>
    <mergeCell ref="B5:C5"/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abSelected="1" zoomScale="85" zoomScaleNormal="85" workbookViewId="0">
      <selection activeCell="E27" sqref="E27"/>
    </sheetView>
  </sheetViews>
  <sheetFormatPr defaultRowHeight="15"/>
  <cols>
    <col min="1" max="1" width="33.5703125" customWidth="1"/>
    <col min="2" max="2" width="32" customWidth="1"/>
    <col min="3" max="4" width="16.28515625" customWidth="1"/>
    <col min="5" max="5" width="19.140625" customWidth="1"/>
    <col min="6" max="6" width="17" customWidth="1"/>
    <col min="7" max="7" width="19.28515625" customWidth="1"/>
    <col min="8" max="8" width="13.140625" style="128" customWidth="1"/>
    <col min="9" max="12" width="15.5703125" customWidth="1"/>
    <col min="13" max="13" width="22.42578125" customWidth="1"/>
  </cols>
  <sheetData>
    <row r="1" spans="1:22" ht="33">
      <c r="A1" s="16" t="s">
        <v>5</v>
      </c>
      <c r="B1" s="17" t="s">
        <v>6</v>
      </c>
      <c r="C1" s="15"/>
      <c r="D1" s="15"/>
      <c r="G1" s="15"/>
      <c r="H1" s="105" t="s">
        <v>98</v>
      </c>
      <c r="I1" s="100" t="s">
        <v>141</v>
      </c>
      <c r="J1" s="100" t="s">
        <v>140</v>
      </c>
      <c r="K1" s="100" t="s">
        <v>94</v>
      </c>
      <c r="L1" s="101" t="s">
        <v>95</v>
      </c>
      <c r="M1" s="101" t="s">
        <v>96</v>
      </c>
      <c r="N1" s="15"/>
      <c r="O1" s="15"/>
      <c r="P1" s="15"/>
      <c r="Q1" s="15"/>
      <c r="R1" s="15"/>
      <c r="S1" s="15"/>
      <c r="T1" s="15"/>
      <c r="U1" s="15"/>
      <c r="V1" s="15"/>
    </row>
    <row r="2" spans="1:22" ht="15.75" customHeight="1">
      <c r="A2" s="421" t="s">
        <v>36</v>
      </c>
      <c r="B2" s="423">
        <v>44683</v>
      </c>
      <c r="C2" s="15"/>
      <c r="D2" s="15"/>
      <c r="G2" s="15"/>
      <c r="H2" s="399" t="s">
        <v>193</v>
      </c>
      <c r="I2" s="140" t="s">
        <v>40</v>
      </c>
      <c r="J2" s="139" t="s">
        <v>88</v>
      </c>
      <c r="K2" s="140">
        <v>8000</v>
      </c>
      <c r="L2" s="103">
        <f>K2/$C$15</f>
        <v>3.9999800000999994E-2</v>
      </c>
      <c r="M2" s="104">
        <f>ROUNDDOWN(L2*$E$42,0)</f>
        <v>2</v>
      </c>
      <c r="N2" s="15"/>
      <c r="O2" s="15"/>
      <c r="P2" s="15"/>
      <c r="Q2" s="15"/>
      <c r="R2" s="15"/>
      <c r="S2" s="15"/>
      <c r="T2" s="15"/>
      <c r="U2" s="15"/>
      <c r="V2" s="15"/>
    </row>
    <row r="3" spans="1:22" ht="18" customHeight="1">
      <c r="A3" s="422"/>
      <c r="B3" s="424"/>
      <c r="C3" s="19"/>
      <c r="D3" s="15"/>
      <c r="G3" s="15"/>
      <c r="H3" s="400"/>
      <c r="I3" s="140" t="s">
        <v>41</v>
      </c>
      <c r="J3" s="139" t="s">
        <v>88</v>
      </c>
      <c r="K3" s="140">
        <v>8000</v>
      </c>
      <c r="L3" s="103">
        <f t="shared" ref="L3:L18" si="0">K3/$C$15</f>
        <v>3.9999800000999994E-2</v>
      </c>
      <c r="M3" s="104">
        <f t="shared" ref="M3:M24" si="1">ROUNDDOWN(L3*$E$42,0)</f>
        <v>2</v>
      </c>
      <c r="N3" s="15"/>
      <c r="O3" s="15"/>
      <c r="P3" s="15"/>
      <c r="Q3" s="15"/>
      <c r="R3" s="15"/>
      <c r="S3" s="15"/>
      <c r="T3" s="15"/>
      <c r="U3" s="15"/>
      <c r="V3" s="15"/>
    </row>
    <row r="4" spans="1:22" ht="15" customHeight="1">
      <c r="A4" s="5" t="s">
        <v>37</v>
      </c>
      <c r="B4" s="18">
        <v>45016</v>
      </c>
      <c r="C4" s="19"/>
      <c r="D4" s="15"/>
      <c r="G4" s="15"/>
      <c r="H4" s="400"/>
      <c r="I4" s="140" t="s">
        <v>42</v>
      </c>
      <c r="J4" s="139" t="s">
        <v>88</v>
      </c>
      <c r="K4" s="140">
        <v>8000</v>
      </c>
      <c r="L4" s="103">
        <f t="shared" si="0"/>
        <v>3.9999800000999994E-2</v>
      </c>
      <c r="M4" s="104">
        <f>ROUNDDOWN(L4*$E$42,0)</f>
        <v>2</v>
      </c>
      <c r="N4" s="15"/>
      <c r="O4" s="15"/>
      <c r="P4" s="15"/>
      <c r="Q4" s="15"/>
      <c r="R4" s="15"/>
      <c r="S4" s="15"/>
      <c r="T4" s="15"/>
      <c r="U4" s="15"/>
      <c r="V4" s="15"/>
    </row>
    <row r="5" spans="1:22" ht="33.75" customHeight="1">
      <c r="A5" s="20" t="s">
        <v>35</v>
      </c>
      <c r="B5" s="141">
        <f>(B4-B2+1)/365</f>
        <v>0.91506849315068495</v>
      </c>
      <c r="C5" s="15"/>
      <c r="D5" s="15"/>
      <c r="G5" s="15"/>
      <c r="H5" s="400"/>
      <c r="I5" s="140" t="s">
        <v>43</v>
      </c>
      <c r="J5" s="139" t="s">
        <v>88</v>
      </c>
      <c r="K5" s="140">
        <v>8000</v>
      </c>
      <c r="L5" s="103">
        <f t="shared" si="0"/>
        <v>3.9999800000999994E-2</v>
      </c>
      <c r="M5" s="104">
        <f>ROUNDDOWN(L5*$E$42,0)</f>
        <v>2</v>
      </c>
      <c r="N5" s="15"/>
      <c r="O5" s="15"/>
      <c r="P5" s="15"/>
      <c r="Q5" s="15"/>
      <c r="R5" s="15"/>
      <c r="S5" s="15"/>
      <c r="T5" s="15"/>
      <c r="U5" s="15"/>
      <c r="V5" s="15"/>
    </row>
    <row r="6" spans="1:22" ht="18.75" customHeight="1">
      <c r="A6" s="22" t="s">
        <v>7</v>
      </c>
      <c r="B6" s="23" t="s">
        <v>38</v>
      </c>
      <c r="C6" s="15"/>
      <c r="D6" s="15"/>
      <c r="G6" s="15"/>
      <c r="H6" s="400"/>
      <c r="I6" s="140" t="s">
        <v>44</v>
      </c>
      <c r="J6" s="139" t="s">
        <v>88</v>
      </c>
      <c r="K6" s="140">
        <v>2000</v>
      </c>
      <c r="L6" s="103">
        <f t="shared" si="0"/>
        <v>9.9999500002499984E-3</v>
      </c>
      <c r="M6" s="104">
        <f>ROUNDUP(L6*$E$42,0)</f>
        <v>1</v>
      </c>
      <c r="N6" s="15"/>
      <c r="O6" s="15"/>
      <c r="P6" s="15"/>
      <c r="Q6" s="15"/>
      <c r="R6" s="15"/>
      <c r="S6" s="15"/>
      <c r="T6" s="15"/>
      <c r="U6" s="15"/>
      <c r="V6" s="15"/>
    </row>
    <row r="7" spans="1:22" ht="18.75" customHeight="1">
      <c r="A7" s="20" t="s">
        <v>8</v>
      </c>
      <c r="B7" s="24">
        <f>IF(B6="PoA",0.95,IF(B5=1,0.9,0.95))</f>
        <v>0.95</v>
      </c>
      <c r="C7" s="15"/>
      <c r="D7" s="15"/>
      <c r="G7" s="15"/>
      <c r="H7" s="400"/>
      <c r="I7" s="140" t="s">
        <v>59</v>
      </c>
      <c r="J7" s="139" t="s">
        <v>88</v>
      </c>
      <c r="K7" s="140">
        <v>8000</v>
      </c>
      <c r="L7" s="103">
        <f t="shared" si="0"/>
        <v>3.9999800000999994E-2</v>
      </c>
      <c r="M7" s="104">
        <f t="shared" si="1"/>
        <v>2</v>
      </c>
      <c r="N7" s="15"/>
      <c r="O7" s="15"/>
      <c r="P7" s="15"/>
      <c r="Q7" s="15"/>
      <c r="R7" s="15"/>
      <c r="S7" s="15"/>
      <c r="T7" s="15"/>
      <c r="U7" s="15"/>
      <c r="V7" s="15"/>
    </row>
    <row r="8" spans="1:22" ht="16.5" customHeight="1">
      <c r="A8" s="20" t="s">
        <v>9</v>
      </c>
      <c r="B8" s="25">
        <v>0.1</v>
      </c>
      <c r="C8" s="15"/>
      <c r="D8" s="15"/>
      <c r="G8" s="15"/>
      <c r="H8" s="401"/>
      <c r="I8" s="140" t="s">
        <v>60</v>
      </c>
      <c r="J8" s="139" t="s">
        <v>88</v>
      </c>
      <c r="K8" s="140">
        <v>8000</v>
      </c>
      <c r="L8" s="103">
        <f t="shared" si="0"/>
        <v>3.9999800000999994E-2</v>
      </c>
      <c r="M8" s="104">
        <f t="shared" si="1"/>
        <v>2</v>
      </c>
      <c r="N8" s="15"/>
      <c r="O8" s="15"/>
      <c r="P8" s="15"/>
      <c r="Q8" s="15"/>
      <c r="R8" s="15"/>
      <c r="S8" s="15"/>
      <c r="T8" s="15"/>
      <c r="U8" s="15"/>
      <c r="V8" s="15"/>
    </row>
    <row r="9" spans="1:22">
      <c r="A9" s="20" t="s">
        <v>10</v>
      </c>
      <c r="B9" s="21">
        <f>NORMSINV(0.975)</f>
        <v>1.9599639845400536</v>
      </c>
      <c r="C9" s="15"/>
      <c r="D9" s="15"/>
      <c r="E9" s="15"/>
      <c r="F9" s="15"/>
      <c r="G9" s="15"/>
      <c r="H9" s="139" t="s">
        <v>194</v>
      </c>
      <c r="I9" s="140" t="s">
        <v>93</v>
      </c>
      <c r="J9" s="139" t="s">
        <v>88</v>
      </c>
      <c r="K9" s="140">
        <v>2272</v>
      </c>
      <c r="L9" s="103">
        <f t="shared" si="0"/>
        <v>1.1359943200283999E-2</v>
      </c>
      <c r="M9" s="104">
        <f>ROUNDUP(L9*$E$42,0)</f>
        <v>1</v>
      </c>
      <c r="N9" s="15"/>
      <c r="O9" s="15"/>
      <c r="P9" s="15"/>
      <c r="Q9" s="15"/>
      <c r="R9" s="15"/>
      <c r="S9" s="15"/>
      <c r="T9" s="15"/>
      <c r="U9" s="15"/>
      <c r="V9" s="15"/>
    </row>
    <row r="10" spans="1:22">
      <c r="A10" s="26"/>
      <c r="B10" s="27"/>
      <c r="C10" s="15"/>
      <c r="D10" s="15"/>
      <c r="E10" s="15"/>
      <c r="F10" s="15"/>
      <c r="G10" s="15"/>
      <c r="H10" s="399" t="s">
        <v>195</v>
      </c>
      <c r="I10" s="140" t="s">
        <v>45</v>
      </c>
      <c r="J10" s="139" t="s">
        <v>88</v>
      </c>
      <c r="K10" s="140">
        <v>8000</v>
      </c>
      <c r="L10" s="103">
        <f t="shared" si="0"/>
        <v>3.9999800000999994E-2</v>
      </c>
      <c r="M10" s="104">
        <f t="shared" si="1"/>
        <v>2</v>
      </c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32.25" customHeight="1">
      <c r="A11" s="427" t="s">
        <v>26</v>
      </c>
      <c r="B11" s="428"/>
      <c r="C11" s="429" t="s">
        <v>31</v>
      </c>
      <c r="D11" s="430"/>
      <c r="E11" s="430"/>
      <c r="F11" s="41"/>
      <c r="G11" s="15"/>
      <c r="H11" s="400"/>
      <c r="I11" s="140" t="s">
        <v>91</v>
      </c>
      <c r="J11" s="139" t="s">
        <v>88</v>
      </c>
      <c r="K11" s="140">
        <v>8000</v>
      </c>
      <c r="L11" s="103">
        <f t="shared" si="0"/>
        <v>3.9999800000999994E-2</v>
      </c>
      <c r="M11" s="104">
        <f t="shared" si="1"/>
        <v>2</v>
      </c>
      <c r="N11" s="15"/>
      <c r="O11" s="15"/>
      <c r="P11" s="15"/>
      <c r="Q11" s="15"/>
      <c r="R11" s="15"/>
      <c r="S11" s="15"/>
      <c r="T11" s="15"/>
      <c r="U11" s="15"/>
      <c r="V11" s="15"/>
    </row>
    <row r="12" spans="1:22" ht="24" customHeight="1">
      <c r="A12" s="431" t="s">
        <v>11</v>
      </c>
      <c r="B12" s="432"/>
      <c r="C12" s="433" t="s">
        <v>495</v>
      </c>
      <c r="D12" s="434"/>
      <c r="E12" s="434"/>
      <c r="F12" s="40"/>
      <c r="G12" s="15"/>
      <c r="H12" s="400"/>
      <c r="I12" s="140" t="s">
        <v>204</v>
      </c>
      <c r="J12" s="139" t="s">
        <v>88</v>
      </c>
      <c r="K12" s="140">
        <v>8000</v>
      </c>
      <c r="L12" s="103">
        <f t="shared" si="0"/>
        <v>3.9999800000999994E-2</v>
      </c>
      <c r="M12" s="104">
        <f t="shared" si="1"/>
        <v>2</v>
      </c>
      <c r="N12" s="15"/>
      <c r="O12" s="15"/>
      <c r="P12" s="15"/>
      <c r="Q12" s="15"/>
      <c r="R12" s="15"/>
      <c r="S12" s="15"/>
      <c r="T12" s="15"/>
      <c r="U12" s="15"/>
      <c r="V12" s="15"/>
    </row>
    <row r="13" spans="1:22" ht="27.75" customHeight="1">
      <c r="A13" s="431" t="s">
        <v>14</v>
      </c>
      <c r="B13" s="432"/>
      <c r="C13" s="435" t="s">
        <v>496</v>
      </c>
      <c r="D13" s="436"/>
      <c r="E13" s="436"/>
      <c r="F13" s="40"/>
      <c r="G13" s="15"/>
      <c r="H13" s="400"/>
      <c r="I13" s="140" t="s">
        <v>46</v>
      </c>
      <c r="J13" s="139" t="s">
        <v>88</v>
      </c>
      <c r="K13" s="140">
        <v>8000</v>
      </c>
      <c r="L13" s="103">
        <f t="shared" si="0"/>
        <v>3.9999800000999994E-2</v>
      </c>
      <c r="M13" s="104">
        <f>ROUNDDOWN(L13*$E$42,0)</f>
        <v>2</v>
      </c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50.25" customHeight="1">
      <c r="A14" s="35" t="s">
        <v>27</v>
      </c>
      <c r="B14" s="39" t="s">
        <v>28</v>
      </c>
      <c r="C14" s="39" t="s">
        <v>13</v>
      </c>
      <c r="D14" s="39" t="s">
        <v>97</v>
      </c>
      <c r="E14" s="44" t="s">
        <v>12</v>
      </c>
      <c r="F14" s="39" t="s">
        <v>32</v>
      </c>
      <c r="G14" s="15"/>
      <c r="H14" s="401"/>
      <c r="I14" s="140" t="s">
        <v>47</v>
      </c>
      <c r="J14" s="139" t="s">
        <v>88</v>
      </c>
      <c r="K14" s="140">
        <v>71</v>
      </c>
      <c r="L14" s="103">
        <f t="shared" si="0"/>
        <v>3.5499822500887495E-4</v>
      </c>
      <c r="M14" s="104">
        <f>ROUNDUP(L14*$E$42,0)</f>
        <v>1</v>
      </c>
      <c r="N14" s="15"/>
      <c r="O14" s="15"/>
      <c r="P14" s="15"/>
      <c r="Q14" s="15"/>
      <c r="R14" s="15"/>
      <c r="S14" s="15"/>
      <c r="T14" s="15"/>
      <c r="U14" s="15"/>
      <c r="V14" s="15"/>
    </row>
    <row r="15" spans="1:22" ht="22.5" customHeight="1">
      <c r="A15" s="71" t="s">
        <v>39</v>
      </c>
      <c r="B15" s="72">
        <v>1</v>
      </c>
      <c r="C15" s="70">
        <v>200001</v>
      </c>
      <c r="D15" s="42">
        <v>0.9</v>
      </c>
      <c r="E15" s="45">
        <f>$E$19*C15/SUM($C$15)</f>
        <v>43</v>
      </c>
      <c r="F15" s="89">
        <f>ROUNDUP(E15/0.8,0)</f>
        <v>54</v>
      </c>
      <c r="G15" s="15"/>
      <c r="H15" s="399" t="s">
        <v>196</v>
      </c>
      <c r="I15" s="140" t="s">
        <v>48</v>
      </c>
      <c r="J15" s="139" t="s">
        <v>88</v>
      </c>
      <c r="K15" s="140">
        <v>8000</v>
      </c>
      <c r="L15" s="103">
        <f t="shared" si="0"/>
        <v>3.9999800000999994E-2</v>
      </c>
      <c r="M15" s="104">
        <f>ROUNDDOWN(L15*$E$42,0)</f>
        <v>2</v>
      </c>
      <c r="N15" s="15"/>
      <c r="O15" s="15"/>
      <c r="P15" s="15"/>
      <c r="Q15" s="15"/>
      <c r="R15" s="15"/>
      <c r="S15" s="15"/>
      <c r="T15" s="15"/>
      <c r="U15" s="15"/>
      <c r="V15" s="15"/>
    </row>
    <row r="16" spans="1:22">
      <c r="A16" s="414" t="s">
        <v>29</v>
      </c>
      <c r="B16" s="414"/>
      <c r="C16" s="414"/>
      <c r="D16" s="414"/>
      <c r="E16" s="414"/>
      <c r="F16" s="46"/>
      <c r="G16" s="15"/>
      <c r="H16" s="400"/>
      <c r="I16" s="140" t="s">
        <v>49</v>
      </c>
      <c r="J16" s="139" t="s">
        <v>88</v>
      </c>
      <c r="K16" s="140">
        <v>8000</v>
      </c>
      <c r="L16" s="103">
        <f t="shared" si="0"/>
        <v>3.9999800000999994E-2</v>
      </c>
      <c r="M16" s="104">
        <f t="shared" si="1"/>
        <v>2</v>
      </c>
      <c r="N16" s="15"/>
      <c r="O16" s="15"/>
      <c r="P16" s="15"/>
      <c r="Q16" s="15"/>
      <c r="R16" s="15"/>
      <c r="S16" s="15"/>
      <c r="T16" s="15"/>
      <c r="U16" s="15"/>
      <c r="V16" s="15"/>
    </row>
    <row r="17" spans="1:22">
      <c r="A17" s="415" t="s">
        <v>33</v>
      </c>
      <c r="B17" s="415"/>
      <c r="C17" s="415"/>
      <c r="D17" s="415"/>
      <c r="E17" s="36">
        <f>SUMPRODUCT($C$15,$D$15)/SUM($C$15)</f>
        <v>0.9</v>
      </c>
      <c r="F17" s="143"/>
      <c r="G17" s="15"/>
      <c r="H17" s="400"/>
      <c r="I17" s="140" t="s">
        <v>50</v>
      </c>
      <c r="J17" s="139" t="s">
        <v>88</v>
      </c>
      <c r="K17" s="140">
        <v>8000</v>
      </c>
      <c r="L17" s="103">
        <f t="shared" si="0"/>
        <v>3.9999800000999994E-2</v>
      </c>
      <c r="M17" s="104">
        <f t="shared" si="1"/>
        <v>2</v>
      </c>
      <c r="N17" s="15"/>
      <c r="O17" s="15"/>
      <c r="P17" s="15"/>
      <c r="Q17" s="15"/>
      <c r="R17" s="15"/>
      <c r="S17" s="15"/>
      <c r="T17" s="15"/>
      <c r="U17" s="15"/>
      <c r="V17" s="15"/>
    </row>
    <row r="18" spans="1:22" ht="21.75" customHeight="1">
      <c r="A18" s="415" t="s">
        <v>34</v>
      </c>
      <c r="B18" s="415"/>
      <c r="C18" s="415"/>
      <c r="D18" s="415"/>
      <c r="E18" s="37">
        <f>E17*(1-E17)/E17^2</f>
        <v>0.11111111111111108</v>
      </c>
      <c r="F18" s="15"/>
      <c r="G18" s="15"/>
      <c r="H18" s="400"/>
      <c r="I18" s="140" t="s">
        <v>51</v>
      </c>
      <c r="J18" s="139" t="s">
        <v>88</v>
      </c>
      <c r="K18" s="140">
        <v>8000</v>
      </c>
      <c r="L18" s="103">
        <f t="shared" si="0"/>
        <v>3.9999800000999994E-2</v>
      </c>
      <c r="M18" s="104">
        <f t="shared" si="1"/>
        <v>2</v>
      </c>
      <c r="N18" s="15"/>
      <c r="O18" s="15"/>
      <c r="P18" s="15"/>
      <c r="Q18" s="15"/>
      <c r="R18" s="15"/>
      <c r="S18" s="15"/>
      <c r="T18" s="15"/>
      <c r="U18" s="15"/>
      <c r="V18" s="15"/>
    </row>
    <row r="19" spans="1:22" ht="21" customHeight="1">
      <c r="A19" s="415" t="s">
        <v>30</v>
      </c>
      <c r="B19" s="415"/>
      <c r="C19" s="415"/>
      <c r="D19" s="415"/>
      <c r="E19" s="38">
        <f>ROUNDUP(($B$9^2*SUM(C15:C15)*E18)/(((SUM(C15:C15)-1)*$B$8^2)+($B$9^2*E18)),0)</f>
        <v>43</v>
      </c>
      <c r="F19" s="15"/>
      <c r="G19" s="15"/>
      <c r="H19" s="400"/>
      <c r="I19" s="140" t="s">
        <v>52</v>
      </c>
      <c r="J19" s="102" t="s">
        <v>88</v>
      </c>
      <c r="K19" s="140">
        <v>8000</v>
      </c>
      <c r="L19" s="103">
        <f>K19/$C$15</f>
        <v>3.9999800000999994E-2</v>
      </c>
      <c r="M19" s="104">
        <f t="shared" si="1"/>
        <v>2</v>
      </c>
      <c r="N19" s="15"/>
      <c r="O19" s="15"/>
      <c r="P19" s="15"/>
      <c r="Q19" s="15"/>
      <c r="R19" s="15"/>
      <c r="S19" s="15"/>
      <c r="T19" s="15"/>
      <c r="U19" s="15"/>
      <c r="V19" s="15"/>
    </row>
    <row r="20" spans="1:22">
      <c r="A20" s="15"/>
      <c r="B20" s="15"/>
      <c r="C20" s="15"/>
      <c r="D20" s="15"/>
      <c r="E20" s="15"/>
      <c r="F20" s="15"/>
      <c r="G20" s="15"/>
      <c r="H20" s="401"/>
      <c r="I20" s="140" t="s">
        <v>53</v>
      </c>
      <c r="J20" s="102" t="s">
        <v>88</v>
      </c>
      <c r="K20" s="140">
        <v>7800</v>
      </c>
      <c r="L20" s="103">
        <f t="shared" ref="L20:L30" si="2">K20/$C$15</f>
        <v>3.8999805000974996E-2</v>
      </c>
      <c r="M20" s="104">
        <f t="shared" si="1"/>
        <v>2</v>
      </c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24" customHeight="1">
      <c r="H21" s="399" t="s">
        <v>197</v>
      </c>
      <c r="I21" s="140" t="s">
        <v>54</v>
      </c>
      <c r="J21" s="102" t="s">
        <v>88</v>
      </c>
      <c r="K21" s="140">
        <v>8000</v>
      </c>
      <c r="L21" s="103">
        <f t="shared" si="2"/>
        <v>3.9999800000999994E-2</v>
      </c>
      <c r="M21" s="104">
        <f t="shared" si="1"/>
        <v>2</v>
      </c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27" customHeight="1">
      <c r="H22" s="400"/>
      <c r="I22" s="140" t="s">
        <v>55</v>
      </c>
      <c r="J22" s="102" t="s">
        <v>88</v>
      </c>
      <c r="K22" s="140">
        <v>8000</v>
      </c>
      <c r="L22" s="103">
        <f t="shared" si="2"/>
        <v>3.9999800000999994E-2</v>
      </c>
      <c r="M22" s="104">
        <f t="shared" si="1"/>
        <v>2</v>
      </c>
      <c r="N22" s="15"/>
      <c r="O22" s="15"/>
      <c r="P22" s="15"/>
      <c r="Q22" s="15"/>
      <c r="R22" s="15"/>
      <c r="S22" s="15"/>
      <c r="T22" s="15"/>
      <c r="U22" s="15"/>
      <c r="V22" s="15"/>
    </row>
    <row r="23" spans="1:22" ht="35.25" customHeight="1">
      <c r="A23" s="73" t="s">
        <v>68</v>
      </c>
      <c r="B23" s="425" t="s">
        <v>473</v>
      </c>
      <c r="C23" s="426"/>
      <c r="D23" s="426"/>
      <c r="E23" s="426"/>
      <c r="H23" s="400"/>
      <c r="I23" s="140" t="s">
        <v>56</v>
      </c>
      <c r="J23" s="102" t="s">
        <v>88</v>
      </c>
      <c r="K23" s="140">
        <v>8000</v>
      </c>
      <c r="L23" s="103">
        <f t="shared" si="2"/>
        <v>3.9999800000999994E-2</v>
      </c>
      <c r="M23" s="104">
        <f t="shared" si="1"/>
        <v>2</v>
      </c>
      <c r="N23" s="15"/>
      <c r="O23" s="15"/>
      <c r="P23" s="15"/>
      <c r="Q23" s="15"/>
      <c r="R23" s="15"/>
      <c r="S23" s="15"/>
      <c r="T23" s="15"/>
      <c r="U23" s="15"/>
      <c r="V23" s="15"/>
    </row>
    <row r="24" spans="1:22" ht="30" customHeight="1">
      <c r="A24" s="74" t="s">
        <v>85</v>
      </c>
      <c r="B24" s="419" t="s">
        <v>497</v>
      </c>
      <c r="C24" s="419"/>
      <c r="D24" s="419"/>
      <c r="E24" s="419"/>
      <c r="H24" s="400"/>
      <c r="I24" s="140" t="s">
        <v>57</v>
      </c>
      <c r="J24" s="102" t="s">
        <v>88</v>
      </c>
      <c r="K24" s="140">
        <v>8000</v>
      </c>
      <c r="L24" s="103">
        <f t="shared" si="2"/>
        <v>3.9999800000999994E-2</v>
      </c>
      <c r="M24" s="104">
        <f t="shared" si="1"/>
        <v>2</v>
      </c>
      <c r="N24" s="15"/>
      <c r="O24" s="15"/>
      <c r="P24" s="15"/>
      <c r="Q24" s="15"/>
      <c r="R24" s="15"/>
      <c r="S24" s="15"/>
      <c r="T24" s="15"/>
      <c r="U24" s="15"/>
      <c r="V24" s="15"/>
    </row>
    <row r="25" spans="1:22">
      <c r="A25" s="74" t="s">
        <v>14</v>
      </c>
      <c r="B25" s="420" t="s">
        <v>496</v>
      </c>
      <c r="C25" s="420"/>
      <c r="D25" s="420"/>
      <c r="E25" s="420"/>
      <c r="H25" s="401"/>
      <c r="I25" s="140" t="s">
        <v>58</v>
      </c>
      <c r="J25" s="102" t="s">
        <v>88</v>
      </c>
      <c r="K25" s="140">
        <v>2222</v>
      </c>
      <c r="L25" s="103">
        <f t="shared" si="2"/>
        <v>1.1109944450277749E-2</v>
      </c>
      <c r="M25" s="104">
        <f>ROUNDUP(L25*$E$42,0)</f>
        <v>1</v>
      </c>
      <c r="N25" s="15"/>
      <c r="O25" s="15"/>
      <c r="P25" s="15"/>
      <c r="Q25" s="15"/>
      <c r="R25" s="15"/>
      <c r="S25" s="15"/>
      <c r="T25" s="15"/>
      <c r="U25" s="15"/>
      <c r="V25" s="15"/>
    </row>
    <row r="26" spans="1:22" ht="30">
      <c r="A26" s="75" t="s">
        <v>69</v>
      </c>
      <c r="B26" s="75" t="s">
        <v>70</v>
      </c>
      <c r="C26" s="76" t="s">
        <v>90</v>
      </c>
      <c r="D26" s="76" t="s">
        <v>71</v>
      </c>
      <c r="E26" s="76" t="s">
        <v>72</v>
      </c>
      <c r="F26" s="39" t="s">
        <v>32</v>
      </c>
      <c r="H26" s="399" t="s">
        <v>198</v>
      </c>
      <c r="I26" s="140" t="s">
        <v>61</v>
      </c>
      <c r="J26" s="102" t="s">
        <v>88</v>
      </c>
      <c r="K26" s="140">
        <v>8000</v>
      </c>
      <c r="L26" s="103">
        <f t="shared" si="2"/>
        <v>3.9999800000999994E-2</v>
      </c>
      <c r="M26" s="104">
        <f>ROUNDDOWN(L26*$E$42,0)</f>
        <v>2</v>
      </c>
      <c r="N26" s="15"/>
      <c r="O26" s="15"/>
      <c r="P26" s="15"/>
      <c r="Q26" s="15"/>
      <c r="R26" s="15"/>
      <c r="S26" s="15"/>
      <c r="T26" s="15"/>
      <c r="U26" s="15"/>
      <c r="V26" s="15"/>
    </row>
    <row r="27" spans="1:22">
      <c r="A27" s="77" t="s">
        <v>86</v>
      </c>
      <c r="B27" s="83">
        <v>200001</v>
      </c>
      <c r="C27" s="78">
        <v>0.38440000000000002</v>
      </c>
      <c r="D27" s="78">
        <v>3.8440000000000002E-2</v>
      </c>
      <c r="E27" s="79">
        <f>MAX(ROUNDUP((($E$37)*B27/$B$27),0),2)</f>
        <v>7</v>
      </c>
      <c r="F27" s="90">
        <f>ROUNDUP(E27/0.8,0)</f>
        <v>9</v>
      </c>
      <c r="H27" s="400"/>
      <c r="I27" s="140" t="s">
        <v>62</v>
      </c>
      <c r="J27" s="102" t="s">
        <v>88</v>
      </c>
      <c r="K27" s="140">
        <v>8000</v>
      </c>
      <c r="L27" s="103">
        <f t="shared" si="2"/>
        <v>3.9999800000999994E-2</v>
      </c>
      <c r="M27" s="104">
        <f>ROUNDUP(L27*$E$42,0)</f>
        <v>3</v>
      </c>
      <c r="N27" s="15"/>
      <c r="O27" s="15"/>
      <c r="P27" s="15"/>
      <c r="Q27" s="15"/>
      <c r="R27" s="15"/>
      <c r="S27" s="15"/>
      <c r="T27" s="15"/>
      <c r="U27" s="15"/>
      <c r="V27" s="15"/>
    </row>
    <row r="28" spans="1:22" ht="15" customHeight="1">
      <c r="A28" s="416" t="s">
        <v>29</v>
      </c>
      <c r="B28" s="417"/>
      <c r="C28" s="417"/>
      <c r="D28" s="417"/>
      <c r="E28" s="418"/>
      <c r="H28" s="400"/>
      <c r="I28" s="140" t="s">
        <v>92</v>
      </c>
      <c r="J28" s="102" t="s">
        <v>88</v>
      </c>
      <c r="K28" s="140">
        <v>8000</v>
      </c>
      <c r="L28" s="103">
        <f t="shared" si="2"/>
        <v>3.9999800000999994E-2</v>
      </c>
      <c r="M28" s="104">
        <f>ROUNDDOWN(L28*$E$42,0)</f>
        <v>2</v>
      </c>
      <c r="N28" s="15"/>
      <c r="O28" s="15"/>
      <c r="P28" s="15"/>
      <c r="Q28" s="15"/>
      <c r="R28" s="15"/>
      <c r="S28" s="15"/>
      <c r="T28" s="15"/>
      <c r="U28" s="15"/>
      <c r="V28" s="15"/>
    </row>
    <row r="29" spans="1:22">
      <c r="A29" s="411" t="s">
        <v>73</v>
      </c>
      <c r="B29" s="412"/>
      <c r="C29" s="412"/>
      <c r="D29" s="413"/>
      <c r="E29" s="255">
        <f>SUMPRODUCT(B27,C27)/SUM(B27)</f>
        <v>0.38440000000000007</v>
      </c>
      <c r="H29" s="400"/>
      <c r="I29" s="140" t="s">
        <v>63</v>
      </c>
      <c r="J29" s="102" t="s">
        <v>88</v>
      </c>
      <c r="K29" s="140">
        <v>8000</v>
      </c>
      <c r="L29" s="103">
        <f t="shared" si="2"/>
        <v>3.9999800000999994E-2</v>
      </c>
      <c r="M29" s="104">
        <f>ROUNDDOWN(L29*$E$42,0)</f>
        <v>2</v>
      </c>
      <c r="N29" s="28"/>
      <c r="O29" s="28"/>
      <c r="P29" s="28"/>
      <c r="Q29" s="28"/>
      <c r="R29" s="15"/>
      <c r="S29" s="15"/>
      <c r="T29" s="15"/>
      <c r="U29" s="15"/>
      <c r="V29" s="15"/>
    </row>
    <row r="30" spans="1:22" ht="15" customHeight="1">
      <c r="A30" s="411" t="s">
        <v>74</v>
      </c>
      <c r="B30" s="412"/>
      <c r="C30" s="412"/>
      <c r="D30" s="413"/>
      <c r="E30" s="256">
        <f>SQRT(SUMPRODUCT((D27)^2,B27)/SUM(B27))</f>
        <v>3.8440000000000002E-2</v>
      </c>
      <c r="H30" s="401"/>
      <c r="I30" s="140" t="s">
        <v>64</v>
      </c>
      <c r="J30" s="102" t="s">
        <v>88</v>
      </c>
      <c r="K30" s="140">
        <v>1636</v>
      </c>
      <c r="L30" s="103">
        <f t="shared" si="2"/>
        <v>8.1799591002044997E-3</v>
      </c>
      <c r="M30" s="104">
        <f>ROUNDUP(L30*$E$42,0)</f>
        <v>1</v>
      </c>
    </row>
    <row r="31" spans="1:22" ht="45" customHeight="1">
      <c r="A31" s="411" t="s">
        <v>75</v>
      </c>
      <c r="B31" s="412"/>
      <c r="C31" s="412"/>
      <c r="D31" s="413"/>
      <c r="E31" s="80">
        <f>(E30/E29)^2</f>
        <v>9.9999999999999985E-3</v>
      </c>
      <c r="H31" s="102"/>
      <c r="I31" s="105" t="s">
        <v>21</v>
      </c>
      <c r="J31" s="105"/>
      <c r="K31" s="107">
        <f>SUM(K2:K30)</f>
        <v>200001</v>
      </c>
      <c r="L31" s="144">
        <f>SUM(L2:L30)</f>
        <v>1.0000000000000002</v>
      </c>
      <c r="M31" s="106">
        <f>SUM(M2:M30)</f>
        <v>54</v>
      </c>
    </row>
    <row r="32" spans="1:22" ht="15" customHeight="1">
      <c r="A32" s="411" t="s">
        <v>76</v>
      </c>
      <c r="B32" s="412"/>
      <c r="C32" s="412"/>
      <c r="D32" s="413"/>
      <c r="E32" s="81">
        <f>ROUNDUP(($B$9^2*SUM(B27)*E31)/(((SUM(B27)-1)*$B$8^2)+($B$9^2*E31)),0)</f>
        <v>4</v>
      </c>
      <c r="H32"/>
    </row>
    <row r="33" spans="1:22">
      <c r="A33" s="402" t="s">
        <v>77</v>
      </c>
      <c r="B33" s="403"/>
      <c r="C33" s="404"/>
      <c r="D33" s="82" t="s">
        <v>78</v>
      </c>
      <c r="E33" s="81">
        <f t="shared" ref="E33:E39" si="3">ROUNDUP(((TINV(1-$B$7,E32-1)^2)*SUM($B$27)*(($E$30/$E$29)^2))/((((SUM($B$27)-1)*($B$8^2))+((TINV(1-$B$7,E32-1)^2)*(($E$30/$E$29)^2)))),0)</f>
        <v>11</v>
      </c>
      <c r="H33"/>
    </row>
    <row r="34" spans="1:22">
      <c r="A34" s="405"/>
      <c r="B34" s="406"/>
      <c r="C34" s="407"/>
      <c r="D34" s="82" t="s">
        <v>79</v>
      </c>
      <c r="E34" s="81">
        <f t="shared" si="3"/>
        <v>5</v>
      </c>
      <c r="H34"/>
    </row>
    <row r="35" spans="1:22">
      <c r="A35" s="405"/>
      <c r="B35" s="406"/>
      <c r="C35" s="407"/>
      <c r="D35" s="82" t="s">
        <v>80</v>
      </c>
      <c r="E35" s="81">
        <f t="shared" si="3"/>
        <v>8</v>
      </c>
      <c r="H35"/>
    </row>
    <row r="36" spans="1:22">
      <c r="A36" s="405"/>
      <c r="B36" s="406"/>
      <c r="C36" s="407"/>
      <c r="D36" s="82" t="s">
        <v>81</v>
      </c>
      <c r="E36" s="81">
        <f t="shared" si="3"/>
        <v>6</v>
      </c>
      <c r="H36"/>
    </row>
    <row r="37" spans="1:22">
      <c r="A37" s="405"/>
      <c r="B37" s="406"/>
      <c r="C37" s="407"/>
      <c r="D37" s="82" t="s">
        <v>82</v>
      </c>
      <c r="E37" s="81">
        <f t="shared" si="3"/>
        <v>7</v>
      </c>
      <c r="H37"/>
    </row>
    <row r="38" spans="1:22">
      <c r="A38" s="405"/>
      <c r="B38" s="406"/>
      <c r="C38" s="407"/>
      <c r="D38" s="82" t="s">
        <v>83</v>
      </c>
      <c r="E38" s="81">
        <f t="shared" si="3"/>
        <v>6</v>
      </c>
      <c r="F38" s="15"/>
      <c r="G38" s="15"/>
      <c r="H38"/>
      <c r="O38" s="15"/>
      <c r="P38" s="15"/>
      <c r="Q38" s="15"/>
      <c r="R38" s="15"/>
      <c r="S38" s="15"/>
      <c r="T38" s="15"/>
      <c r="U38" s="15"/>
      <c r="V38" s="15"/>
    </row>
    <row r="39" spans="1:22">
      <c r="A39" s="408"/>
      <c r="B39" s="409"/>
      <c r="C39" s="410"/>
      <c r="D39" s="82" t="s">
        <v>84</v>
      </c>
      <c r="E39" s="81">
        <f t="shared" si="3"/>
        <v>7</v>
      </c>
      <c r="F39" s="15"/>
      <c r="G39" s="15"/>
      <c r="H39"/>
      <c r="O39" s="15"/>
      <c r="P39" s="15"/>
      <c r="Q39" s="15"/>
      <c r="R39" s="15"/>
      <c r="S39" s="15"/>
      <c r="T39" s="15"/>
      <c r="U39" s="15"/>
      <c r="V39" s="15"/>
    </row>
    <row r="40" spans="1:22">
      <c r="H40"/>
    </row>
    <row r="41" spans="1:22">
      <c r="A41" s="85"/>
      <c r="B41" s="85"/>
      <c r="H41"/>
    </row>
    <row r="42" spans="1:22" ht="19.5" customHeight="1">
      <c r="A42" s="87" t="s">
        <v>89</v>
      </c>
      <c r="B42" s="91"/>
      <c r="C42" s="84"/>
      <c r="D42" s="86" t="s">
        <v>88</v>
      </c>
      <c r="E42" s="88">
        <f>MAX(F15,F27)</f>
        <v>54</v>
      </c>
      <c r="F42" t="s">
        <v>87</v>
      </c>
      <c r="H42"/>
    </row>
    <row r="43" spans="1:22">
      <c r="H43"/>
    </row>
    <row r="44" spans="1:22">
      <c r="H44"/>
    </row>
    <row r="45" spans="1:22">
      <c r="H45"/>
    </row>
    <row r="46" spans="1:22">
      <c r="H46"/>
    </row>
    <row r="47" spans="1:22">
      <c r="H47"/>
    </row>
    <row r="48" spans="1:22">
      <c r="H48"/>
    </row>
    <row r="49" spans="8:8">
      <c r="H49"/>
    </row>
    <row r="50" spans="8:8">
      <c r="H50"/>
    </row>
    <row r="51" spans="8:8">
      <c r="H51"/>
    </row>
    <row r="52" spans="8:8">
      <c r="H52"/>
    </row>
    <row r="53" spans="8:8">
      <c r="H53"/>
    </row>
    <row r="54" spans="8:8">
      <c r="H54"/>
    </row>
    <row r="55" spans="8:8">
      <c r="H55"/>
    </row>
    <row r="56" spans="8:8">
      <c r="H56"/>
    </row>
    <row r="57" spans="8:8">
      <c r="H57"/>
    </row>
    <row r="58" spans="8:8">
      <c r="H58"/>
    </row>
    <row r="59" spans="8:8">
      <c r="H59"/>
    </row>
    <row r="60" spans="8:8">
      <c r="H60"/>
    </row>
    <row r="61" spans="8:8">
      <c r="H61"/>
    </row>
    <row r="62" spans="8:8">
      <c r="H62"/>
    </row>
    <row r="63" spans="8:8">
      <c r="H63"/>
    </row>
    <row r="64" spans="8:8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  <row r="71" spans="8:8">
      <c r="H71"/>
    </row>
    <row r="72" spans="8:8">
      <c r="H72"/>
    </row>
    <row r="73" spans="8:8">
      <c r="H73"/>
    </row>
    <row r="74" spans="8:8">
      <c r="H74"/>
    </row>
    <row r="75" spans="8:8">
      <c r="H75"/>
    </row>
    <row r="76" spans="8:8">
      <c r="H76"/>
    </row>
  </sheetData>
  <mergeCells count="26">
    <mergeCell ref="A2:A3"/>
    <mergeCell ref="B2:B3"/>
    <mergeCell ref="H2:H8"/>
    <mergeCell ref="A19:D19"/>
    <mergeCell ref="B23:E23"/>
    <mergeCell ref="A11:B11"/>
    <mergeCell ref="C11:E11"/>
    <mergeCell ref="A12:B12"/>
    <mergeCell ref="C12:E12"/>
    <mergeCell ref="A13:B13"/>
    <mergeCell ref="C13:E13"/>
    <mergeCell ref="H10:H14"/>
    <mergeCell ref="H15:H20"/>
    <mergeCell ref="H21:H25"/>
    <mergeCell ref="H26:H30"/>
    <mergeCell ref="A33:C39"/>
    <mergeCell ref="A32:D32"/>
    <mergeCell ref="A31:D31"/>
    <mergeCell ref="A16:E16"/>
    <mergeCell ref="A17:D17"/>
    <mergeCell ref="A18:D18"/>
    <mergeCell ref="A28:E28"/>
    <mergeCell ref="A29:D29"/>
    <mergeCell ref="A30:D30"/>
    <mergeCell ref="B24:E24"/>
    <mergeCell ref="B25:E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zoomScale="85" zoomScaleNormal="85" workbookViewId="0">
      <selection activeCell="E15" sqref="E15"/>
    </sheetView>
  </sheetViews>
  <sheetFormatPr defaultRowHeight="15"/>
  <cols>
    <col min="1" max="1" width="7.28515625" customWidth="1"/>
    <col min="2" max="2" width="22.85546875" customWidth="1"/>
    <col min="3" max="3" width="16.85546875" customWidth="1"/>
    <col min="4" max="4" width="13" customWidth="1"/>
    <col min="5" max="5" width="23.7109375" customWidth="1"/>
    <col min="6" max="6" width="8" customWidth="1"/>
    <col min="7" max="8" width="20.85546875" customWidth="1"/>
    <col min="9" max="9" width="15.5703125" customWidth="1"/>
    <col min="10" max="10" width="25.5703125" customWidth="1"/>
    <col min="11" max="11" width="20.5703125" customWidth="1"/>
    <col min="12" max="12" width="24.5703125" customWidth="1"/>
    <col min="13" max="13" width="20.28515625" customWidth="1"/>
    <col min="14" max="14" width="13.5703125" customWidth="1"/>
    <col min="15" max="15" width="11.5703125" customWidth="1"/>
    <col min="16" max="16" width="14.42578125" customWidth="1"/>
    <col min="17" max="18" width="13.42578125" customWidth="1"/>
    <col min="19" max="19" width="14.28515625" customWidth="1"/>
    <col min="20" max="20" width="13.140625" customWidth="1"/>
    <col min="21" max="21" width="12.7109375" customWidth="1"/>
    <col min="22" max="23" width="14.42578125" customWidth="1"/>
    <col min="24" max="26" width="13.5703125" customWidth="1"/>
    <col min="32" max="32" width="22" customWidth="1"/>
  </cols>
  <sheetData>
    <row r="1" spans="1:32" ht="152.25" customHeight="1" thickBot="1">
      <c r="A1" s="108" t="s">
        <v>99</v>
      </c>
      <c r="B1" s="109" t="s">
        <v>100</v>
      </c>
      <c r="C1" s="109" t="s">
        <v>101</v>
      </c>
      <c r="D1" s="109" t="s">
        <v>102</v>
      </c>
      <c r="E1" s="109" t="s">
        <v>104</v>
      </c>
      <c r="F1" s="109" t="s">
        <v>103</v>
      </c>
      <c r="G1" s="109" t="s">
        <v>210</v>
      </c>
      <c r="H1" s="109" t="s">
        <v>211</v>
      </c>
      <c r="I1" s="109" t="s">
        <v>106</v>
      </c>
      <c r="J1" s="109" t="s">
        <v>119</v>
      </c>
      <c r="K1" s="109" t="s">
        <v>120</v>
      </c>
      <c r="L1" s="109" t="s">
        <v>105</v>
      </c>
      <c r="M1" s="109" t="s">
        <v>98</v>
      </c>
      <c r="N1" s="109" t="s">
        <v>107</v>
      </c>
      <c r="O1" s="109" t="s">
        <v>108</v>
      </c>
      <c r="P1" s="109" t="s">
        <v>109</v>
      </c>
      <c r="Q1" s="109" t="s">
        <v>110</v>
      </c>
      <c r="R1" s="109" t="s">
        <v>111</v>
      </c>
      <c r="S1" s="109" t="s">
        <v>139</v>
      </c>
      <c r="T1" s="109" t="s">
        <v>112</v>
      </c>
      <c r="U1" s="109" t="s">
        <v>113</v>
      </c>
      <c r="V1" s="109" t="s">
        <v>114</v>
      </c>
      <c r="W1" s="110" t="s">
        <v>124</v>
      </c>
      <c r="X1" s="110" t="s">
        <v>122</v>
      </c>
      <c r="Y1" s="110" t="s">
        <v>471</v>
      </c>
      <c r="Z1" s="110" t="s">
        <v>123</v>
      </c>
    </row>
    <row r="2" spans="1:32">
      <c r="A2" s="111">
        <v>1</v>
      </c>
      <c r="B2" s="119" t="s">
        <v>143</v>
      </c>
      <c r="C2" s="251">
        <v>44683</v>
      </c>
      <c r="D2" s="113" t="s">
        <v>88</v>
      </c>
      <c r="E2" s="113" t="s">
        <v>115</v>
      </c>
      <c r="F2" s="114">
        <v>1</v>
      </c>
      <c r="G2" t="s">
        <v>212</v>
      </c>
      <c r="H2" t="s">
        <v>213</v>
      </c>
      <c r="J2" t="s">
        <v>214</v>
      </c>
      <c r="K2" t="s">
        <v>215</v>
      </c>
      <c r="L2" t="s">
        <v>216</v>
      </c>
      <c r="M2" s="112" t="s">
        <v>193</v>
      </c>
      <c r="N2" s="115" t="s">
        <v>116</v>
      </c>
      <c r="O2" s="116" t="s">
        <v>116</v>
      </c>
      <c r="P2" s="116" t="s">
        <v>116</v>
      </c>
      <c r="Q2" s="116" t="s">
        <v>116</v>
      </c>
      <c r="R2" s="117">
        <f t="shared" ref="R2:R9" si="0">IF(O2="Yes",1)</f>
        <v>1</v>
      </c>
      <c r="S2" s="116" t="s">
        <v>117</v>
      </c>
      <c r="T2" s="116"/>
      <c r="U2" s="116">
        <v>7</v>
      </c>
      <c r="V2" s="116">
        <v>0</v>
      </c>
      <c r="W2" s="116"/>
      <c r="X2" s="116" t="s">
        <v>117</v>
      </c>
      <c r="Y2" s="116">
        <v>0</v>
      </c>
      <c r="Z2" s="118">
        <v>3.18</v>
      </c>
      <c r="AC2" s="440" t="s">
        <v>125</v>
      </c>
      <c r="AD2" s="441"/>
      <c r="AE2" s="441"/>
      <c r="AF2" s="442"/>
    </row>
    <row r="3" spans="1:32" s="135" customFormat="1">
      <c r="A3" s="119">
        <f>A2+1</f>
        <v>2</v>
      </c>
      <c r="B3" s="119" t="s">
        <v>217</v>
      </c>
      <c r="C3" s="251">
        <v>44683</v>
      </c>
      <c r="D3" s="113" t="s">
        <v>88</v>
      </c>
      <c r="E3" s="113" t="s">
        <v>115</v>
      </c>
      <c r="F3" s="114">
        <v>1</v>
      </c>
      <c r="G3" t="s">
        <v>218</v>
      </c>
      <c r="H3" t="s">
        <v>219</v>
      </c>
      <c r="I3"/>
      <c r="J3" t="s">
        <v>220</v>
      </c>
      <c r="K3" t="s">
        <v>221</v>
      </c>
      <c r="L3" t="s">
        <v>216</v>
      </c>
      <c r="M3" t="s">
        <v>193</v>
      </c>
      <c r="N3" s="120" t="s">
        <v>116</v>
      </c>
      <c r="O3" s="117" t="s">
        <v>116</v>
      </c>
      <c r="P3" s="117" t="s">
        <v>116</v>
      </c>
      <c r="Q3" s="117" t="s">
        <v>116</v>
      </c>
      <c r="R3" s="117">
        <f t="shared" si="0"/>
        <v>1</v>
      </c>
      <c r="S3" s="117" t="s">
        <v>117</v>
      </c>
      <c r="T3" s="120"/>
      <c r="U3" s="117">
        <v>7</v>
      </c>
      <c r="V3" s="117">
        <v>0</v>
      </c>
      <c r="W3" s="117"/>
      <c r="X3" s="116" t="s">
        <v>117</v>
      </c>
      <c r="Y3" s="116">
        <v>0</v>
      </c>
      <c r="Z3" s="118">
        <v>3.05</v>
      </c>
      <c r="AC3" s="443" t="s">
        <v>126</v>
      </c>
      <c r="AD3" s="444"/>
      <c r="AE3" s="445"/>
      <c r="AF3" s="130">
        <f>COUNT(Z2:Z55)</f>
        <v>54</v>
      </c>
    </row>
    <row r="4" spans="1:32" s="135" customFormat="1" ht="25.5" customHeight="1">
      <c r="A4" s="119">
        <f t="shared" ref="A4:A55" si="1">A3+1</f>
        <v>3</v>
      </c>
      <c r="B4" s="119" t="s">
        <v>144</v>
      </c>
      <c r="C4" s="251">
        <v>44685</v>
      </c>
      <c r="D4" s="113" t="s">
        <v>88</v>
      </c>
      <c r="E4" s="113" t="s">
        <v>115</v>
      </c>
      <c r="F4" s="114">
        <v>1</v>
      </c>
      <c r="G4" s="250" t="s">
        <v>222</v>
      </c>
      <c r="H4" s="250" t="s">
        <v>223</v>
      </c>
      <c r="I4" s="250"/>
      <c r="J4" s="250" t="s">
        <v>224</v>
      </c>
      <c r="K4" s="250" t="s">
        <v>225</v>
      </c>
      <c r="L4" s="250" t="s">
        <v>226</v>
      </c>
      <c r="M4" s="250" t="s">
        <v>193</v>
      </c>
      <c r="N4" s="115" t="s">
        <v>116</v>
      </c>
      <c r="O4" s="116" t="s">
        <v>116</v>
      </c>
      <c r="P4" s="116" t="s">
        <v>116</v>
      </c>
      <c r="Q4" s="116" t="s">
        <v>116</v>
      </c>
      <c r="R4" s="117">
        <f t="shared" si="0"/>
        <v>1</v>
      </c>
      <c r="S4" s="116" t="s">
        <v>117</v>
      </c>
      <c r="T4" s="116"/>
      <c r="U4" s="116">
        <v>7</v>
      </c>
      <c r="V4" s="116">
        <v>0</v>
      </c>
      <c r="W4" s="116"/>
      <c r="X4" s="116" t="s">
        <v>117</v>
      </c>
      <c r="Y4" s="116">
        <v>0</v>
      </c>
      <c r="Z4" s="118">
        <v>3.67</v>
      </c>
      <c r="AC4" s="443" t="s">
        <v>127</v>
      </c>
      <c r="AD4" s="444"/>
      <c r="AE4" s="445"/>
      <c r="AF4" s="131">
        <f>R56</f>
        <v>1</v>
      </c>
    </row>
    <row r="5" spans="1:32" s="135" customFormat="1" ht="33" customHeight="1">
      <c r="A5" s="119">
        <f>A4+1</f>
        <v>4</v>
      </c>
      <c r="B5" s="119" t="s">
        <v>145</v>
      </c>
      <c r="C5" s="251">
        <v>44685</v>
      </c>
      <c r="D5" s="113" t="s">
        <v>88</v>
      </c>
      <c r="E5" s="113" t="s">
        <v>115</v>
      </c>
      <c r="F5" s="114">
        <v>1</v>
      </c>
      <c r="G5" s="250" t="s">
        <v>227</v>
      </c>
      <c r="H5" s="250" t="s">
        <v>228</v>
      </c>
      <c r="I5" s="250"/>
      <c r="J5" s="250" t="s">
        <v>229</v>
      </c>
      <c r="K5" s="250" t="s">
        <v>225</v>
      </c>
      <c r="L5" s="250" t="s">
        <v>226</v>
      </c>
      <c r="M5" s="250" t="s">
        <v>193</v>
      </c>
      <c r="N5" s="115" t="s">
        <v>116</v>
      </c>
      <c r="O5" s="116" t="s">
        <v>116</v>
      </c>
      <c r="P5" s="116" t="s">
        <v>116</v>
      </c>
      <c r="Q5" s="116" t="s">
        <v>116</v>
      </c>
      <c r="R5" s="117">
        <f t="shared" si="0"/>
        <v>1</v>
      </c>
      <c r="S5" s="116" t="s">
        <v>117</v>
      </c>
      <c r="T5" s="116"/>
      <c r="U5" s="116">
        <v>7</v>
      </c>
      <c r="V5" s="116">
        <v>0</v>
      </c>
      <c r="W5" s="116"/>
      <c r="X5" s="116" t="s">
        <v>117</v>
      </c>
      <c r="Y5" s="116">
        <v>0</v>
      </c>
      <c r="Z5" s="118">
        <v>4.3499999999999996</v>
      </c>
      <c r="AC5" s="437" t="s">
        <v>128</v>
      </c>
      <c r="AD5" s="438"/>
      <c r="AE5" s="439"/>
      <c r="AF5" s="131">
        <f>SQRT((1-(AF3/'sample size calculation'!K31))*(AF4*(1-AF4)/AF3))</f>
        <v>0</v>
      </c>
    </row>
    <row r="6" spans="1:32" s="135" customFormat="1">
      <c r="A6" s="119">
        <f t="shared" si="1"/>
        <v>5</v>
      </c>
      <c r="B6" s="119" t="s">
        <v>146</v>
      </c>
      <c r="C6" s="251">
        <v>44688</v>
      </c>
      <c r="D6" s="113" t="s">
        <v>88</v>
      </c>
      <c r="E6" s="113" t="s">
        <v>115</v>
      </c>
      <c r="F6" s="114">
        <v>1</v>
      </c>
      <c r="G6" t="s">
        <v>230</v>
      </c>
      <c r="H6" t="s">
        <v>231</v>
      </c>
      <c r="I6" t="s">
        <v>232</v>
      </c>
      <c r="J6" t="s">
        <v>233</v>
      </c>
      <c r="K6" t="s">
        <v>234</v>
      </c>
      <c r="L6" t="s">
        <v>226</v>
      </c>
      <c r="M6" t="s">
        <v>193</v>
      </c>
      <c r="N6" s="115" t="s">
        <v>116</v>
      </c>
      <c r="O6" s="116" t="s">
        <v>116</v>
      </c>
      <c r="P6" s="116" t="s">
        <v>116</v>
      </c>
      <c r="Q6" s="116" t="s">
        <v>116</v>
      </c>
      <c r="R6" s="117">
        <f t="shared" si="0"/>
        <v>1</v>
      </c>
      <c r="S6" s="116" t="s">
        <v>117</v>
      </c>
      <c r="T6" s="116"/>
      <c r="U6" s="116">
        <v>7</v>
      </c>
      <c r="V6" s="116">
        <v>0</v>
      </c>
      <c r="W6" s="116"/>
      <c r="X6" s="116" t="s">
        <v>117</v>
      </c>
      <c r="Y6" s="116">
        <v>0</v>
      </c>
      <c r="Z6" s="118">
        <v>3.14</v>
      </c>
      <c r="AC6" s="437" t="s">
        <v>129</v>
      </c>
      <c r="AD6" s="438"/>
      <c r="AE6" s="439"/>
      <c r="AF6" s="136">
        <f>AF4+('sample size calculation'!B9*SQRT(1-AF3/'sample size calculation'!K31)*SQRT(AF4*(1-AF4)/AF3))</f>
        <v>1</v>
      </c>
    </row>
    <row r="7" spans="1:32" s="135" customFormat="1">
      <c r="A7" s="119">
        <f t="shared" si="1"/>
        <v>6</v>
      </c>
      <c r="B7" s="119" t="s">
        <v>147</v>
      </c>
      <c r="C7" s="251">
        <v>44688</v>
      </c>
      <c r="D7" s="113" t="s">
        <v>88</v>
      </c>
      <c r="E7" s="113" t="s">
        <v>115</v>
      </c>
      <c r="F7" s="114">
        <v>1</v>
      </c>
      <c r="G7" t="s">
        <v>235</v>
      </c>
      <c r="H7" t="s">
        <v>236</v>
      </c>
      <c r="I7" t="s">
        <v>237</v>
      </c>
      <c r="J7" t="s">
        <v>238</v>
      </c>
      <c r="K7" t="s">
        <v>239</v>
      </c>
      <c r="L7" t="s">
        <v>226</v>
      </c>
      <c r="M7" t="s">
        <v>193</v>
      </c>
      <c r="N7" s="115" t="s">
        <v>116</v>
      </c>
      <c r="O7" s="116" t="s">
        <v>116</v>
      </c>
      <c r="P7" s="116" t="s">
        <v>116</v>
      </c>
      <c r="Q7" s="116" t="s">
        <v>116</v>
      </c>
      <c r="R7" s="117">
        <f t="shared" si="0"/>
        <v>1</v>
      </c>
      <c r="S7" s="116" t="s">
        <v>117</v>
      </c>
      <c r="T7" s="116"/>
      <c r="U7" s="116">
        <v>7</v>
      </c>
      <c r="V7" s="116">
        <v>0</v>
      </c>
      <c r="W7" s="116"/>
      <c r="X7" s="116" t="s">
        <v>117</v>
      </c>
      <c r="Y7" s="116">
        <v>0</v>
      </c>
      <c r="Z7" s="118">
        <v>4.08</v>
      </c>
      <c r="AC7" s="437" t="s">
        <v>130</v>
      </c>
      <c r="AD7" s="438"/>
      <c r="AE7" s="439"/>
      <c r="AF7" s="132">
        <f>AF4-('sample size calculation'!B9*SQRT(1-(AF3/'sample size calculation'!K31))*SQRT(AF4*(1-AF4)/AF3))</f>
        <v>1</v>
      </c>
    </row>
    <row r="8" spans="1:32" s="135" customFormat="1" ht="30" customHeight="1">
      <c r="A8" s="119">
        <f t="shared" si="1"/>
        <v>7</v>
      </c>
      <c r="B8" s="119" t="s">
        <v>148</v>
      </c>
      <c r="C8" s="251">
        <v>44719</v>
      </c>
      <c r="D8" s="113" t="s">
        <v>88</v>
      </c>
      <c r="E8" s="113" t="s">
        <v>115</v>
      </c>
      <c r="F8" s="114">
        <v>1</v>
      </c>
      <c r="G8" t="s">
        <v>240</v>
      </c>
      <c r="H8" t="s">
        <v>241</v>
      </c>
      <c r="I8"/>
      <c r="J8" t="s">
        <v>242</v>
      </c>
      <c r="K8" t="s">
        <v>243</v>
      </c>
      <c r="L8" t="s">
        <v>194</v>
      </c>
      <c r="M8" t="s">
        <v>194</v>
      </c>
      <c r="N8" s="120" t="s">
        <v>116</v>
      </c>
      <c r="O8" s="117" t="s">
        <v>116</v>
      </c>
      <c r="P8" s="117" t="s">
        <v>116</v>
      </c>
      <c r="Q8" s="117" t="s">
        <v>116</v>
      </c>
      <c r="R8" s="117">
        <f>IF(O8="Yes",1)</f>
        <v>1</v>
      </c>
      <c r="S8" s="117" t="s">
        <v>117</v>
      </c>
      <c r="T8" s="117"/>
      <c r="U8" s="117">
        <v>7</v>
      </c>
      <c r="V8" s="117">
        <v>0</v>
      </c>
      <c r="W8" s="117"/>
      <c r="X8" s="116" t="s">
        <v>117</v>
      </c>
      <c r="Y8" s="116">
        <v>0</v>
      </c>
      <c r="Z8" s="118">
        <v>3.56</v>
      </c>
      <c r="AC8" s="443" t="s">
        <v>131</v>
      </c>
      <c r="AD8" s="444"/>
      <c r="AE8" s="445"/>
      <c r="AF8" s="133">
        <f>('sample size calculation'!B9*AF5)/AF6</f>
        <v>0</v>
      </c>
    </row>
    <row r="9" spans="1:32" s="135" customFormat="1">
      <c r="A9" s="119">
        <f t="shared" si="1"/>
        <v>8</v>
      </c>
      <c r="B9" s="119" t="s">
        <v>149</v>
      </c>
      <c r="C9" s="251">
        <v>44693</v>
      </c>
      <c r="D9" s="113" t="s">
        <v>88</v>
      </c>
      <c r="E9" s="113" t="s">
        <v>115</v>
      </c>
      <c r="F9" s="114">
        <v>1</v>
      </c>
      <c r="G9" t="s">
        <v>244</v>
      </c>
      <c r="H9" t="s">
        <v>245</v>
      </c>
      <c r="I9"/>
      <c r="J9" t="s">
        <v>246</v>
      </c>
      <c r="K9" t="s">
        <v>247</v>
      </c>
      <c r="L9" t="s">
        <v>248</v>
      </c>
      <c r="M9" t="s">
        <v>193</v>
      </c>
      <c r="N9" s="120" t="s">
        <v>116</v>
      </c>
      <c r="O9" s="117" t="s">
        <v>116</v>
      </c>
      <c r="P9" s="117" t="s">
        <v>116</v>
      </c>
      <c r="Q9" s="117" t="s">
        <v>116</v>
      </c>
      <c r="R9" s="117">
        <f t="shared" si="0"/>
        <v>1</v>
      </c>
      <c r="S9" s="117" t="s">
        <v>117</v>
      </c>
      <c r="T9" s="117"/>
      <c r="U9" s="117">
        <v>7</v>
      </c>
      <c r="V9" s="117">
        <v>0</v>
      </c>
      <c r="W9" s="117"/>
      <c r="X9" s="116" t="s">
        <v>117</v>
      </c>
      <c r="Y9" s="116">
        <v>0</v>
      </c>
      <c r="Z9" s="118">
        <v>3.67</v>
      </c>
      <c r="AC9" s="443" t="s">
        <v>132</v>
      </c>
      <c r="AD9" s="444"/>
      <c r="AE9" s="445"/>
      <c r="AF9" s="133">
        <f>(AF4-AF7)/AF4</f>
        <v>0</v>
      </c>
    </row>
    <row r="10" spans="1:32" s="135" customFormat="1" ht="24.75" customHeight="1">
      <c r="A10" s="119">
        <f t="shared" si="1"/>
        <v>9</v>
      </c>
      <c r="B10" s="119" t="s">
        <v>150</v>
      </c>
      <c r="C10" s="251">
        <v>44695</v>
      </c>
      <c r="D10" s="113" t="s">
        <v>88</v>
      </c>
      <c r="E10" s="113" t="s">
        <v>115</v>
      </c>
      <c r="F10" s="114">
        <v>1</v>
      </c>
      <c r="G10" t="s">
        <v>249</v>
      </c>
      <c r="H10" t="s">
        <v>250</v>
      </c>
      <c r="I10" t="s">
        <v>251</v>
      </c>
      <c r="J10" t="s">
        <v>252</v>
      </c>
      <c r="K10" t="s">
        <v>253</v>
      </c>
      <c r="L10" t="s">
        <v>248</v>
      </c>
      <c r="M10" t="s">
        <v>193</v>
      </c>
      <c r="N10" s="115" t="s">
        <v>116</v>
      </c>
      <c r="O10" s="116" t="s">
        <v>116</v>
      </c>
      <c r="P10" s="116" t="s">
        <v>116</v>
      </c>
      <c r="Q10" s="116" t="s">
        <v>116</v>
      </c>
      <c r="R10" s="117">
        <f>IF(O10="Yes",1)</f>
        <v>1</v>
      </c>
      <c r="S10" s="116" t="s">
        <v>117</v>
      </c>
      <c r="T10" s="116"/>
      <c r="U10" s="116">
        <v>7</v>
      </c>
      <c r="V10" s="116">
        <v>0</v>
      </c>
      <c r="W10" s="116"/>
      <c r="X10" s="116" t="s">
        <v>117</v>
      </c>
      <c r="Y10" s="116">
        <v>0</v>
      </c>
      <c r="Z10" s="118">
        <v>4.5199999999999996</v>
      </c>
      <c r="AC10" s="443" t="s">
        <v>133</v>
      </c>
      <c r="AD10" s="444"/>
      <c r="AE10" s="445"/>
      <c r="AF10" s="137" t="str">
        <f>IF(AF8&lt;='sample size calculation'!B8,"Ok, reliability level met","Use Lower Bound Value")</f>
        <v>Ok, reliability level met</v>
      </c>
    </row>
    <row r="11" spans="1:32" s="135" customFormat="1" ht="30.75" customHeight="1" thickBot="1">
      <c r="A11" s="119">
        <f t="shared" si="1"/>
        <v>10</v>
      </c>
      <c r="B11" s="119" t="s">
        <v>153</v>
      </c>
      <c r="C11" s="251">
        <v>44935</v>
      </c>
      <c r="D11" s="113" t="s">
        <v>88</v>
      </c>
      <c r="E11" s="113" t="s">
        <v>115</v>
      </c>
      <c r="F11" s="114">
        <v>1</v>
      </c>
      <c r="G11" t="s">
        <v>254</v>
      </c>
      <c r="H11" t="s">
        <v>255</v>
      </c>
      <c r="I11"/>
      <c r="J11" t="s">
        <v>256</v>
      </c>
      <c r="K11" t="s">
        <v>257</v>
      </c>
      <c r="L11" t="s">
        <v>248</v>
      </c>
      <c r="M11" t="s">
        <v>193</v>
      </c>
      <c r="N11" s="115" t="s">
        <v>116</v>
      </c>
      <c r="O11" s="116" t="s">
        <v>116</v>
      </c>
      <c r="P11" s="116" t="s">
        <v>116</v>
      </c>
      <c r="Q11" s="116" t="s">
        <v>116</v>
      </c>
      <c r="R11" s="117">
        <f>IF(O11="Yes",1)</f>
        <v>1</v>
      </c>
      <c r="S11" s="116" t="s">
        <v>117</v>
      </c>
      <c r="T11" s="116"/>
      <c r="U11" s="116">
        <v>7</v>
      </c>
      <c r="V11" s="116">
        <v>0</v>
      </c>
      <c r="W11" s="116"/>
      <c r="X11" s="116" t="s">
        <v>117</v>
      </c>
      <c r="Y11" s="116">
        <v>0</v>
      </c>
      <c r="Z11" s="118">
        <v>3.92</v>
      </c>
      <c r="AC11" s="446" t="s">
        <v>134</v>
      </c>
      <c r="AD11" s="447"/>
      <c r="AE11" s="448"/>
      <c r="AF11" s="134" t="s">
        <v>135</v>
      </c>
    </row>
    <row r="12" spans="1:32" s="135" customFormat="1">
      <c r="A12" s="119">
        <f>A11+1</f>
        <v>11</v>
      </c>
      <c r="B12" s="119" t="s">
        <v>154</v>
      </c>
      <c r="C12" s="251">
        <v>44776</v>
      </c>
      <c r="D12" s="113" t="s">
        <v>88</v>
      </c>
      <c r="E12" s="113" t="s">
        <v>115</v>
      </c>
      <c r="F12" s="114">
        <v>1</v>
      </c>
      <c r="G12" t="s">
        <v>258</v>
      </c>
      <c r="H12" t="s">
        <v>259</v>
      </c>
      <c r="I12"/>
      <c r="J12" t="s">
        <v>260</v>
      </c>
      <c r="K12" t="s">
        <v>261</v>
      </c>
      <c r="L12" t="s">
        <v>262</v>
      </c>
      <c r="M12" t="s">
        <v>263</v>
      </c>
      <c r="N12" s="115" t="s">
        <v>116</v>
      </c>
      <c r="O12" s="116" t="s">
        <v>116</v>
      </c>
      <c r="P12" s="116" t="s">
        <v>116</v>
      </c>
      <c r="Q12" s="116" t="s">
        <v>116</v>
      </c>
      <c r="R12" s="117">
        <f>IF(O12="Yes",1)</f>
        <v>1</v>
      </c>
      <c r="S12" s="116" t="s">
        <v>117</v>
      </c>
      <c r="T12" s="116"/>
      <c r="U12" s="116">
        <v>7</v>
      </c>
      <c r="V12" s="116">
        <v>0</v>
      </c>
      <c r="W12" s="116"/>
      <c r="X12" s="116" t="s">
        <v>117</v>
      </c>
      <c r="Y12" s="116">
        <v>0</v>
      </c>
      <c r="Z12" s="118">
        <v>3.85</v>
      </c>
    </row>
    <row r="13" spans="1:32" s="135" customFormat="1">
      <c r="A13" s="119">
        <f t="shared" si="1"/>
        <v>12</v>
      </c>
      <c r="B13" s="119" t="s">
        <v>155</v>
      </c>
      <c r="C13" s="251">
        <v>44775</v>
      </c>
      <c r="D13" s="113" t="s">
        <v>88</v>
      </c>
      <c r="E13" s="113" t="s">
        <v>115</v>
      </c>
      <c r="F13" s="114">
        <v>1</v>
      </c>
      <c r="G13" t="s">
        <v>264</v>
      </c>
      <c r="H13" t="s">
        <v>265</v>
      </c>
      <c r="I13"/>
      <c r="J13" t="s">
        <v>266</v>
      </c>
      <c r="K13" t="s">
        <v>267</v>
      </c>
      <c r="L13" t="s">
        <v>268</v>
      </c>
      <c r="M13" t="s">
        <v>263</v>
      </c>
      <c r="N13" s="115" t="s">
        <v>116</v>
      </c>
      <c r="O13" s="116" t="s">
        <v>116</v>
      </c>
      <c r="P13" s="116" t="s">
        <v>116</v>
      </c>
      <c r="Q13" s="116" t="s">
        <v>116</v>
      </c>
      <c r="R13" s="117">
        <f>IF(O13="Yes",1)</f>
        <v>1</v>
      </c>
      <c r="S13" s="116" t="s">
        <v>116</v>
      </c>
      <c r="T13" s="116" t="s">
        <v>116</v>
      </c>
      <c r="U13" s="116">
        <v>5</v>
      </c>
      <c r="V13" s="116">
        <v>0</v>
      </c>
      <c r="W13" s="116">
        <v>2</v>
      </c>
      <c r="X13" s="116" t="s">
        <v>117</v>
      </c>
      <c r="Y13" s="116">
        <v>1.26</v>
      </c>
      <c r="Z13" s="118">
        <v>3.25</v>
      </c>
    </row>
    <row r="14" spans="1:32" s="135" customFormat="1">
      <c r="A14" s="119">
        <f t="shared" si="1"/>
        <v>13</v>
      </c>
      <c r="B14" s="119" t="s">
        <v>156</v>
      </c>
      <c r="C14" s="251">
        <v>44780</v>
      </c>
      <c r="D14" s="113" t="s">
        <v>88</v>
      </c>
      <c r="E14" s="113" t="s">
        <v>115</v>
      </c>
      <c r="F14" s="114">
        <v>1</v>
      </c>
      <c r="G14" t="s">
        <v>269</v>
      </c>
      <c r="H14" t="s">
        <v>270</v>
      </c>
      <c r="I14"/>
      <c r="J14" t="s">
        <v>271</v>
      </c>
      <c r="K14" t="s">
        <v>272</v>
      </c>
      <c r="L14" t="s">
        <v>273</v>
      </c>
      <c r="M14" t="s">
        <v>263</v>
      </c>
      <c r="N14" s="115" t="s">
        <v>116</v>
      </c>
      <c r="O14" s="116" t="s">
        <v>116</v>
      </c>
      <c r="P14" s="116" t="s">
        <v>116</v>
      </c>
      <c r="Q14" s="116" t="s">
        <v>116</v>
      </c>
      <c r="R14" s="117">
        <f>IF(O14="Yes",1)</f>
        <v>1</v>
      </c>
      <c r="S14" s="116" t="s">
        <v>117</v>
      </c>
      <c r="T14" s="116"/>
      <c r="U14" s="116">
        <v>7</v>
      </c>
      <c r="V14" s="116">
        <v>0</v>
      </c>
      <c r="W14" s="116"/>
      <c r="X14" s="116" t="s">
        <v>117</v>
      </c>
      <c r="Y14" s="116">
        <v>0</v>
      </c>
      <c r="Z14" s="118">
        <v>3.37</v>
      </c>
    </row>
    <row r="15" spans="1:32" s="135" customFormat="1" ht="15.75" thickBot="1">
      <c r="A15" s="119">
        <f t="shared" si="1"/>
        <v>14</v>
      </c>
      <c r="B15" s="119" t="s">
        <v>157</v>
      </c>
      <c r="C15" s="251">
        <v>44780</v>
      </c>
      <c r="D15" s="113" t="s">
        <v>88</v>
      </c>
      <c r="E15" s="113" t="s">
        <v>115</v>
      </c>
      <c r="F15" s="114">
        <v>1</v>
      </c>
      <c r="G15" t="s">
        <v>274</v>
      </c>
      <c r="H15" t="s">
        <v>275</v>
      </c>
      <c r="I15"/>
      <c r="J15" t="s">
        <v>276</v>
      </c>
      <c r="K15" t="s">
        <v>277</v>
      </c>
      <c r="L15" t="s">
        <v>273</v>
      </c>
      <c r="M15" t="s">
        <v>263</v>
      </c>
      <c r="N15" s="121" t="s">
        <v>116</v>
      </c>
      <c r="O15" s="122" t="s">
        <v>116</v>
      </c>
      <c r="P15" s="122" t="s">
        <v>116</v>
      </c>
      <c r="Q15" s="122" t="s">
        <v>116</v>
      </c>
      <c r="R15" s="117">
        <f t="shared" ref="R15:R50" si="2">IF(O15="Yes",1)</f>
        <v>1</v>
      </c>
      <c r="S15" s="122" t="s">
        <v>117</v>
      </c>
      <c r="T15" s="122"/>
      <c r="U15" s="122">
        <v>7</v>
      </c>
      <c r="V15" s="122">
        <v>0</v>
      </c>
      <c r="W15" s="122"/>
      <c r="X15" s="116" t="s">
        <v>117</v>
      </c>
      <c r="Y15" s="116">
        <v>0</v>
      </c>
      <c r="Z15" s="118">
        <v>3.09</v>
      </c>
    </row>
    <row r="16" spans="1:32" s="135" customFormat="1">
      <c r="A16" s="119">
        <f t="shared" si="1"/>
        <v>15</v>
      </c>
      <c r="B16" s="119" t="s">
        <v>151</v>
      </c>
      <c r="C16" s="251">
        <v>44810</v>
      </c>
      <c r="D16" s="113" t="s">
        <v>88</v>
      </c>
      <c r="E16" s="113" t="s">
        <v>115</v>
      </c>
      <c r="F16" s="114">
        <v>1</v>
      </c>
      <c r="G16" t="s">
        <v>278</v>
      </c>
      <c r="H16" t="s">
        <v>279</v>
      </c>
      <c r="I16"/>
      <c r="J16" t="s">
        <v>280</v>
      </c>
      <c r="K16" t="s">
        <v>281</v>
      </c>
      <c r="L16" t="s">
        <v>263</v>
      </c>
      <c r="M16" t="s">
        <v>263</v>
      </c>
      <c r="N16" s="121" t="s">
        <v>116</v>
      </c>
      <c r="O16" s="122" t="s">
        <v>116</v>
      </c>
      <c r="P16" s="122" t="s">
        <v>116</v>
      </c>
      <c r="Q16" s="122" t="s">
        <v>116</v>
      </c>
      <c r="R16" s="117">
        <f t="shared" si="2"/>
        <v>1</v>
      </c>
      <c r="S16" s="122" t="s">
        <v>117</v>
      </c>
      <c r="T16" s="122"/>
      <c r="U16" s="122">
        <v>7</v>
      </c>
      <c r="V16" s="122">
        <v>0</v>
      </c>
      <c r="W16" s="122"/>
      <c r="X16" s="116" t="s">
        <v>117</v>
      </c>
      <c r="Y16" s="116">
        <v>0</v>
      </c>
      <c r="Z16" s="118">
        <v>3.55</v>
      </c>
      <c r="AC16" s="449" t="s">
        <v>136</v>
      </c>
      <c r="AD16" s="450"/>
      <c r="AE16" s="450"/>
      <c r="AF16" s="451"/>
    </row>
    <row r="17" spans="1:32" s="135" customFormat="1">
      <c r="A17" s="119">
        <f t="shared" si="1"/>
        <v>16</v>
      </c>
      <c r="B17" s="119" t="s">
        <v>152</v>
      </c>
      <c r="C17" s="251">
        <v>44808</v>
      </c>
      <c r="D17" s="113" t="s">
        <v>88</v>
      </c>
      <c r="E17" s="113" t="s">
        <v>115</v>
      </c>
      <c r="F17" s="114">
        <v>1</v>
      </c>
      <c r="G17" t="s">
        <v>282</v>
      </c>
      <c r="H17" t="s">
        <v>283</v>
      </c>
      <c r="I17"/>
      <c r="J17" t="s">
        <v>284</v>
      </c>
      <c r="K17" t="s">
        <v>285</v>
      </c>
      <c r="L17" t="s">
        <v>273</v>
      </c>
      <c r="M17" t="s">
        <v>263</v>
      </c>
      <c r="N17" s="121" t="s">
        <v>116</v>
      </c>
      <c r="O17" s="122" t="s">
        <v>116</v>
      </c>
      <c r="P17" s="122" t="s">
        <v>116</v>
      </c>
      <c r="Q17" s="122" t="s">
        <v>116</v>
      </c>
      <c r="R17" s="117">
        <f t="shared" si="2"/>
        <v>1</v>
      </c>
      <c r="S17" s="122" t="s">
        <v>117</v>
      </c>
      <c r="T17" s="122"/>
      <c r="U17" s="122">
        <v>7</v>
      </c>
      <c r="V17" s="122">
        <v>0</v>
      </c>
      <c r="W17" s="122"/>
      <c r="X17" s="116" t="s">
        <v>117</v>
      </c>
      <c r="Y17" s="116">
        <v>0</v>
      </c>
      <c r="Z17" s="118">
        <v>4.0599999999999996</v>
      </c>
      <c r="AC17" s="443" t="s">
        <v>126</v>
      </c>
      <c r="AD17" s="444"/>
      <c r="AE17" s="445"/>
      <c r="AF17" s="130">
        <f>COUNT(Z2:Z55)</f>
        <v>54</v>
      </c>
    </row>
    <row r="18" spans="1:32" s="135" customFormat="1">
      <c r="A18" s="119">
        <f t="shared" si="1"/>
        <v>17</v>
      </c>
      <c r="B18" s="119" t="s">
        <v>158</v>
      </c>
      <c r="C18" s="251">
        <v>44813</v>
      </c>
      <c r="D18" s="113" t="s">
        <v>88</v>
      </c>
      <c r="E18" s="113" t="s">
        <v>115</v>
      </c>
      <c r="F18" s="114">
        <v>1</v>
      </c>
      <c r="G18" t="s">
        <v>286</v>
      </c>
      <c r="H18" t="s">
        <v>287</v>
      </c>
      <c r="I18"/>
      <c r="J18" t="s">
        <v>288</v>
      </c>
      <c r="K18" t="s">
        <v>289</v>
      </c>
      <c r="L18" t="s">
        <v>290</v>
      </c>
      <c r="M18" t="s">
        <v>263</v>
      </c>
      <c r="N18" s="121" t="s">
        <v>116</v>
      </c>
      <c r="O18" s="122" t="s">
        <v>116</v>
      </c>
      <c r="P18" s="122" t="s">
        <v>116</v>
      </c>
      <c r="Q18" s="122" t="s">
        <v>116</v>
      </c>
      <c r="R18" s="117">
        <f t="shared" si="2"/>
        <v>1</v>
      </c>
      <c r="S18" s="122" t="s">
        <v>117</v>
      </c>
      <c r="T18" s="122"/>
      <c r="U18" s="122">
        <v>7</v>
      </c>
      <c r="V18" s="122">
        <v>0</v>
      </c>
      <c r="W18" s="122"/>
      <c r="X18" s="116" t="s">
        <v>117</v>
      </c>
      <c r="Y18" s="116">
        <v>0</v>
      </c>
      <c r="Z18" s="118">
        <v>4.25</v>
      </c>
      <c r="AC18" s="443" t="s">
        <v>137</v>
      </c>
      <c r="AD18" s="444"/>
      <c r="AE18" s="445"/>
      <c r="AF18" s="131">
        <f>Z56</f>
        <v>3.8137037037037036</v>
      </c>
    </row>
    <row r="19" spans="1:32" s="135" customFormat="1">
      <c r="A19" s="119">
        <f t="shared" si="1"/>
        <v>18</v>
      </c>
      <c r="B19" s="119" t="s">
        <v>201</v>
      </c>
      <c r="C19" s="251">
        <v>44814</v>
      </c>
      <c r="D19" s="113" t="s">
        <v>88</v>
      </c>
      <c r="E19" s="113" t="s">
        <v>115</v>
      </c>
      <c r="F19" s="114">
        <v>1</v>
      </c>
      <c r="G19" t="s">
        <v>291</v>
      </c>
      <c r="H19" t="s">
        <v>292</v>
      </c>
      <c r="I19"/>
      <c r="J19" t="s">
        <v>293</v>
      </c>
      <c r="K19" t="s">
        <v>294</v>
      </c>
      <c r="L19" t="s">
        <v>295</v>
      </c>
      <c r="M19" t="s">
        <v>263</v>
      </c>
      <c r="N19" s="121" t="s">
        <v>116</v>
      </c>
      <c r="O19" s="122" t="s">
        <v>116</v>
      </c>
      <c r="P19" s="122" t="s">
        <v>116</v>
      </c>
      <c r="Q19" s="122" t="s">
        <v>116</v>
      </c>
      <c r="R19" s="117">
        <f t="shared" si="2"/>
        <v>1</v>
      </c>
      <c r="S19" s="122" t="s">
        <v>117</v>
      </c>
      <c r="T19" s="122"/>
      <c r="U19" s="122">
        <v>7</v>
      </c>
      <c r="V19" s="122">
        <v>0</v>
      </c>
      <c r="W19" s="122"/>
      <c r="X19" s="116" t="s">
        <v>117</v>
      </c>
      <c r="Y19" s="116">
        <v>0</v>
      </c>
      <c r="Z19" s="118">
        <v>3.96</v>
      </c>
      <c r="AC19" s="437" t="s">
        <v>138</v>
      </c>
      <c r="AD19" s="438"/>
      <c r="AE19" s="439"/>
      <c r="AF19" s="131">
        <f>_xlfn.STDEV.S(Z2:Z55)</f>
        <v>0.47274907100593255</v>
      </c>
    </row>
    <row r="20" spans="1:32" s="135" customFormat="1" ht="15" customHeight="1">
      <c r="A20" s="119">
        <f t="shared" si="1"/>
        <v>19</v>
      </c>
      <c r="B20" s="119" t="s">
        <v>159</v>
      </c>
      <c r="C20" s="251">
        <v>44814</v>
      </c>
      <c r="D20" s="113" t="s">
        <v>88</v>
      </c>
      <c r="E20" s="113" t="s">
        <v>115</v>
      </c>
      <c r="F20" s="114">
        <v>1</v>
      </c>
      <c r="G20" t="s">
        <v>296</v>
      </c>
      <c r="H20" t="s">
        <v>297</v>
      </c>
      <c r="I20"/>
      <c r="J20" t="s">
        <v>298</v>
      </c>
      <c r="K20" t="s">
        <v>299</v>
      </c>
      <c r="L20" t="s">
        <v>295</v>
      </c>
      <c r="M20" t="s">
        <v>263</v>
      </c>
      <c r="N20" s="120" t="s">
        <v>116</v>
      </c>
      <c r="O20" s="117" t="s">
        <v>116</v>
      </c>
      <c r="P20" s="117" t="s">
        <v>116</v>
      </c>
      <c r="Q20" s="117" t="s">
        <v>116</v>
      </c>
      <c r="R20" s="117">
        <f t="shared" si="2"/>
        <v>1</v>
      </c>
      <c r="S20" s="117" t="s">
        <v>117</v>
      </c>
      <c r="T20" s="117"/>
      <c r="U20" s="117">
        <v>7</v>
      </c>
      <c r="V20" s="117">
        <v>0</v>
      </c>
      <c r="W20" s="117"/>
      <c r="X20" s="116" t="s">
        <v>117</v>
      </c>
      <c r="Y20" s="116">
        <v>0</v>
      </c>
      <c r="Z20" s="118">
        <v>3.85</v>
      </c>
    </row>
    <row r="21" spans="1:32" s="135" customFormat="1" ht="15" customHeight="1">
      <c r="A21" s="119">
        <f t="shared" si="1"/>
        <v>20</v>
      </c>
      <c r="B21" s="119" t="s">
        <v>191</v>
      </c>
      <c r="C21" s="251">
        <v>44867</v>
      </c>
      <c r="D21" s="113" t="s">
        <v>88</v>
      </c>
      <c r="E21" s="113" t="s">
        <v>115</v>
      </c>
      <c r="F21" s="114">
        <v>1</v>
      </c>
      <c r="G21" t="s">
        <v>300</v>
      </c>
      <c r="H21" t="s">
        <v>301</v>
      </c>
      <c r="I21"/>
      <c r="J21" t="s">
        <v>302</v>
      </c>
      <c r="K21" t="s">
        <v>303</v>
      </c>
      <c r="L21" t="s">
        <v>304</v>
      </c>
      <c r="M21" t="s">
        <v>305</v>
      </c>
      <c r="N21" s="120" t="s">
        <v>116</v>
      </c>
      <c r="O21" s="117" t="s">
        <v>116</v>
      </c>
      <c r="P21" s="117" t="s">
        <v>116</v>
      </c>
      <c r="Q21" s="117" t="s">
        <v>116</v>
      </c>
      <c r="R21" s="117">
        <f t="shared" si="2"/>
        <v>1</v>
      </c>
      <c r="S21" s="117" t="s">
        <v>117</v>
      </c>
      <c r="T21" s="117"/>
      <c r="U21" s="117">
        <v>7</v>
      </c>
      <c r="V21" s="117">
        <v>0</v>
      </c>
      <c r="W21" s="117"/>
      <c r="X21" s="116" t="s">
        <v>117</v>
      </c>
      <c r="Y21" s="116">
        <v>0</v>
      </c>
      <c r="Z21" s="118">
        <v>4.33</v>
      </c>
    </row>
    <row r="22" spans="1:32" s="135" customFormat="1" ht="15" customHeight="1">
      <c r="A22" s="119">
        <f t="shared" si="1"/>
        <v>21</v>
      </c>
      <c r="B22" s="119" t="s">
        <v>192</v>
      </c>
      <c r="C22" s="251">
        <v>44868</v>
      </c>
      <c r="D22" s="113" t="s">
        <v>88</v>
      </c>
      <c r="E22" s="113" t="s">
        <v>115</v>
      </c>
      <c r="F22" s="114">
        <v>1</v>
      </c>
      <c r="G22" t="s">
        <v>306</v>
      </c>
      <c r="H22" t="s">
        <v>307</v>
      </c>
      <c r="I22" t="s">
        <v>308</v>
      </c>
      <c r="J22" t="s">
        <v>309</v>
      </c>
      <c r="K22" t="s">
        <v>310</v>
      </c>
      <c r="L22" t="s">
        <v>304</v>
      </c>
      <c r="M22" t="s">
        <v>305</v>
      </c>
      <c r="N22" s="120" t="s">
        <v>116</v>
      </c>
      <c r="O22" s="117" t="s">
        <v>116</v>
      </c>
      <c r="P22" s="117" t="s">
        <v>116</v>
      </c>
      <c r="Q22" s="117" t="s">
        <v>116</v>
      </c>
      <c r="R22" s="117">
        <f t="shared" si="2"/>
        <v>1</v>
      </c>
      <c r="S22" s="117" t="s">
        <v>117</v>
      </c>
      <c r="T22" s="117"/>
      <c r="U22" s="117">
        <v>7</v>
      </c>
      <c r="V22" s="117">
        <v>0</v>
      </c>
      <c r="W22" s="117"/>
      <c r="X22" s="116" t="s">
        <v>117</v>
      </c>
      <c r="Y22" s="116">
        <v>0</v>
      </c>
      <c r="Z22" s="118">
        <v>4.25</v>
      </c>
    </row>
    <row r="23" spans="1:32" s="135" customFormat="1" ht="15" customHeight="1">
      <c r="A23" s="119">
        <f t="shared" si="1"/>
        <v>22</v>
      </c>
      <c r="B23" s="119" t="s">
        <v>160</v>
      </c>
      <c r="C23" s="251">
        <v>44869</v>
      </c>
      <c r="D23" s="113" t="s">
        <v>88</v>
      </c>
      <c r="E23" s="113" t="s">
        <v>115</v>
      </c>
      <c r="F23" s="114">
        <v>1</v>
      </c>
      <c r="G23" t="s">
        <v>311</v>
      </c>
      <c r="H23" t="s">
        <v>312</v>
      </c>
      <c r="I23"/>
      <c r="J23" t="s">
        <v>313</v>
      </c>
      <c r="K23" t="s">
        <v>314</v>
      </c>
      <c r="L23" t="s">
        <v>315</v>
      </c>
      <c r="M23" t="s">
        <v>305</v>
      </c>
      <c r="N23" s="120" t="s">
        <v>116</v>
      </c>
      <c r="O23" s="117" t="s">
        <v>116</v>
      </c>
      <c r="P23" s="117" t="s">
        <v>116</v>
      </c>
      <c r="Q23" s="117" t="s">
        <v>116</v>
      </c>
      <c r="R23" s="117">
        <f t="shared" si="2"/>
        <v>1</v>
      </c>
      <c r="S23" s="117" t="s">
        <v>117</v>
      </c>
      <c r="T23" s="117"/>
      <c r="U23" s="117">
        <v>7</v>
      </c>
      <c r="V23" s="117">
        <v>0</v>
      </c>
      <c r="W23" s="117"/>
      <c r="X23" s="116" t="s">
        <v>117</v>
      </c>
      <c r="Y23" s="116">
        <v>0</v>
      </c>
      <c r="Z23" s="118">
        <v>3.52</v>
      </c>
    </row>
    <row r="24" spans="1:32" s="135" customFormat="1">
      <c r="A24" s="119">
        <f t="shared" si="1"/>
        <v>23</v>
      </c>
      <c r="B24" s="119" t="s">
        <v>161</v>
      </c>
      <c r="C24" s="251">
        <v>44869</v>
      </c>
      <c r="D24" s="113" t="s">
        <v>88</v>
      </c>
      <c r="E24" s="113" t="s">
        <v>115</v>
      </c>
      <c r="F24" s="114">
        <v>1</v>
      </c>
      <c r="G24" t="s">
        <v>316</v>
      </c>
      <c r="H24" t="s">
        <v>317</v>
      </c>
      <c r="I24"/>
      <c r="J24" t="s">
        <v>318</v>
      </c>
      <c r="K24" t="s">
        <v>319</v>
      </c>
      <c r="L24" t="s">
        <v>315</v>
      </c>
      <c r="M24" t="s">
        <v>305</v>
      </c>
      <c r="N24" s="120" t="s">
        <v>116</v>
      </c>
      <c r="O24" s="117" t="s">
        <v>116</v>
      </c>
      <c r="P24" s="117" t="s">
        <v>116</v>
      </c>
      <c r="Q24" s="117" t="s">
        <v>116</v>
      </c>
      <c r="R24" s="117">
        <f t="shared" si="2"/>
        <v>1</v>
      </c>
      <c r="S24" s="116" t="s">
        <v>116</v>
      </c>
      <c r="T24" s="117" t="s">
        <v>116</v>
      </c>
      <c r="U24" s="117">
        <v>5</v>
      </c>
      <c r="V24" s="117">
        <v>0</v>
      </c>
      <c r="W24" s="117">
        <v>2</v>
      </c>
      <c r="X24" s="116" t="s">
        <v>117</v>
      </c>
      <c r="Y24" s="117">
        <v>2.14</v>
      </c>
      <c r="Z24" s="118">
        <v>3.95</v>
      </c>
    </row>
    <row r="25" spans="1:32" s="135" customFormat="1" ht="15.75" customHeight="1">
      <c r="A25" s="119">
        <f t="shared" si="1"/>
        <v>24</v>
      </c>
      <c r="B25" s="119" t="s">
        <v>162</v>
      </c>
      <c r="C25" s="251">
        <v>44873</v>
      </c>
      <c r="D25" s="113" t="s">
        <v>88</v>
      </c>
      <c r="E25" s="113" t="s">
        <v>115</v>
      </c>
      <c r="F25" s="114">
        <v>1</v>
      </c>
      <c r="G25" t="s">
        <v>320</v>
      </c>
      <c r="H25" t="s">
        <v>321</v>
      </c>
      <c r="I25"/>
      <c r="J25" t="s">
        <v>322</v>
      </c>
      <c r="K25" t="s">
        <v>323</v>
      </c>
      <c r="L25" t="s">
        <v>324</v>
      </c>
      <c r="M25" t="s">
        <v>305</v>
      </c>
      <c r="N25" s="121" t="s">
        <v>116</v>
      </c>
      <c r="O25" s="122" t="s">
        <v>116</v>
      </c>
      <c r="P25" s="122" t="s">
        <v>116</v>
      </c>
      <c r="Q25" s="122" t="s">
        <v>116</v>
      </c>
      <c r="R25" s="117">
        <f t="shared" si="2"/>
        <v>1</v>
      </c>
      <c r="S25" s="122" t="s">
        <v>117</v>
      </c>
      <c r="T25" s="122"/>
      <c r="U25" s="122">
        <v>7</v>
      </c>
      <c r="V25" s="122">
        <v>0</v>
      </c>
      <c r="W25" s="122"/>
      <c r="X25" s="116" t="s">
        <v>117</v>
      </c>
      <c r="Y25" s="116">
        <v>0</v>
      </c>
      <c r="Z25" s="118">
        <v>4.3499999999999996</v>
      </c>
    </row>
    <row r="26" spans="1:32" s="135" customFormat="1">
      <c r="A26" s="119">
        <f t="shared" si="1"/>
        <v>25</v>
      </c>
      <c r="B26" s="119" t="s">
        <v>200</v>
      </c>
      <c r="C26" s="251">
        <v>44872</v>
      </c>
      <c r="D26" s="113" t="s">
        <v>88</v>
      </c>
      <c r="E26" s="113" t="s">
        <v>115</v>
      </c>
      <c r="F26" s="114">
        <v>1</v>
      </c>
      <c r="G26" t="s">
        <v>325</v>
      </c>
      <c r="H26" t="s">
        <v>326</v>
      </c>
      <c r="I26"/>
      <c r="J26" t="s">
        <v>327</v>
      </c>
      <c r="K26" t="s">
        <v>328</v>
      </c>
      <c r="L26" t="s">
        <v>324</v>
      </c>
      <c r="M26" t="s">
        <v>305</v>
      </c>
      <c r="N26" s="120" t="s">
        <v>116</v>
      </c>
      <c r="O26" s="117" t="s">
        <v>116</v>
      </c>
      <c r="P26" s="117" t="s">
        <v>116</v>
      </c>
      <c r="Q26" s="117" t="s">
        <v>116</v>
      </c>
      <c r="R26" s="117">
        <f t="shared" si="2"/>
        <v>1</v>
      </c>
      <c r="S26" s="117" t="s">
        <v>117</v>
      </c>
      <c r="T26" s="117"/>
      <c r="U26" s="117">
        <v>7</v>
      </c>
      <c r="V26" s="117">
        <v>0</v>
      </c>
      <c r="W26" s="117"/>
      <c r="X26" s="116" t="s">
        <v>117</v>
      </c>
      <c r="Y26" s="116">
        <v>0</v>
      </c>
      <c r="Z26" s="118">
        <v>2.95</v>
      </c>
    </row>
    <row r="27" spans="1:32" s="135" customFormat="1">
      <c r="A27" s="119">
        <f t="shared" si="1"/>
        <v>26</v>
      </c>
      <c r="B27" s="119" t="s">
        <v>163</v>
      </c>
      <c r="C27" s="251">
        <v>44875</v>
      </c>
      <c r="D27" s="113" t="s">
        <v>88</v>
      </c>
      <c r="E27" s="113" t="s">
        <v>115</v>
      </c>
      <c r="F27" s="114">
        <v>1</v>
      </c>
      <c r="G27" t="s">
        <v>329</v>
      </c>
      <c r="H27" t="s">
        <v>330</v>
      </c>
      <c r="I27" t="s">
        <v>331</v>
      </c>
      <c r="J27" t="s">
        <v>332</v>
      </c>
      <c r="K27" t="s">
        <v>333</v>
      </c>
      <c r="L27" t="s">
        <v>334</v>
      </c>
      <c r="M27" t="s">
        <v>305</v>
      </c>
      <c r="N27" s="120" t="s">
        <v>116</v>
      </c>
      <c r="O27" s="117" t="s">
        <v>116</v>
      </c>
      <c r="P27" s="117" t="s">
        <v>116</v>
      </c>
      <c r="Q27" s="117" t="s">
        <v>116</v>
      </c>
      <c r="R27" s="117">
        <f t="shared" si="2"/>
        <v>1</v>
      </c>
      <c r="S27" s="117" t="s">
        <v>117</v>
      </c>
      <c r="T27" s="117"/>
      <c r="U27" s="117">
        <v>7</v>
      </c>
      <c r="V27" s="117">
        <v>0</v>
      </c>
      <c r="W27" s="117"/>
      <c r="X27" s="116" t="s">
        <v>117</v>
      </c>
      <c r="Y27" s="116">
        <v>0</v>
      </c>
      <c r="Z27" s="118">
        <v>3.86</v>
      </c>
    </row>
    <row r="28" spans="1:32" s="135" customFormat="1">
      <c r="A28" s="119">
        <f t="shared" si="1"/>
        <v>27</v>
      </c>
      <c r="B28" s="119" t="s">
        <v>164</v>
      </c>
      <c r="C28" s="251">
        <v>44875</v>
      </c>
      <c r="D28" s="113" t="s">
        <v>88</v>
      </c>
      <c r="E28" s="113" t="s">
        <v>115</v>
      </c>
      <c r="F28" s="114">
        <v>1</v>
      </c>
      <c r="G28" t="s">
        <v>335</v>
      </c>
      <c r="H28" t="s">
        <v>336</v>
      </c>
      <c r="I28"/>
      <c r="J28" t="s">
        <v>337</v>
      </c>
      <c r="K28" t="s">
        <v>338</v>
      </c>
      <c r="L28" t="s">
        <v>334</v>
      </c>
      <c r="M28" t="s">
        <v>305</v>
      </c>
      <c r="N28" s="120" t="s">
        <v>116</v>
      </c>
      <c r="O28" s="117" t="s">
        <v>116</v>
      </c>
      <c r="P28" s="117" t="s">
        <v>116</v>
      </c>
      <c r="Q28" s="117" t="s">
        <v>116</v>
      </c>
      <c r="R28" s="117">
        <f t="shared" si="2"/>
        <v>1</v>
      </c>
      <c r="S28" s="117" t="s">
        <v>117</v>
      </c>
      <c r="T28" s="117"/>
      <c r="U28" s="117">
        <v>7</v>
      </c>
      <c r="V28" s="117">
        <v>0</v>
      </c>
      <c r="W28" s="117"/>
      <c r="X28" s="116" t="s">
        <v>117</v>
      </c>
      <c r="Y28" s="116">
        <v>0</v>
      </c>
      <c r="Z28" s="118">
        <v>3.76</v>
      </c>
    </row>
    <row r="29" spans="1:32">
      <c r="A29" s="119">
        <f t="shared" si="1"/>
        <v>28</v>
      </c>
      <c r="B29" s="119" t="s">
        <v>165</v>
      </c>
      <c r="C29" s="254">
        <v>44747</v>
      </c>
      <c r="D29" s="113" t="s">
        <v>88</v>
      </c>
      <c r="E29" s="113" t="s">
        <v>115</v>
      </c>
      <c r="F29" s="114">
        <v>1</v>
      </c>
      <c r="G29" t="s">
        <v>339</v>
      </c>
      <c r="H29" t="s">
        <v>340</v>
      </c>
      <c r="J29" t="s">
        <v>341</v>
      </c>
      <c r="K29" t="s">
        <v>342</v>
      </c>
      <c r="L29" t="s">
        <v>262</v>
      </c>
      <c r="M29" t="s">
        <v>305</v>
      </c>
      <c r="N29" s="120" t="s">
        <v>116</v>
      </c>
      <c r="O29" s="117" t="s">
        <v>116</v>
      </c>
      <c r="P29" s="117" t="s">
        <v>116</v>
      </c>
      <c r="Q29" s="117" t="s">
        <v>116</v>
      </c>
      <c r="R29" s="117">
        <f t="shared" si="2"/>
        <v>1</v>
      </c>
      <c r="S29" s="117" t="s">
        <v>117</v>
      </c>
      <c r="T29" s="117"/>
      <c r="U29" s="117">
        <v>7</v>
      </c>
      <c r="V29" s="117">
        <v>0</v>
      </c>
      <c r="W29" s="117"/>
      <c r="X29" s="116" t="s">
        <v>117</v>
      </c>
      <c r="Y29" s="116">
        <v>0</v>
      </c>
      <c r="Z29" s="118">
        <v>2.9</v>
      </c>
    </row>
    <row r="30" spans="1:32">
      <c r="A30" s="119">
        <f t="shared" si="1"/>
        <v>29</v>
      </c>
      <c r="B30" s="119" t="s">
        <v>166</v>
      </c>
      <c r="C30" s="254">
        <v>44748</v>
      </c>
      <c r="D30" s="113" t="s">
        <v>88</v>
      </c>
      <c r="E30" s="113" t="s">
        <v>115</v>
      </c>
      <c r="F30" s="114">
        <v>1</v>
      </c>
      <c r="G30" t="s">
        <v>343</v>
      </c>
      <c r="H30" t="s">
        <v>344</v>
      </c>
      <c r="J30" t="s">
        <v>345</v>
      </c>
      <c r="K30" t="s">
        <v>346</v>
      </c>
      <c r="L30" t="s">
        <v>347</v>
      </c>
      <c r="M30" t="s">
        <v>305</v>
      </c>
      <c r="N30" s="120" t="s">
        <v>116</v>
      </c>
      <c r="O30" s="117" t="s">
        <v>116</v>
      </c>
      <c r="P30" s="117" t="s">
        <v>116</v>
      </c>
      <c r="Q30" s="117" t="s">
        <v>116</v>
      </c>
      <c r="R30" s="117">
        <f t="shared" si="2"/>
        <v>1</v>
      </c>
      <c r="S30" s="117" t="s">
        <v>117</v>
      </c>
      <c r="T30" s="117"/>
      <c r="U30" s="117">
        <v>7</v>
      </c>
      <c r="V30" s="117">
        <v>0</v>
      </c>
      <c r="W30" s="117"/>
      <c r="X30" s="116" t="s">
        <v>117</v>
      </c>
      <c r="Y30" s="116">
        <v>0</v>
      </c>
      <c r="Z30" s="118">
        <v>4.62</v>
      </c>
    </row>
    <row r="31" spans="1:32">
      <c r="A31" s="119">
        <f t="shared" si="1"/>
        <v>30</v>
      </c>
      <c r="B31" s="119" t="s">
        <v>167</v>
      </c>
      <c r="C31" s="253">
        <v>44776</v>
      </c>
      <c r="D31" s="113" t="s">
        <v>88</v>
      </c>
      <c r="E31" s="113" t="s">
        <v>115</v>
      </c>
      <c r="F31" s="114">
        <v>1</v>
      </c>
      <c r="G31" t="s">
        <v>348</v>
      </c>
      <c r="H31" t="s">
        <v>349</v>
      </c>
      <c r="I31" t="s">
        <v>350</v>
      </c>
      <c r="J31" t="s">
        <v>351</v>
      </c>
      <c r="K31" t="s">
        <v>352</v>
      </c>
      <c r="L31" t="s">
        <v>290</v>
      </c>
      <c r="M31" t="s">
        <v>305</v>
      </c>
      <c r="N31" s="120" t="s">
        <v>116</v>
      </c>
      <c r="O31" s="117" t="s">
        <v>116</v>
      </c>
      <c r="P31" s="117" t="s">
        <v>116</v>
      </c>
      <c r="Q31" s="117" t="s">
        <v>116</v>
      </c>
      <c r="R31" s="117">
        <f t="shared" si="2"/>
        <v>1</v>
      </c>
      <c r="S31" s="117" t="s">
        <v>117</v>
      </c>
      <c r="T31" s="117"/>
      <c r="U31" s="117">
        <v>7</v>
      </c>
      <c r="V31" s="117">
        <v>0</v>
      </c>
      <c r="W31" s="117"/>
      <c r="X31" s="116" t="s">
        <v>117</v>
      </c>
      <c r="Y31" s="116">
        <v>0</v>
      </c>
      <c r="Z31" s="118">
        <v>4.3499999999999996</v>
      </c>
    </row>
    <row r="32" spans="1:32">
      <c r="A32" s="119">
        <f t="shared" si="1"/>
        <v>31</v>
      </c>
      <c r="B32" s="119" t="s">
        <v>168</v>
      </c>
      <c r="C32" s="253">
        <v>44776</v>
      </c>
      <c r="D32" s="113" t="s">
        <v>88</v>
      </c>
      <c r="E32" s="113" t="s">
        <v>115</v>
      </c>
      <c r="F32" s="114">
        <v>1</v>
      </c>
      <c r="G32" t="s">
        <v>353</v>
      </c>
      <c r="H32" t="s">
        <v>354</v>
      </c>
      <c r="I32" t="s">
        <v>355</v>
      </c>
      <c r="J32" t="s">
        <v>356</v>
      </c>
      <c r="K32" t="s">
        <v>352</v>
      </c>
      <c r="L32" t="s">
        <v>290</v>
      </c>
      <c r="M32" t="s">
        <v>305</v>
      </c>
      <c r="N32" s="120" t="s">
        <v>116</v>
      </c>
      <c r="O32" s="117" t="s">
        <v>116</v>
      </c>
      <c r="P32" s="117" t="s">
        <v>116</v>
      </c>
      <c r="Q32" s="117" t="s">
        <v>116</v>
      </c>
      <c r="R32" s="117">
        <f t="shared" si="2"/>
        <v>1</v>
      </c>
      <c r="S32" s="117" t="s">
        <v>117</v>
      </c>
      <c r="T32" s="117"/>
      <c r="U32" s="117">
        <v>7</v>
      </c>
      <c r="V32" s="117">
        <v>0</v>
      </c>
      <c r="W32" s="117"/>
      <c r="X32" s="116" t="s">
        <v>117</v>
      </c>
      <c r="Y32" s="116">
        <v>0</v>
      </c>
      <c r="Z32" s="118">
        <v>3.86</v>
      </c>
    </row>
    <row r="33" spans="1:26">
      <c r="A33" s="119">
        <f t="shared" si="1"/>
        <v>32</v>
      </c>
      <c r="B33" s="119" t="s">
        <v>169</v>
      </c>
      <c r="C33" s="253">
        <v>44897</v>
      </c>
      <c r="D33" s="113" t="s">
        <v>88</v>
      </c>
      <c r="E33" s="113" t="s">
        <v>115</v>
      </c>
      <c r="F33" s="114">
        <v>1</v>
      </c>
      <c r="G33" t="s">
        <v>357</v>
      </c>
      <c r="H33" t="s">
        <v>358</v>
      </c>
      <c r="I33" t="s">
        <v>359</v>
      </c>
      <c r="J33" t="s">
        <v>360</v>
      </c>
      <c r="K33" t="s">
        <v>361</v>
      </c>
      <c r="L33" t="s">
        <v>362</v>
      </c>
      <c r="M33" t="s">
        <v>197</v>
      </c>
      <c r="N33" s="120" t="s">
        <v>116</v>
      </c>
      <c r="O33" s="117" t="s">
        <v>116</v>
      </c>
      <c r="P33" s="117" t="s">
        <v>116</v>
      </c>
      <c r="Q33" s="117" t="s">
        <v>116</v>
      </c>
      <c r="R33" s="117">
        <f t="shared" si="2"/>
        <v>1</v>
      </c>
      <c r="S33" s="117" t="s">
        <v>117</v>
      </c>
      <c r="T33" s="117"/>
      <c r="U33" s="117">
        <v>7</v>
      </c>
      <c r="V33" s="117">
        <v>0</v>
      </c>
      <c r="W33" s="117"/>
      <c r="X33" s="116" t="s">
        <v>117</v>
      </c>
      <c r="Y33" s="116">
        <v>0</v>
      </c>
      <c r="Z33" s="118">
        <v>4.17</v>
      </c>
    </row>
    <row r="34" spans="1:26">
      <c r="A34" s="119">
        <f t="shared" si="1"/>
        <v>33</v>
      </c>
      <c r="B34" s="119" t="s">
        <v>199</v>
      </c>
      <c r="C34" s="253">
        <v>44897</v>
      </c>
      <c r="D34" s="113" t="s">
        <v>88</v>
      </c>
      <c r="E34" s="113" t="s">
        <v>115</v>
      </c>
      <c r="F34" s="114">
        <v>1</v>
      </c>
      <c r="G34" t="s">
        <v>363</v>
      </c>
      <c r="H34" t="s">
        <v>364</v>
      </c>
      <c r="I34" t="s">
        <v>365</v>
      </c>
      <c r="J34" t="s">
        <v>366</v>
      </c>
      <c r="K34" t="s">
        <v>367</v>
      </c>
      <c r="L34" t="s">
        <v>368</v>
      </c>
      <c r="M34" t="s">
        <v>197</v>
      </c>
      <c r="N34" s="120" t="s">
        <v>121</v>
      </c>
      <c r="O34" s="117" t="s">
        <v>116</v>
      </c>
      <c r="P34" s="117" t="s">
        <v>116</v>
      </c>
      <c r="Q34" s="117" t="s">
        <v>116</v>
      </c>
      <c r="R34" s="117">
        <f t="shared" si="2"/>
        <v>1</v>
      </c>
      <c r="S34" s="117" t="s">
        <v>117</v>
      </c>
      <c r="T34" s="117"/>
      <c r="U34" s="117">
        <v>7</v>
      </c>
      <c r="V34" s="117">
        <v>0</v>
      </c>
      <c r="W34" s="117"/>
      <c r="X34" s="116" t="s">
        <v>117</v>
      </c>
      <c r="Y34" s="116">
        <v>0</v>
      </c>
      <c r="Z34" s="118">
        <v>3.86</v>
      </c>
    </row>
    <row r="35" spans="1:26">
      <c r="A35" s="119">
        <f t="shared" si="1"/>
        <v>34</v>
      </c>
      <c r="B35" s="119" t="s">
        <v>170</v>
      </c>
      <c r="C35" s="254">
        <v>44837</v>
      </c>
      <c r="D35" s="113" t="s">
        <v>88</v>
      </c>
      <c r="E35" s="113" t="s">
        <v>115</v>
      </c>
      <c r="F35" s="114">
        <v>1</v>
      </c>
      <c r="G35" t="s">
        <v>369</v>
      </c>
      <c r="H35" t="s">
        <v>370</v>
      </c>
      <c r="I35" t="s">
        <v>371</v>
      </c>
      <c r="J35" t="s">
        <v>372</v>
      </c>
      <c r="K35" t="s">
        <v>373</v>
      </c>
      <c r="L35" t="s">
        <v>374</v>
      </c>
      <c r="M35" t="s">
        <v>197</v>
      </c>
      <c r="N35" s="120" t="s">
        <v>116</v>
      </c>
      <c r="O35" s="117" t="s">
        <v>116</v>
      </c>
      <c r="P35" s="117" t="s">
        <v>116</v>
      </c>
      <c r="Q35" s="117" t="s">
        <v>116</v>
      </c>
      <c r="R35" s="117">
        <f t="shared" si="2"/>
        <v>1</v>
      </c>
      <c r="S35" s="117" t="s">
        <v>117</v>
      </c>
      <c r="T35" s="117"/>
      <c r="U35" s="117">
        <v>7</v>
      </c>
      <c r="V35" s="117">
        <v>0</v>
      </c>
      <c r="W35" s="117"/>
      <c r="X35" s="116" t="s">
        <v>117</v>
      </c>
      <c r="Y35" s="116">
        <v>0</v>
      </c>
      <c r="Z35" s="118">
        <v>3.17</v>
      </c>
    </row>
    <row r="36" spans="1:26">
      <c r="A36" s="119">
        <f t="shared" si="1"/>
        <v>35</v>
      </c>
      <c r="B36" s="119" t="s">
        <v>171</v>
      </c>
      <c r="C36" s="254">
        <v>44837</v>
      </c>
      <c r="D36" s="113" t="s">
        <v>88</v>
      </c>
      <c r="E36" s="113" t="s">
        <v>115</v>
      </c>
      <c r="F36" s="114">
        <v>1</v>
      </c>
      <c r="G36" t="s">
        <v>375</v>
      </c>
      <c r="H36" t="s">
        <v>376</v>
      </c>
      <c r="J36" t="s">
        <v>377</v>
      </c>
      <c r="K36" t="s">
        <v>378</v>
      </c>
      <c r="L36" t="s">
        <v>374</v>
      </c>
      <c r="M36" t="s">
        <v>197</v>
      </c>
      <c r="N36" s="120" t="s">
        <v>116</v>
      </c>
      <c r="O36" s="117" t="s">
        <v>116</v>
      </c>
      <c r="P36" s="117" t="s">
        <v>116</v>
      </c>
      <c r="Q36" s="117" t="s">
        <v>116</v>
      </c>
      <c r="R36" s="117">
        <f t="shared" si="2"/>
        <v>1</v>
      </c>
      <c r="S36" s="117" t="s">
        <v>117</v>
      </c>
      <c r="T36" s="117"/>
      <c r="U36" s="117">
        <v>7</v>
      </c>
      <c r="V36" s="117">
        <v>0</v>
      </c>
      <c r="W36" s="117"/>
      <c r="X36" s="116" t="s">
        <v>117</v>
      </c>
      <c r="Y36" s="116">
        <v>0</v>
      </c>
      <c r="Z36" s="118">
        <v>3.93</v>
      </c>
    </row>
    <row r="37" spans="1:26">
      <c r="A37" s="119">
        <f t="shared" si="1"/>
        <v>36</v>
      </c>
      <c r="B37" s="119" t="s">
        <v>172</v>
      </c>
      <c r="C37" s="254">
        <v>44841</v>
      </c>
      <c r="D37" s="113" t="s">
        <v>88</v>
      </c>
      <c r="E37" s="113" t="s">
        <v>115</v>
      </c>
      <c r="F37" s="114">
        <v>1</v>
      </c>
      <c r="G37" t="s">
        <v>379</v>
      </c>
      <c r="H37" t="s">
        <v>380</v>
      </c>
      <c r="J37" t="s">
        <v>381</v>
      </c>
      <c r="K37" t="s">
        <v>382</v>
      </c>
      <c r="L37" t="s">
        <v>374</v>
      </c>
      <c r="M37" t="s">
        <v>197</v>
      </c>
      <c r="N37" s="120" t="s">
        <v>116</v>
      </c>
      <c r="O37" s="117" t="s">
        <v>116</v>
      </c>
      <c r="P37" s="117" t="s">
        <v>116</v>
      </c>
      <c r="Q37" s="117" t="s">
        <v>116</v>
      </c>
      <c r="R37" s="117">
        <f t="shared" si="2"/>
        <v>1</v>
      </c>
      <c r="S37" s="117" t="s">
        <v>117</v>
      </c>
      <c r="T37" s="117"/>
      <c r="U37" s="117">
        <v>7</v>
      </c>
      <c r="V37" s="117">
        <v>0</v>
      </c>
      <c r="W37" s="117"/>
      <c r="X37" s="116" t="s">
        <v>117</v>
      </c>
      <c r="Y37" s="116">
        <v>0</v>
      </c>
      <c r="Z37" s="118">
        <v>4.18</v>
      </c>
    </row>
    <row r="38" spans="1:26">
      <c r="A38" s="119">
        <f t="shared" si="1"/>
        <v>37</v>
      </c>
      <c r="B38" s="119" t="s">
        <v>173</v>
      </c>
      <c r="C38" s="254">
        <v>44841</v>
      </c>
      <c r="D38" s="113" t="s">
        <v>88</v>
      </c>
      <c r="E38" s="113" t="s">
        <v>115</v>
      </c>
      <c r="F38" s="114">
        <v>1</v>
      </c>
      <c r="G38" t="s">
        <v>383</v>
      </c>
      <c r="H38" t="s">
        <v>384</v>
      </c>
      <c r="J38" t="s">
        <v>385</v>
      </c>
      <c r="K38" t="s">
        <v>382</v>
      </c>
      <c r="L38" t="s">
        <v>374</v>
      </c>
      <c r="M38" t="s">
        <v>197</v>
      </c>
      <c r="N38" s="120" t="s">
        <v>116</v>
      </c>
      <c r="O38" s="117" t="s">
        <v>116</v>
      </c>
      <c r="P38" s="117" t="s">
        <v>116</v>
      </c>
      <c r="Q38" s="117" t="s">
        <v>116</v>
      </c>
      <c r="R38" s="117">
        <f t="shared" si="2"/>
        <v>1</v>
      </c>
      <c r="S38" s="117" t="s">
        <v>117</v>
      </c>
      <c r="T38" s="117"/>
      <c r="U38" s="117">
        <v>7</v>
      </c>
      <c r="V38" s="117">
        <v>0</v>
      </c>
      <c r="W38" s="117"/>
      <c r="X38" s="116" t="s">
        <v>117</v>
      </c>
      <c r="Y38" s="116">
        <v>0</v>
      </c>
      <c r="Z38" s="118">
        <v>4.05</v>
      </c>
    </row>
    <row r="39" spans="1:26">
      <c r="A39" s="119">
        <f t="shared" si="1"/>
        <v>38</v>
      </c>
      <c r="B39" s="119" t="s">
        <v>174</v>
      </c>
      <c r="C39" s="254">
        <v>44717</v>
      </c>
      <c r="D39" s="113" t="s">
        <v>88</v>
      </c>
      <c r="E39" s="113" t="s">
        <v>115</v>
      </c>
      <c r="F39" s="114">
        <v>1</v>
      </c>
      <c r="G39" t="s">
        <v>386</v>
      </c>
      <c r="H39" t="s">
        <v>387</v>
      </c>
      <c r="J39" t="s">
        <v>388</v>
      </c>
      <c r="K39" t="s">
        <v>389</v>
      </c>
      <c r="L39" t="s">
        <v>374</v>
      </c>
      <c r="M39" t="s">
        <v>197</v>
      </c>
      <c r="N39" s="120" t="s">
        <v>116</v>
      </c>
      <c r="O39" s="117" t="s">
        <v>116</v>
      </c>
      <c r="P39" s="117" t="s">
        <v>116</v>
      </c>
      <c r="Q39" s="117" t="s">
        <v>116</v>
      </c>
      <c r="R39" s="117">
        <f t="shared" si="2"/>
        <v>1</v>
      </c>
      <c r="S39" s="117" t="s">
        <v>117</v>
      </c>
      <c r="T39" s="117"/>
      <c r="U39" s="117">
        <v>7</v>
      </c>
      <c r="V39" s="117">
        <v>0</v>
      </c>
      <c r="W39" s="117"/>
      <c r="X39" s="116" t="s">
        <v>117</v>
      </c>
      <c r="Y39" s="116">
        <v>0</v>
      </c>
      <c r="Z39" s="118">
        <v>3.96</v>
      </c>
    </row>
    <row r="40" spans="1:26">
      <c r="A40" s="119">
        <f t="shared" si="1"/>
        <v>39</v>
      </c>
      <c r="B40" s="119" t="s">
        <v>175</v>
      </c>
      <c r="C40" s="254">
        <v>44718</v>
      </c>
      <c r="D40" s="113" t="s">
        <v>88</v>
      </c>
      <c r="E40" s="113" t="s">
        <v>115</v>
      </c>
      <c r="F40" s="114">
        <v>1</v>
      </c>
      <c r="G40" t="s">
        <v>390</v>
      </c>
      <c r="H40" t="s">
        <v>391</v>
      </c>
      <c r="I40" t="s">
        <v>392</v>
      </c>
      <c r="J40" t="s">
        <v>393</v>
      </c>
      <c r="K40" t="s">
        <v>394</v>
      </c>
      <c r="L40" t="s">
        <v>374</v>
      </c>
      <c r="M40" t="s">
        <v>197</v>
      </c>
      <c r="N40" s="120" t="s">
        <v>116</v>
      </c>
      <c r="O40" s="117" t="s">
        <v>116</v>
      </c>
      <c r="P40" s="117" t="s">
        <v>116</v>
      </c>
      <c r="Q40" s="117" t="s">
        <v>116</v>
      </c>
      <c r="R40" s="117">
        <f t="shared" si="2"/>
        <v>1</v>
      </c>
      <c r="S40" s="117" t="s">
        <v>116</v>
      </c>
      <c r="T40" s="117" t="s">
        <v>116</v>
      </c>
      <c r="U40" s="117">
        <v>5</v>
      </c>
      <c r="V40" s="117">
        <v>0</v>
      </c>
      <c r="W40" s="117">
        <v>2</v>
      </c>
      <c r="X40" s="116" t="s">
        <v>117</v>
      </c>
      <c r="Y40" s="116">
        <v>1.75</v>
      </c>
      <c r="Z40" s="118">
        <v>2.95</v>
      </c>
    </row>
    <row r="41" spans="1:26">
      <c r="A41" s="119">
        <f t="shared" si="1"/>
        <v>40</v>
      </c>
      <c r="B41" s="119" t="s">
        <v>176</v>
      </c>
      <c r="C41" s="254">
        <v>44718</v>
      </c>
      <c r="D41" s="113" t="s">
        <v>88</v>
      </c>
      <c r="E41" s="113" t="s">
        <v>115</v>
      </c>
      <c r="F41" s="114">
        <v>1</v>
      </c>
      <c r="G41" t="s">
        <v>395</v>
      </c>
      <c r="H41" t="s">
        <v>396</v>
      </c>
      <c r="I41" t="s">
        <v>397</v>
      </c>
      <c r="J41" t="s">
        <v>398</v>
      </c>
      <c r="K41" t="s">
        <v>399</v>
      </c>
      <c r="L41" t="s">
        <v>400</v>
      </c>
      <c r="M41" t="s">
        <v>197</v>
      </c>
      <c r="N41" s="120" t="s">
        <v>116</v>
      </c>
      <c r="O41" s="117" t="s">
        <v>116</v>
      </c>
      <c r="P41" s="117" t="s">
        <v>116</v>
      </c>
      <c r="Q41" s="117" t="s">
        <v>116</v>
      </c>
      <c r="R41" s="117">
        <f t="shared" si="2"/>
        <v>1</v>
      </c>
      <c r="S41" s="117" t="s">
        <v>117</v>
      </c>
      <c r="T41" s="117"/>
      <c r="U41" s="117">
        <v>7</v>
      </c>
      <c r="V41" s="117">
        <v>0</v>
      </c>
      <c r="W41" s="117"/>
      <c r="X41" s="116" t="s">
        <v>117</v>
      </c>
      <c r="Y41" s="116">
        <v>0</v>
      </c>
      <c r="Z41" s="118">
        <v>3.67</v>
      </c>
    </row>
    <row r="42" spans="1:26">
      <c r="A42" s="119">
        <f t="shared" si="1"/>
        <v>41</v>
      </c>
      <c r="B42" s="119" t="s">
        <v>177</v>
      </c>
      <c r="C42" s="254">
        <v>44978</v>
      </c>
      <c r="D42" s="113" t="s">
        <v>88</v>
      </c>
      <c r="E42" s="113" t="s">
        <v>115</v>
      </c>
      <c r="F42" s="114">
        <v>1</v>
      </c>
      <c r="G42" t="s">
        <v>401</v>
      </c>
      <c r="H42" t="s">
        <v>402</v>
      </c>
      <c r="J42" t="s">
        <v>403</v>
      </c>
      <c r="K42" t="s">
        <v>404</v>
      </c>
      <c r="L42" t="s">
        <v>405</v>
      </c>
      <c r="M42" t="s">
        <v>193</v>
      </c>
      <c r="N42" s="120" t="s">
        <v>116</v>
      </c>
      <c r="O42" s="117" t="s">
        <v>116</v>
      </c>
      <c r="P42" s="117" t="s">
        <v>116</v>
      </c>
      <c r="Q42" s="117" t="s">
        <v>116</v>
      </c>
      <c r="R42" s="117">
        <f t="shared" si="2"/>
        <v>1</v>
      </c>
      <c r="S42" s="117" t="s">
        <v>117</v>
      </c>
      <c r="T42" s="117"/>
      <c r="U42" s="117">
        <v>7</v>
      </c>
      <c r="V42" s="117">
        <v>0</v>
      </c>
      <c r="W42" s="117"/>
      <c r="X42" s="116" t="s">
        <v>117</v>
      </c>
      <c r="Y42" s="116">
        <v>0</v>
      </c>
      <c r="Z42" s="118">
        <v>4.6100000000000003</v>
      </c>
    </row>
    <row r="43" spans="1:26">
      <c r="A43" s="119">
        <f t="shared" si="1"/>
        <v>42</v>
      </c>
      <c r="B43" s="119" t="s">
        <v>178</v>
      </c>
      <c r="C43" s="254">
        <v>44973</v>
      </c>
      <c r="D43" s="113" t="s">
        <v>88</v>
      </c>
      <c r="E43" s="113" t="s">
        <v>115</v>
      </c>
      <c r="F43" s="114">
        <v>1</v>
      </c>
      <c r="G43" t="s">
        <v>406</v>
      </c>
      <c r="H43" t="s">
        <v>407</v>
      </c>
      <c r="J43" t="s">
        <v>408</v>
      </c>
      <c r="K43" t="s">
        <v>409</v>
      </c>
      <c r="L43" t="s">
        <v>410</v>
      </c>
      <c r="M43" t="s">
        <v>193</v>
      </c>
      <c r="N43" s="120" t="s">
        <v>116</v>
      </c>
      <c r="O43" s="117" t="s">
        <v>116</v>
      </c>
      <c r="P43" s="117" t="s">
        <v>116</v>
      </c>
      <c r="Q43" s="117" t="s">
        <v>116</v>
      </c>
      <c r="R43" s="117">
        <f t="shared" si="2"/>
        <v>1</v>
      </c>
      <c r="S43" s="117" t="s">
        <v>117</v>
      </c>
      <c r="T43" s="117"/>
      <c r="U43" s="117">
        <v>7</v>
      </c>
      <c r="V43" s="117">
        <v>0</v>
      </c>
      <c r="W43" s="117"/>
      <c r="X43" s="116" t="s">
        <v>117</v>
      </c>
      <c r="Y43" s="116">
        <v>0</v>
      </c>
      <c r="Z43" s="118">
        <v>3.98</v>
      </c>
    </row>
    <row r="44" spans="1:26">
      <c r="A44" s="119">
        <f t="shared" si="1"/>
        <v>43</v>
      </c>
      <c r="B44" s="119" t="s">
        <v>179</v>
      </c>
      <c r="C44" s="254">
        <v>44965</v>
      </c>
      <c r="D44" s="113" t="s">
        <v>88</v>
      </c>
      <c r="E44" s="113" t="s">
        <v>115</v>
      </c>
      <c r="F44" s="114">
        <v>1</v>
      </c>
      <c r="G44" t="s">
        <v>411</v>
      </c>
      <c r="H44" t="s">
        <v>412</v>
      </c>
      <c r="I44" t="s">
        <v>413</v>
      </c>
      <c r="J44" t="s">
        <v>414</v>
      </c>
      <c r="K44" t="s">
        <v>415</v>
      </c>
      <c r="L44" t="s">
        <v>416</v>
      </c>
      <c r="M44" t="s">
        <v>193</v>
      </c>
      <c r="N44" s="120" t="s">
        <v>116</v>
      </c>
      <c r="O44" s="117" t="s">
        <v>116</v>
      </c>
      <c r="P44" s="117" t="s">
        <v>116</v>
      </c>
      <c r="Q44" s="117" t="s">
        <v>116</v>
      </c>
      <c r="R44" s="117">
        <f t="shared" si="2"/>
        <v>1</v>
      </c>
      <c r="S44" s="117" t="s">
        <v>117</v>
      </c>
      <c r="T44" s="117"/>
      <c r="U44" s="117">
        <v>7</v>
      </c>
      <c r="V44" s="117">
        <v>0</v>
      </c>
      <c r="W44" s="117"/>
      <c r="X44" s="116" t="s">
        <v>117</v>
      </c>
      <c r="Y44" s="116">
        <v>0</v>
      </c>
      <c r="Z44" s="118">
        <v>4.17</v>
      </c>
    </row>
    <row r="45" spans="1:26">
      <c r="A45" s="119">
        <f t="shared" si="1"/>
        <v>44</v>
      </c>
      <c r="B45" s="119" t="s">
        <v>180</v>
      </c>
      <c r="C45" s="254">
        <v>44965</v>
      </c>
      <c r="D45" s="113" t="s">
        <v>88</v>
      </c>
      <c r="E45" s="113" t="s">
        <v>115</v>
      </c>
      <c r="F45" s="114">
        <v>1</v>
      </c>
      <c r="G45" t="s">
        <v>417</v>
      </c>
      <c r="H45" t="s">
        <v>418</v>
      </c>
      <c r="J45" t="s">
        <v>419</v>
      </c>
      <c r="K45" t="s">
        <v>420</v>
      </c>
      <c r="L45" t="s">
        <v>416</v>
      </c>
      <c r="M45" t="s">
        <v>193</v>
      </c>
      <c r="N45" s="120" t="s">
        <v>116</v>
      </c>
      <c r="O45" s="117" t="s">
        <v>116</v>
      </c>
      <c r="P45" s="117" t="s">
        <v>116</v>
      </c>
      <c r="Q45" s="117" t="s">
        <v>116</v>
      </c>
      <c r="R45" s="117">
        <f t="shared" si="2"/>
        <v>1</v>
      </c>
      <c r="S45" s="117" t="s">
        <v>117</v>
      </c>
      <c r="T45" s="117"/>
      <c r="U45" s="117">
        <v>7</v>
      </c>
      <c r="V45" s="117">
        <v>0</v>
      </c>
      <c r="W45" s="117"/>
      <c r="X45" s="116" t="s">
        <v>117</v>
      </c>
      <c r="Y45" s="116">
        <v>0</v>
      </c>
      <c r="Z45" s="118">
        <v>3.8</v>
      </c>
    </row>
    <row r="46" spans="1:26">
      <c r="A46" s="119">
        <f t="shared" si="1"/>
        <v>45</v>
      </c>
      <c r="B46" s="119" t="s">
        <v>184</v>
      </c>
      <c r="C46" s="251">
        <v>44874</v>
      </c>
      <c r="D46" s="113" t="s">
        <v>88</v>
      </c>
      <c r="E46" s="113" t="s">
        <v>115</v>
      </c>
      <c r="F46" s="114">
        <v>1</v>
      </c>
      <c r="G46" t="s">
        <v>421</v>
      </c>
      <c r="H46" t="s">
        <v>422</v>
      </c>
      <c r="J46" t="s">
        <v>423</v>
      </c>
      <c r="K46" t="s">
        <v>424</v>
      </c>
      <c r="L46" t="s">
        <v>425</v>
      </c>
      <c r="M46" t="s">
        <v>198</v>
      </c>
      <c r="N46" s="120" t="s">
        <v>116</v>
      </c>
      <c r="O46" s="117" t="s">
        <v>116</v>
      </c>
      <c r="P46" s="117" t="s">
        <v>116</v>
      </c>
      <c r="Q46" s="117" t="s">
        <v>116</v>
      </c>
      <c r="R46" s="117">
        <f t="shared" si="2"/>
        <v>1</v>
      </c>
      <c r="S46" s="117" t="s">
        <v>117</v>
      </c>
      <c r="T46" s="117"/>
      <c r="U46" s="117">
        <v>7</v>
      </c>
      <c r="V46" s="117">
        <v>0</v>
      </c>
      <c r="W46" s="117"/>
      <c r="X46" s="116" t="s">
        <v>117</v>
      </c>
      <c r="Y46" s="116">
        <v>0</v>
      </c>
      <c r="Z46" s="118">
        <v>4.32</v>
      </c>
    </row>
    <row r="47" spans="1:26">
      <c r="A47" s="119">
        <f t="shared" si="1"/>
        <v>46</v>
      </c>
      <c r="B47" s="119" t="s">
        <v>185</v>
      </c>
      <c r="C47" s="251">
        <v>44872</v>
      </c>
      <c r="D47" s="113" t="s">
        <v>88</v>
      </c>
      <c r="E47" s="113" t="s">
        <v>115</v>
      </c>
      <c r="F47" s="114">
        <v>1</v>
      </c>
      <c r="G47" t="s">
        <v>426</v>
      </c>
      <c r="H47" t="s">
        <v>427</v>
      </c>
      <c r="I47" t="s">
        <v>428</v>
      </c>
      <c r="J47" t="s">
        <v>429</v>
      </c>
      <c r="K47" t="s">
        <v>430</v>
      </c>
      <c r="L47" t="s">
        <v>425</v>
      </c>
      <c r="M47" t="s">
        <v>198</v>
      </c>
      <c r="N47" s="120" t="s">
        <v>116</v>
      </c>
      <c r="O47" s="117" t="s">
        <v>116</v>
      </c>
      <c r="P47" s="117" t="s">
        <v>116</v>
      </c>
      <c r="Q47" s="117" t="s">
        <v>116</v>
      </c>
      <c r="R47" s="117">
        <f t="shared" si="2"/>
        <v>1</v>
      </c>
      <c r="S47" s="117" t="s">
        <v>117</v>
      </c>
      <c r="T47" s="117"/>
      <c r="U47" s="117">
        <v>7</v>
      </c>
      <c r="V47" s="117">
        <v>0</v>
      </c>
      <c r="W47" s="117"/>
      <c r="X47" s="116" t="s">
        <v>117</v>
      </c>
      <c r="Y47" s="116">
        <v>0</v>
      </c>
      <c r="Z47" s="118">
        <v>3.93</v>
      </c>
    </row>
    <row r="48" spans="1:26">
      <c r="A48" s="119">
        <f t="shared" si="1"/>
        <v>47</v>
      </c>
      <c r="B48" s="119" t="s">
        <v>181</v>
      </c>
      <c r="C48" s="251">
        <v>44719</v>
      </c>
      <c r="D48" s="113" t="s">
        <v>88</v>
      </c>
      <c r="E48" s="113" t="s">
        <v>115</v>
      </c>
      <c r="F48" s="114">
        <v>1</v>
      </c>
      <c r="G48" t="s">
        <v>431</v>
      </c>
      <c r="H48" t="s">
        <v>432</v>
      </c>
      <c r="I48" t="s">
        <v>433</v>
      </c>
      <c r="J48" t="s">
        <v>434</v>
      </c>
      <c r="K48" t="s">
        <v>435</v>
      </c>
      <c r="L48" t="s">
        <v>436</v>
      </c>
      <c r="M48" t="s">
        <v>198</v>
      </c>
      <c r="N48" s="120" t="s">
        <v>116</v>
      </c>
      <c r="O48" s="117" t="s">
        <v>116</v>
      </c>
      <c r="P48" s="117" t="s">
        <v>116</v>
      </c>
      <c r="Q48" s="117" t="s">
        <v>116</v>
      </c>
      <c r="R48" s="117">
        <f t="shared" si="2"/>
        <v>1</v>
      </c>
      <c r="S48" s="117" t="s">
        <v>116</v>
      </c>
      <c r="T48" s="123" t="s">
        <v>116</v>
      </c>
      <c r="U48" s="117">
        <v>5</v>
      </c>
      <c r="V48" s="117">
        <v>0</v>
      </c>
      <c r="W48" s="117">
        <v>2</v>
      </c>
      <c r="X48" s="116" t="s">
        <v>117</v>
      </c>
      <c r="Y48" s="116">
        <v>2.0499999999999998</v>
      </c>
      <c r="Z48" s="118">
        <v>4.25</v>
      </c>
    </row>
    <row r="49" spans="1:26">
      <c r="A49" s="119">
        <f t="shared" si="1"/>
        <v>48</v>
      </c>
      <c r="B49" s="119" t="s">
        <v>182</v>
      </c>
      <c r="C49" s="251">
        <v>44719</v>
      </c>
      <c r="D49" s="113" t="s">
        <v>88</v>
      </c>
      <c r="E49" s="113" t="s">
        <v>115</v>
      </c>
      <c r="F49" s="114">
        <v>1</v>
      </c>
      <c r="G49" t="s">
        <v>437</v>
      </c>
      <c r="H49" t="s">
        <v>438</v>
      </c>
      <c r="J49" t="s">
        <v>439</v>
      </c>
      <c r="K49" t="s">
        <v>440</v>
      </c>
      <c r="L49" t="s">
        <v>436</v>
      </c>
      <c r="M49" t="s">
        <v>198</v>
      </c>
      <c r="N49" s="120" t="s">
        <v>116</v>
      </c>
      <c r="O49" s="117" t="s">
        <v>116</v>
      </c>
      <c r="P49" s="117" t="s">
        <v>116</v>
      </c>
      <c r="Q49" s="117" t="s">
        <v>116</v>
      </c>
      <c r="R49" s="117">
        <f t="shared" si="2"/>
        <v>1</v>
      </c>
      <c r="S49" s="117" t="s">
        <v>117</v>
      </c>
      <c r="T49" s="123"/>
      <c r="U49" s="117">
        <v>7</v>
      </c>
      <c r="V49" s="117">
        <v>0</v>
      </c>
      <c r="W49" s="117"/>
      <c r="X49" s="116" t="s">
        <v>117</v>
      </c>
      <c r="Y49" s="116">
        <v>0</v>
      </c>
      <c r="Z49" s="118">
        <v>4.0999999999999996</v>
      </c>
    </row>
    <row r="50" spans="1:26">
      <c r="A50" s="119">
        <f t="shared" si="1"/>
        <v>49</v>
      </c>
      <c r="B50" s="119" t="s">
        <v>183</v>
      </c>
      <c r="C50" s="251">
        <v>44719</v>
      </c>
      <c r="D50" s="113" t="s">
        <v>88</v>
      </c>
      <c r="E50" s="113" t="s">
        <v>115</v>
      </c>
      <c r="F50" s="114">
        <v>1</v>
      </c>
      <c r="G50" t="s">
        <v>441</v>
      </c>
      <c r="H50" t="s">
        <v>442</v>
      </c>
      <c r="J50" t="s">
        <v>443</v>
      </c>
      <c r="K50" t="s">
        <v>444</v>
      </c>
      <c r="L50" t="s">
        <v>198</v>
      </c>
      <c r="M50" t="s">
        <v>198</v>
      </c>
      <c r="N50" s="120" t="s">
        <v>116</v>
      </c>
      <c r="O50" s="117" t="s">
        <v>116</v>
      </c>
      <c r="P50" s="117" t="s">
        <v>116</v>
      </c>
      <c r="Q50" s="117" t="s">
        <v>116</v>
      </c>
      <c r="R50" s="117">
        <f t="shared" si="2"/>
        <v>1</v>
      </c>
      <c r="S50" s="117" t="s">
        <v>117</v>
      </c>
      <c r="T50" s="117"/>
      <c r="U50" s="117">
        <v>7</v>
      </c>
      <c r="V50" s="117">
        <v>0</v>
      </c>
      <c r="W50" s="117"/>
      <c r="X50" s="116" t="s">
        <v>117</v>
      </c>
      <c r="Y50" s="116">
        <v>0</v>
      </c>
      <c r="Z50" s="118">
        <v>2.85</v>
      </c>
    </row>
    <row r="51" spans="1:26">
      <c r="A51" s="119">
        <f t="shared" si="1"/>
        <v>50</v>
      </c>
      <c r="B51" s="119" t="s">
        <v>186</v>
      </c>
      <c r="C51" s="251">
        <v>44902</v>
      </c>
      <c r="D51" s="113" t="s">
        <v>88</v>
      </c>
      <c r="E51" s="113" t="s">
        <v>115</v>
      </c>
      <c r="F51" s="114">
        <v>1</v>
      </c>
      <c r="G51" t="s">
        <v>445</v>
      </c>
      <c r="H51" t="s">
        <v>446</v>
      </c>
      <c r="I51" t="s">
        <v>447</v>
      </c>
      <c r="J51" t="s">
        <v>448</v>
      </c>
      <c r="K51" t="s">
        <v>449</v>
      </c>
      <c r="L51" t="s">
        <v>450</v>
      </c>
      <c r="M51" t="s">
        <v>198</v>
      </c>
      <c r="N51" s="120" t="s">
        <v>116</v>
      </c>
      <c r="O51" s="117" t="s">
        <v>116</v>
      </c>
      <c r="P51" s="117" t="s">
        <v>116</v>
      </c>
      <c r="Q51" s="117" t="s">
        <v>116</v>
      </c>
      <c r="R51" s="117">
        <f t="shared" ref="R51:R55" si="3">IF(O51="Yes",1)</f>
        <v>1</v>
      </c>
      <c r="S51" s="117" t="s">
        <v>117</v>
      </c>
      <c r="T51" s="123"/>
      <c r="U51" s="117">
        <v>7</v>
      </c>
      <c r="V51" s="117">
        <v>0</v>
      </c>
      <c r="W51" s="117"/>
      <c r="X51" s="116" t="s">
        <v>117</v>
      </c>
      <c r="Y51" s="116">
        <v>0</v>
      </c>
      <c r="Z51" s="118">
        <v>3.9</v>
      </c>
    </row>
    <row r="52" spans="1:26">
      <c r="A52" s="119">
        <f t="shared" si="1"/>
        <v>51</v>
      </c>
      <c r="B52" s="119" t="s">
        <v>187</v>
      </c>
      <c r="C52" s="251">
        <v>44903</v>
      </c>
      <c r="D52" s="113" t="s">
        <v>88</v>
      </c>
      <c r="E52" s="113" t="s">
        <v>115</v>
      </c>
      <c r="F52" s="114">
        <v>1</v>
      </c>
      <c r="G52" t="s">
        <v>451</v>
      </c>
      <c r="H52" t="s">
        <v>452</v>
      </c>
      <c r="I52" t="s">
        <v>453</v>
      </c>
      <c r="J52" t="s">
        <v>454</v>
      </c>
      <c r="K52" t="s">
        <v>455</v>
      </c>
      <c r="L52" t="s">
        <v>450</v>
      </c>
      <c r="M52" t="s">
        <v>198</v>
      </c>
      <c r="N52" s="120" t="s">
        <v>116</v>
      </c>
      <c r="O52" s="117" t="s">
        <v>116</v>
      </c>
      <c r="P52" s="117" t="s">
        <v>116</v>
      </c>
      <c r="Q52" s="117" t="s">
        <v>116</v>
      </c>
      <c r="R52" s="117">
        <f t="shared" si="3"/>
        <v>1</v>
      </c>
      <c r="S52" s="117" t="s">
        <v>117</v>
      </c>
      <c r="T52" s="117"/>
      <c r="U52" s="117">
        <v>7</v>
      </c>
      <c r="V52" s="117">
        <v>0</v>
      </c>
      <c r="W52" s="117"/>
      <c r="X52" s="116" t="s">
        <v>117</v>
      </c>
      <c r="Y52" s="116">
        <v>0</v>
      </c>
      <c r="Z52" s="118">
        <v>3.96</v>
      </c>
    </row>
    <row r="53" spans="1:26">
      <c r="A53" s="119">
        <f t="shared" si="1"/>
        <v>52</v>
      </c>
      <c r="B53" s="142" t="s">
        <v>188</v>
      </c>
      <c r="C53" s="252">
        <v>44747</v>
      </c>
      <c r="D53" s="113" t="s">
        <v>88</v>
      </c>
      <c r="E53" s="113" t="s">
        <v>115</v>
      </c>
      <c r="F53" s="114">
        <v>1</v>
      </c>
      <c r="G53" t="s">
        <v>456</v>
      </c>
      <c r="H53" t="s">
        <v>457</v>
      </c>
      <c r="I53" t="s">
        <v>458</v>
      </c>
      <c r="J53" t="s">
        <v>459</v>
      </c>
      <c r="K53" t="s">
        <v>460</v>
      </c>
      <c r="L53" t="s">
        <v>461</v>
      </c>
      <c r="M53" t="s">
        <v>198</v>
      </c>
      <c r="N53" s="120" t="s">
        <v>116</v>
      </c>
      <c r="O53" s="117" t="s">
        <v>116</v>
      </c>
      <c r="P53" s="117" t="s">
        <v>116</v>
      </c>
      <c r="Q53" s="117" t="s">
        <v>116</v>
      </c>
      <c r="R53" s="117">
        <f t="shared" si="3"/>
        <v>1</v>
      </c>
      <c r="S53" s="117" t="s">
        <v>117</v>
      </c>
      <c r="T53" s="117"/>
      <c r="U53" s="117">
        <v>7</v>
      </c>
      <c r="V53" s="117">
        <v>0</v>
      </c>
      <c r="W53" s="117"/>
      <c r="X53" s="116" t="s">
        <v>117</v>
      </c>
      <c r="Y53" s="116">
        <v>0</v>
      </c>
      <c r="Z53" s="118">
        <v>4.12</v>
      </c>
    </row>
    <row r="54" spans="1:26">
      <c r="A54" s="119">
        <f t="shared" si="1"/>
        <v>53</v>
      </c>
      <c r="B54" s="142" t="s">
        <v>189</v>
      </c>
      <c r="C54" s="252">
        <v>44745</v>
      </c>
      <c r="D54" s="113" t="s">
        <v>88</v>
      </c>
      <c r="E54" s="113" t="s">
        <v>115</v>
      </c>
      <c r="F54" s="114">
        <v>1</v>
      </c>
      <c r="G54" t="s">
        <v>462</v>
      </c>
      <c r="H54" t="s">
        <v>463</v>
      </c>
      <c r="J54" t="s">
        <v>464</v>
      </c>
      <c r="K54" t="s">
        <v>465</v>
      </c>
      <c r="L54" s="3" t="s">
        <v>466</v>
      </c>
      <c r="M54" t="s">
        <v>198</v>
      </c>
      <c r="N54" s="120" t="s">
        <v>116</v>
      </c>
      <c r="O54" s="117" t="s">
        <v>116</v>
      </c>
      <c r="P54" s="117" t="s">
        <v>116</v>
      </c>
      <c r="Q54" s="117" t="s">
        <v>116</v>
      </c>
      <c r="R54" s="117">
        <f t="shared" si="3"/>
        <v>1</v>
      </c>
      <c r="S54" s="117" t="s">
        <v>117</v>
      </c>
      <c r="T54" s="117"/>
      <c r="U54" s="117">
        <v>7</v>
      </c>
      <c r="V54" s="117">
        <v>0</v>
      </c>
      <c r="W54" s="117"/>
      <c r="X54" s="116" t="s">
        <v>117</v>
      </c>
      <c r="Y54" s="116">
        <v>0</v>
      </c>
      <c r="Z54" s="118">
        <v>3.98</v>
      </c>
    </row>
    <row r="55" spans="1:26">
      <c r="A55" s="119">
        <f t="shared" si="1"/>
        <v>54</v>
      </c>
      <c r="B55" s="119" t="s">
        <v>190</v>
      </c>
      <c r="C55" s="251">
        <v>44748</v>
      </c>
      <c r="D55" s="113" t="s">
        <v>88</v>
      </c>
      <c r="E55" s="113" t="s">
        <v>115</v>
      </c>
      <c r="F55" s="114">
        <v>1</v>
      </c>
      <c r="G55" t="s">
        <v>467</v>
      </c>
      <c r="H55" t="s">
        <v>468</v>
      </c>
      <c r="J55" t="s">
        <v>469</v>
      </c>
      <c r="K55" t="s">
        <v>469</v>
      </c>
      <c r="L55" t="s">
        <v>470</v>
      </c>
      <c r="M55" t="s">
        <v>198</v>
      </c>
      <c r="N55" s="120" t="s">
        <v>116</v>
      </c>
      <c r="O55" s="117" t="s">
        <v>116</v>
      </c>
      <c r="P55" s="117" t="s">
        <v>116</v>
      </c>
      <c r="Q55" s="123" t="s">
        <v>116</v>
      </c>
      <c r="R55" s="117">
        <f t="shared" si="3"/>
        <v>1</v>
      </c>
      <c r="S55" s="117" t="s">
        <v>117</v>
      </c>
      <c r="T55" s="117"/>
      <c r="U55" s="117">
        <v>7</v>
      </c>
      <c r="V55" s="117">
        <v>0</v>
      </c>
      <c r="W55" s="117"/>
      <c r="X55" s="116" t="s">
        <v>117</v>
      </c>
      <c r="Y55" s="116">
        <v>0</v>
      </c>
      <c r="Z55" s="118">
        <v>2.96</v>
      </c>
    </row>
    <row r="56" spans="1:26">
      <c r="A56" s="124"/>
      <c r="B56" s="124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6" t="s">
        <v>118</v>
      </c>
      <c r="R56" s="127">
        <f>AVERAGE(R2:R55)</f>
        <v>1</v>
      </c>
      <c r="S56" s="125"/>
      <c r="T56" s="125"/>
      <c r="U56" s="125"/>
      <c r="V56" s="125"/>
      <c r="W56" s="125"/>
      <c r="X56" s="125"/>
      <c r="Y56" s="125"/>
      <c r="Z56" s="129">
        <f>AVERAGE(Z2:Z55)</f>
        <v>3.8137037037037036</v>
      </c>
    </row>
  </sheetData>
  <mergeCells count="14">
    <mergeCell ref="AC18:AE18"/>
    <mergeCell ref="AC19:AE19"/>
    <mergeCell ref="AC8:AE8"/>
    <mergeCell ref="AC9:AE9"/>
    <mergeCell ref="AC10:AE10"/>
    <mergeCell ref="AC11:AE11"/>
    <mergeCell ref="AC16:AF16"/>
    <mergeCell ref="AC17:AE17"/>
    <mergeCell ref="AC7:AE7"/>
    <mergeCell ref="AC2:AF2"/>
    <mergeCell ref="AC3:AE3"/>
    <mergeCell ref="AC4:AE4"/>
    <mergeCell ref="AC5:AE5"/>
    <mergeCell ref="AC6:AE6"/>
  </mergeCells>
  <conditionalFormatting sqref="I2">
    <cfRule type="duplicateValues" dxfId="64" priority="66" stopIfTrue="1"/>
    <cfRule type="duplicateValues" dxfId="63" priority="67" stopIfTrue="1"/>
    <cfRule type="duplicateValues" dxfId="62" priority="68" stopIfTrue="1"/>
  </conditionalFormatting>
  <conditionalFormatting sqref="I2">
    <cfRule type="duplicateValues" dxfId="61" priority="65" stopIfTrue="1"/>
  </conditionalFormatting>
  <conditionalFormatting sqref="I2">
    <cfRule type="duplicateValues" dxfId="60" priority="64"/>
  </conditionalFormatting>
  <conditionalFormatting sqref="I3">
    <cfRule type="duplicateValues" dxfId="59" priority="61" stopIfTrue="1"/>
    <cfRule type="duplicateValues" dxfId="58" priority="62" stopIfTrue="1"/>
    <cfRule type="duplicateValues" dxfId="57" priority="63" stopIfTrue="1"/>
  </conditionalFormatting>
  <conditionalFormatting sqref="I3">
    <cfRule type="duplicateValues" dxfId="56" priority="60" stopIfTrue="1"/>
  </conditionalFormatting>
  <conditionalFormatting sqref="I3">
    <cfRule type="duplicateValues" dxfId="55" priority="59"/>
  </conditionalFormatting>
  <conditionalFormatting sqref="I4">
    <cfRule type="duplicateValues" dxfId="54" priority="56"/>
    <cfRule type="duplicateValues" dxfId="53" priority="57"/>
    <cfRule type="duplicateValues" dxfId="52" priority="58"/>
  </conditionalFormatting>
  <conditionalFormatting sqref="I5">
    <cfRule type="duplicateValues" dxfId="51" priority="53"/>
    <cfRule type="duplicateValues" dxfId="50" priority="54"/>
    <cfRule type="duplicateValues" dxfId="49" priority="55"/>
  </conditionalFormatting>
  <conditionalFormatting sqref="I6">
    <cfRule type="duplicateValues" dxfId="48" priority="52"/>
  </conditionalFormatting>
  <conditionalFormatting sqref="I7">
    <cfRule type="duplicateValues" dxfId="47" priority="51"/>
  </conditionalFormatting>
  <conditionalFormatting sqref="I8">
    <cfRule type="duplicateValues" dxfId="46" priority="49"/>
    <cfRule type="duplicateValues" dxfId="45" priority="50"/>
  </conditionalFormatting>
  <conditionalFormatting sqref="I9">
    <cfRule type="duplicateValues" dxfId="44" priority="47"/>
    <cfRule type="duplicateValues" dxfId="43" priority="48"/>
  </conditionalFormatting>
  <conditionalFormatting sqref="I10">
    <cfRule type="duplicateValues" dxfId="42" priority="45"/>
    <cfRule type="duplicateValues" dxfId="41" priority="46"/>
  </conditionalFormatting>
  <conditionalFormatting sqref="I11">
    <cfRule type="duplicateValues" dxfId="40" priority="44"/>
  </conditionalFormatting>
  <conditionalFormatting sqref="I12">
    <cfRule type="duplicateValues" dxfId="39" priority="43"/>
  </conditionalFormatting>
  <conditionalFormatting sqref="I13">
    <cfRule type="duplicateValues" dxfId="38" priority="42"/>
  </conditionalFormatting>
  <conditionalFormatting sqref="I14">
    <cfRule type="duplicateValues" dxfId="37" priority="41"/>
  </conditionalFormatting>
  <conditionalFormatting sqref="I15">
    <cfRule type="duplicateValues" dxfId="36" priority="39"/>
  </conditionalFormatting>
  <conditionalFormatting sqref="I16">
    <cfRule type="duplicateValues" dxfId="35" priority="36"/>
  </conditionalFormatting>
  <conditionalFormatting sqref="I17">
    <cfRule type="duplicateValues" dxfId="34" priority="35"/>
  </conditionalFormatting>
  <conditionalFormatting sqref="I18">
    <cfRule type="duplicateValues" dxfId="33" priority="34"/>
  </conditionalFormatting>
  <conditionalFormatting sqref="I19">
    <cfRule type="duplicateValues" dxfId="32" priority="33"/>
  </conditionalFormatting>
  <conditionalFormatting sqref="I21">
    <cfRule type="duplicateValues" dxfId="31" priority="32"/>
  </conditionalFormatting>
  <conditionalFormatting sqref="I22">
    <cfRule type="duplicateValues" dxfId="30" priority="31"/>
  </conditionalFormatting>
  <conditionalFormatting sqref="I23">
    <cfRule type="duplicateValues" dxfId="29" priority="30"/>
  </conditionalFormatting>
  <conditionalFormatting sqref="I24">
    <cfRule type="duplicateValues" dxfId="28" priority="29"/>
  </conditionalFormatting>
  <conditionalFormatting sqref="I25">
    <cfRule type="duplicateValues" dxfId="27" priority="28"/>
  </conditionalFormatting>
  <conditionalFormatting sqref="I26">
    <cfRule type="duplicateValues" dxfId="26" priority="27"/>
  </conditionalFormatting>
  <conditionalFormatting sqref="I27">
    <cfRule type="duplicateValues" dxfId="25" priority="26"/>
  </conditionalFormatting>
  <conditionalFormatting sqref="I28">
    <cfRule type="duplicateValues" dxfId="24" priority="25"/>
  </conditionalFormatting>
  <conditionalFormatting sqref="I29">
    <cfRule type="duplicateValues" dxfId="23" priority="24"/>
  </conditionalFormatting>
  <conditionalFormatting sqref="I30">
    <cfRule type="duplicateValues" dxfId="22" priority="23"/>
  </conditionalFormatting>
  <conditionalFormatting sqref="I31">
    <cfRule type="duplicateValues" dxfId="21" priority="22"/>
  </conditionalFormatting>
  <conditionalFormatting sqref="I32">
    <cfRule type="duplicateValues" dxfId="20" priority="21"/>
  </conditionalFormatting>
  <conditionalFormatting sqref="I33">
    <cfRule type="duplicateValues" dxfId="19" priority="20"/>
  </conditionalFormatting>
  <conditionalFormatting sqref="I34">
    <cfRule type="duplicateValues" dxfId="18" priority="19"/>
  </conditionalFormatting>
  <conditionalFormatting sqref="I35">
    <cfRule type="duplicateValues" dxfId="17" priority="18"/>
  </conditionalFormatting>
  <conditionalFormatting sqref="I36">
    <cfRule type="duplicateValues" dxfId="16" priority="17"/>
  </conditionalFormatting>
  <conditionalFormatting sqref="I37">
    <cfRule type="duplicateValues" dxfId="15" priority="16"/>
  </conditionalFormatting>
  <conditionalFormatting sqref="I38">
    <cfRule type="duplicateValues" dxfId="14" priority="15"/>
  </conditionalFormatting>
  <conditionalFormatting sqref="I39">
    <cfRule type="duplicateValues" dxfId="13" priority="14"/>
  </conditionalFormatting>
  <conditionalFormatting sqref="I40">
    <cfRule type="duplicateValues" dxfId="12" priority="13"/>
  </conditionalFormatting>
  <conditionalFormatting sqref="I42">
    <cfRule type="duplicateValues" dxfId="11" priority="12"/>
  </conditionalFormatting>
  <conditionalFormatting sqref="I43">
    <cfRule type="duplicateValues" dxfId="10" priority="11"/>
  </conditionalFormatting>
  <conditionalFormatting sqref="I46">
    <cfRule type="duplicateValues" dxfId="9" priority="10"/>
  </conditionalFormatting>
  <conditionalFormatting sqref="I47">
    <cfRule type="duplicateValues" dxfId="8" priority="9"/>
  </conditionalFormatting>
  <conditionalFormatting sqref="I48">
    <cfRule type="duplicateValues" dxfId="7" priority="7"/>
    <cfRule type="duplicateValues" dxfId="6" priority="8"/>
  </conditionalFormatting>
  <conditionalFormatting sqref="I49">
    <cfRule type="duplicateValues" dxfId="5" priority="5"/>
    <cfRule type="duplicateValues" dxfId="4" priority="6"/>
  </conditionalFormatting>
  <conditionalFormatting sqref="I50">
    <cfRule type="duplicateValues" dxfId="3" priority="3"/>
    <cfRule type="duplicateValues" dxfId="2" priority="4"/>
  </conditionalFormatting>
  <conditionalFormatting sqref="I51">
    <cfRule type="duplicateValues" dxfId="1" priority="2"/>
  </conditionalFormatting>
  <conditionalFormatting sqref="I52">
    <cfRule type="duplicateValues" dxfId="0" priority="1"/>
  </conditionalFormatting>
  <pageMargins left="0.7" right="0.7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G31" zoomScaleNormal="100" zoomScalePageLayoutView="120" workbookViewId="0">
      <selection activeCell="N13" sqref="N13"/>
    </sheetView>
  </sheetViews>
  <sheetFormatPr defaultColWidth="10.42578125" defaultRowHeight="15"/>
  <cols>
    <col min="2" max="2" width="20.28515625" customWidth="1"/>
    <col min="3" max="3" width="10.85546875" customWidth="1"/>
    <col min="4" max="4" width="25.42578125" customWidth="1"/>
    <col min="5" max="5" width="10.140625" bestFit="1" customWidth="1"/>
    <col min="6" max="6" width="10.42578125" bestFit="1" customWidth="1"/>
    <col min="7" max="7" width="15.5703125" customWidth="1"/>
    <col min="8" max="8" width="15.140625" customWidth="1"/>
    <col min="9" max="9" width="13.5703125" customWidth="1"/>
    <col min="10" max="10" width="13.140625" style="98" customWidth="1"/>
    <col min="11" max="11" width="16" style="98" customWidth="1"/>
    <col min="12" max="12" width="15.140625" style="98" customWidth="1"/>
    <col min="13" max="14" width="13.7109375" style="98" customWidth="1"/>
    <col min="15" max="15" width="14.140625" customWidth="1"/>
    <col min="16" max="16" width="8.85546875" customWidth="1"/>
    <col min="17" max="17" width="12.42578125" customWidth="1"/>
    <col min="18" max="18" width="8.28515625" customWidth="1"/>
  </cols>
  <sheetData>
    <row r="1" spans="1:18">
      <c r="A1" s="9"/>
      <c r="B1" s="9"/>
      <c r="C1" s="9"/>
      <c r="D1" s="9"/>
      <c r="E1" s="9"/>
      <c r="F1" s="9"/>
      <c r="G1" s="9"/>
      <c r="H1" s="9"/>
      <c r="I1" s="9"/>
      <c r="J1" s="97"/>
      <c r="K1" s="97"/>
      <c r="L1" s="97"/>
      <c r="M1" s="97"/>
      <c r="N1" s="97"/>
      <c r="O1" s="9"/>
      <c r="P1" s="9"/>
      <c r="Q1" s="9"/>
      <c r="R1" s="9"/>
    </row>
    <row r="2" spans="1:18" ht="15.75" thickBot="1">
      <c r="A2" s="10"/>
      <c r="B2" s="11"/>
      <c r="C2" s="257"/>
      <c r="D2" s="11"/>
      <c r="E2" s="11"/>
      <c r="F2" s="11"/>
      <c r="G2" s="11"/>
      <c r="H2" s="11"/>
      <c r="I2" s="11"/>
      <c r="J2" s="97"/>
      <c r="K2" s="97"/>
      <c r="L2" s="97"/>
      <c r="M2" s="97"/>
      <c r="N2" s="97"/>
      <c r="O2" s="11"/>
      <c r="P2" s="10"/>
      <c r="Q2" s="10"/>
      <c r="R2" s="10"/>
    </row>
    <row r="3" spans="1:18" ht="58.5" customHeight="1" thickBot="1">
      <c r="A3" s="10"/>
      <c r="B3" s="348" t="s">
        <v>16</v>
      </c>
      <c r="C3" s="349" t="s">
        <v>472</v>
      </c>
      <c r="D3" s="350" t="s">
        <v>17</v>
      </c>
      <c r="E3" s="11"/>
      <c r="F3" s="11"/>
      <c r="G3" s="376" t="s">
        <v>478</v>
      </c>
      <c r="H3" s="376" t="s">
        <v>479</v>
      </c>
      <c r="I3" s="376" t="s">
        <v>480</v>
      </c>
      <c r="J3" s="376" t="s">
        <v>481</v>
      </c>
      <c r="K3" s="376" t="s">
        <v>483</v>
      </c>
      <c r="L3" s="376" t="s">
        <v>492</v>
      </c>
      <c r="M3" s="376" t="s">
        <v>493</v>
      </c>
      <c r="N3" s="376" t="s">
        <v>206</v>
      </c>
      <c r="O3" s="11"/>
      <c r="P3" s="11"/>
      <c r="Q3" s="11"/>
      <c r="R3" s="11"/>
    </row>
    <row r="4" spans="1:18" ht="29.25" customHeight="1">
      <c r="A4" s="10"/>
      <c r="B4" s="351" t="s">
        <v>484</v>
      </c>
      <c r="C4" s="352">
        <f>'Survey Summery'!Z56*365/1000</f>
        <v>1.3920018518518518</v>
      </c>
      <c r="D4" s="381" t="s">
        <v>65</v>
      </c>
      <c r="E4" s="11"/>
      <c r="F4" s="11"/>
      <c r="G4" s="345" t="s">
        <v>474</v>
      </c>
      <c r="H4" s="379">
        <v>44683</v>
      </c>
      <c r="I4" s="379">
        <v>44926</v>
      </c>
      <c r="J4" s="346">
        <f>I4-H4+1</f>
        <v>244</v>
      </c>
      <c r="K4" s="347">
        <f>J50</f>
        <v>356610.70369290584</v>
      </c>
      <c r="L4" s="377">
        <f>71158*(J4/365)</f>
        <v>47568.635616438361</v>
      </c>
      <c r="M4" s="347">
        <f>J20</f>
        <v>28459.904855984467</v>
      </c>
      <c r="N4" s="378">
        <f>(M4-L4)/L4*100</f>
        <v>-40.170861562088746</v>
      </c>
      <c r="O4" s="11"/>
      <c r="P4" s="11"/>
      <c r="Q4" s="11"/>
      <c r="R4" s="11"/>
    </row>
    <row r="5" spans="1:18" ht="30.75" customHeight="1">
      <c r="A5" s="10"/>
      <c r="B5" s="353" t="s">
        <v>485</v>
      </c>
      <c r="C5" s="382">
        <f>0.9691*(1-0.26)</f>
        <v>0.71713399999999994</v>
      </c>
      <c r="D5" s="383" t="s">
        <v>494</v>
      </c>
      <c r="E5" s="11"/>
      <c r="F5" s="11"/>
      <c r="G5" s="345" t="s">
        <v>475</v>
      </c>
      <c r="H5" s="379">
        <v>44927</v>
      </c>
      <c r="I5" s="379">
        <v>45016</v>
      </c>
      <c r="J5" s="346">
        <f>I5-H5+1</f>
        <v>90</v>
      </c>
      <c r="K5" s="347">
        <f>N50</f>
        <v>251865.61961614917</v>
      </c>
      <c r="L5" s="377">
        <f>71158*(J5/365)</f>
        <v>17545.808219178081</v>
      </c>
      <c r="M5" s="347">
        <f>N20</f>
        <v>10540.705502216471</v>
      </c>
      <c r="N5" s="378">
        <f>(M5-L5)/L5*100</f>
        <v>-39.924651115842174</v>
      </c>
      <c r="O5" s="11"/>
      <c r="P5" s="11"/>
      <c r="Q5" s="11"/>
      <c r="R5" s="11"/>
    </row>
    <row r="6" spans="1:18" ht="15.95" customHeight="1">
      <c r="A6" s="10"/>
      <c r="B6" s="354" t="s">
        <v>486</v>
      </c>
      <c r="C6" s="355">
        <v>1.5599999999999999E-2</v>
      </c>
      <c r="D6" s="356" t="s">
        <v>65</v>
      </c>
      <c r="E6" s="11"/>
      <c r="F6" s="11"/>
      <c r="G6" s="452" t="s">
        <v>21</v>
      </c>
      <c r="H6" s="452"/>
      <c r="I6" s="452"/>
      <c r="J6" s="452"/>
      <c r="K6" s="375">
        <f>SUM(K4:K5)</f>
        <v>608476.32330905506</v>
      </c>
      <c r="L6" s="347">
        <f>SUM(L4:L5)</f>
        <v>65114.443835616446</v>
      </c>
      <c r="M6" s="347">
        <f>SUM(M4:M5)</f>
        <v>39000.610358200938</v>
      </c>
      <c r="N6" s="378">
        <f>(M6-L6)/L6*100</f>
        <v>-40.104517429866618</v>
      </c>
      <c r="O6" s="11"/>
      <c r="P6" s="11"/>
      <c r="Q6" s="11"/>
      <c r="R6" s="11"/>
    </row>
    <row r="7" spans="1:18" ht="15.95" customHeight="1">
      <c r="A7" s="10"/>
      <c r="B7" s="354" t="s">
        <v>487</v>
      </c>
      <c r="C7" s="357">
        <v>112</v>
      </c>
      <c r="D7" s="358" t="s">
        <v>65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5.95" customHeight="1">
      <c r="A8" s="10"/>
      <c r="B8" s="353" t="s">
        <v>488</v>
      </c>
      <c r="C8" s="359">
        <v>26.23</v>
      </c>
      <c r="D8" s="358" t="s">
        <v>65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5.95" customHeight="1">
      <c r="A9" s="10"/>
      <c r="B9" s="360" t="s">
        <v>489</v>
      </c>
      <c r="C9" s="361">
        <v>0.1</v>
      </c>
      <c r="D9" s="362" t="s">
        <v>65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15.95" customHeight="1">
      <c r="A10" s="10"/>
      <c r="B10" s="363" t="s">
        <v>490</v>
      </c>
      <c r="C10" s="364">
        <v>0.36130000000000001</v>
      </c>
      <c r="D10" s="365" t="s">
        <v>19</v>
      </c>
      <c r="E10" s="11"/>
      <c r="F10" s="13"/>
      <c r="G10" s="11"/>
      <c r="H10" s="11"/>
      <c r="I10" s="11"/>
      <c r="J10" s="11"/>
      <c r="K10" s="380"/>
      <c r="L10" s="380"/>
      <c r="M10" s="11"/>
      <c r="N10" s="11"/>
      <c r="O10" s="11"/>
      <c r="P10" s="11"/>
      <c r="Q10" s="11"/>
      <c r="R10" s="11"/>
    </row>
    <row r="11" spans="1:18" ht="15.95" customHeight="1">
      <c r="A11" s="10"/>
      <c r="B11" s="366" t="s">
        <v>18</v>
      </c>
      <c r="C11" s="367">
        <v>0.95</v>
      </c>
      <c r="D11" s="368" t="s">
        <v>65</v>
      </c>
      <c r="E11" s="11"/>
      <c r="F11" s="11"/>
      <c r="G11" s="11"/>
      <c r="H11" s="11"/>
      <c r="I11" s="11"/>
      <c r="J11" s="11"/>
      <c r="K11" s="380"/>
      <c r="L11" s="380"/>
      <c r="M11" s="380"/>
      <c r="N11" s="11"/>
      <c r="O11" s="11"/>
      <c r="P11" s="11"/>
      <c r="Q11" s="11"/>
      <c r="R11" s="11"/>
    </row>
    <row r="12" spans="1:18" ht="15.95" customHeight="1">
      <c r="A12" s="10"/>
      <c r="B12" s="369" t="s">
        <v>491</v>
      </c>
      <c r="C12" s="370">
        <f t="shared" ref="C12" si="0">C4*(C10/C9-1)</f>
        <v>3.6373008388888888</v>
      </c>
      <c r="D12" s="371" t="s">
        <v>19</v>
      </c>
      <c r="E12" s="11"/>
      <c r="F12" s="11"/>
      <c r="G12" s="11"/>
      <c r="H12" s="11"/>
      <c r="I12" s="11"/>
      <c r="J12" s="11"/>
      <c r="K12" s="380"/>
      <c r="L12" s="380"/>
      <c r="M12" s="11"/>
      <c r="N12" s="11"/>
      <c r="O12" s="11"/>
      <c r="P12" s="11"/>
      <c r="Q12" s="11"/>
      <c r="R12" s="11"/>
    </row>
    <row r="13" spans="1:18" ht="15.95" customHeight="1">
      <c r="A13" s="10"/>
      <c r="B13" s="372" t="s">
        <v>142</v>
      </c>
      <c r="C13" s="373">
        <f t="shared" ref="C13" si="1">C12*C6*1000/3600</f>
        <v>1.5761636968518518E-2</v>
      </c>
      <c r="D13" s="374"/>
      <c r="E13" s="11"/>
      <c r="F13" s="11"/>
      <c r="G13" s="11"/>
      <c r="H13" s="11"/>
      <c r="I13" s="11"/>
      <c r="J13" s="11"/>
      <c r="K13" s="11"/>
      <c r="L13" s="380"/>
      <c r="M13" s="11"/>
      <c r="N13" s="384"/>
      <c r="O13" s="11"/>
      <c r="P13" s="11"/>
      <c r="Q13" s="11"/>
      <c r="R13" s="11"/>
    </row>
    <row r="14" spans="1:18">
      <c r="A14" s="10"/>
      <c r="B14" s="92"/>
      <c r="C14" s="92"/>
      <c r="G14" s="13"/>
      <c r="H14" s="13"/>
      <c r="I14" s="13"/>
      <c r="J14" s="97"/>
      <c r="K14" s="97"/>
      <c r="L14" s="97"/>
      <c r="M14" s="97"/>
      <c r="N14" s="97"/>
      <c r="O14" s="12"/>
      <c r="P14" s="12"/>
    </row>
    <row r="15" spans="1:18">
      <c r="A15" s="10"/>
      <c r="B15" s="92"/>
      <c r="C15" s="92"/>
      <c r="G15" s="13"/>
      <c r="H15" s="13"/>
      <c r="I15" s="13"/>
      <c r="J15" s="97"/>
      <c r="K15" s="97"/>
      <c r="L15" s="97"/>
      <c r="M15" s="97"/>
      <c r="N15" s="97"/>
      <c r="O15" s="12"/>
      <c r="P15" s="12"/>
    </row>
    <row r="16" spans="1:18">
      <c r="A16" s="10"/>
      <c r="B16" s="92"/>
      <c r="C16" s="92"/>
      <c r="G16" s="13"/>
      <c r="H16" s="13"/>
      <c r="I16" s="13"/>
      <c r="J16" s="97"/>
      <c r="K16" s="97"/>
      <c r="L16" s="97"/>
      <c r="M16" s="97"/>
      <c r="N16" s="97"/>
      <c r="O16" s="12"/>
      <c r="P16" s="12"/>
    </row>
    <row r="17" spans="1:18">
      <c r="A17" s="10"/>
      <c r="B17" s="92"/>
      <c r="C17" s="92"/>
      <c r="G17" s="13"/>
      <c r="H17" s="13"/>
      <c r="I17" s="13"/>
      <c r="J17" s="97"/>
      <c r="K17" s="97"/>
      <c r="L17" s="97"/>
      <c r="M17" s="97"/>
      <c r="N17" s="97"/>
      <c r="O17" s="12"/>
      <c r="P17" s="12"/>
    </row>
    <row r="18" spans="1:18">
      <c r="A18" s="10"/>
      <c r="B18" s="454" t="s">
        <v>24</v>
      </c>
      <c r="C18" s="454" t="s">
        <v>28</v>
      </c>
      <c r="D18" s="454" t="s">
        <v>22</v>
      </c>
      <c r="E18" s="454" t="s">
        <v>202</v>
      </c>
      <c r="F18" s="454" t="s">
        <v>203</v>
      </c>
      <c r="G18" s="456" t="s">
        <v>474</v>
      </c>
      <c r="H18" s="456"/>
      <c r="I18" s="456"/>
      <c r="J18" s="456"/>
      <c r="K18" s="457" t="s">
        <v>475</v>
      </c>
      <c r="L18" s="457"/>
      <c r="M18" s="457"/>
      <c r="N18" s="457"/>
      <c r="O18" s="455" t="s">
        <v>205</v>
      </c>
      <c r="R18" s="92"/>
    </row>
    <row r="19" spans="1:18" ht="60">
      <c r="A19" s="10"/>
      <c r="B19" s="454"/>
      <c r="C19" s="454"/>
      <c r="D19" s="454"/>
      <c r="E19" s="454"/>
      <c r="F19" s="454"/>
      <c r="G19" s="249" t="s">
        <v>476</v>
      </c>
      <c r="H19" s="249" t="s">
        <v>477</v>
      </c>
      <c r="I19" s="249" t="s">
        <v>23</v>
      </c>
      <c r="J19" s="344" t="s">
        <v>25</v>
      </c>
      <c r="K19" s="249" t="s">
        <v>476</v>
      </c>
      <c r="L19" s="249" t="s">
        <v>477</v>
      </c>
      <c r="M19" s="249" t="s">
        <v>23</v>
      </c>
      <c r="N19" s="344" t="s">
        <v>25</v>
      </c>
      <c r="O19" s="455"/>
      <c r="R19" s="92"/>
    </row>
    <row r="20" spans="1:18">
      <c r="A20" s="10"/>
      <c r="B20" s="279" t="s">
        <v>40</v>
      </c>
      <c r="C20" s="149">
        <v>1</v>
      </c>
      <c r="D20" s="150">
        <v>8000</v>
      </c>
      <c r="E20" s="151">
        <v>44683</v>
      </c>
      <c r="F20" s="152">
        <v>44684</v>
      </c>
      <c r="G20" s="152">
        <f t="shared" ref="G20:G30" si="2">F20</f>
        <v>44684</v>
      </c>
      <c r="H20" s="152">
        <f>$I$4</f>
        <v>44926</v>
      </c>
      <c r="I20" s="153">
        <f>(H20-G20+1)/365</f>
        <v>0.66575342465753429</v>
      </c>
      <c r="J20" s="154">
        <f>D20*I20*$C$12*$C$6*$C$5*($C$7+$C$8)*$C$11</f>
        <v>28459.904855984467</v>
      </c>
      <c r="K20" s="282">
        <f>$H$5</f>
        <v>44927</v>
      </c>
      <c r="L20" s="282">
        <f>$I$5</f>
        <v>45016</v>
      </c>
      <c r="M20" s="314">
        <f>((L20-K20)+1)/365</f>
        <v>0.24657534246575341</v>
      </c>
      <c r="N20" s="154">
        <f>$C$12*$C$5*$C$6*($C$7+$C$8)*D20*$C$11*M20</f>
        <v>10540.705502216471</v>
      </c>
      <c r="O20" s="277">
        <f>$C$13*D20</f>
        <v>126.09309574814814</v>
      </c>
      <c r="Q20" s="258"/>
    </row>
    <row r="21" spans="1:18">
      <c r="A21" s="10"/>
      <c r="B21" s="280" t="s">
        <v>41</v>
      </c>
      <c r="C21" s="164">
        <v>1</v>
      </c>
      <c r="D21" s="165">
        <v>8000</v>
      </c>
      <c r="E21" s="166">
        <v>44685</v>
      </c>
      <c r="F21" s="167">
        <v>44686</v>
      </c>
      <c r="G21" s="167">
        <f t="shared" si="2"/>
        <v>44686</v>
      </c>
      <c r="H21" s="167">
        <f t="shared" ref="H21:H49" si="3">$I$4</f>
        <v>44926</v>
      </c>
      <c r="I21" s="168">
        <f t="shared" ref="I21:I26" si="4">(H21-G21+1)/365</f>
        <v>0.66027397260273968</v>
      </c>
      <c r="J21" s="169">
        <f t="shared" ref="J21:J49" si="5">D21*I21*$C$12*$C$6*$C$5*($C$7+$C$8)*$C$11</f>
        <v>28225.666955935216</v>
      </c>
      <c r="K21" s="310">
        <f t="shared" ref="K21:K24" si="6">$H$5</f>
        <v>44927</v>
      </c>
      <c r="L21" s="283">
        <f t="shared" ref="L21:L49" si="7">$I$5</f>
        <v>45016</v>
      </c>
      <c r="M21" s="315">
        <f t="shared" ref="M21:M49" si="8">((L21-K21)+1)/365</f>
        <v>0.24657534246575341</v>
      </c>
      <c r="N21" s="169">
        <f t="shared" ref="N21:N49" si="9">$C$12*$C$5*$C$6*($C$7+$C$8)*D21*$C$11*M21</f>
        <v>10540.705502216471</v>
      </c>
      <c r="O21" s="278">
        <f t="shared" ref="O21:O49" si="10">$C$13*D21</f>
        <v>126.09309574814814</v>
      </c>
    </row>
    <row r="22" spans="1:18">
      <c r="A22" s="10"/>
      <c r="B22" s="281" t="s">
        <v>42</v>
      </c>
      <c r="C22" s="170">
        <v>1</v>
      </c>
      <c r="D22" s="32">
        <v>8000</v>
      </c>
      <c r="E22" s="171">
        <v>44688</v>
      </c>
      <c r="F22" s="33">
        <v>44689</v>
      </c>
      <c r="G22" s="33">
        <f t="shared" si="2"/>
        <v>44689</v>
      </c>
      <c r="H22" s="33">
        <f t="shared" si="3"/>
        <v>44926</v>
      </c>
      <c r="I22" s="34">
        <f t="shared" si="4"/>
        <v>0.65205479452054793</v>
      </c>
      <c r="J22" s="99">
        <f t="shared" si="5"/>
        <v>27874.310105861328</v>
      </c>
      <c r="K22" s="284">
        <f t="shared" si="6"/>
        <v>44927</v>
      </c>
      <c r="L22" s="284">
        <f t="shared" si="7"/>
        <v>45016</v>
      </c>
      <c r="M22" s="316">
        <f t="shared" si="8"/>
        <v>0.24657534246575341</v>
      </c>
      <c r="N22" s="99">
        <f t="shared" si="9"/>
        <v>10540.705502216471</v>
      </c>
      <c r="O22" s="99">
        <f t="shared" si="10"/>
        <v>126.09309574814814</v>
      </c>
    </row>
    <row r="23" spans="1:18">
      <c r="A23" s="10"/>
      <c r="B23" s="179" t="s">
        <v>93</v>
      </c>
      <c r="C23" s="180">
        <v>1</v>
      </c>
      <c r="D23" s="181">
        <v>2272</v>
      </c>
      <c r="E23" s="182">
        <v>44719</v>
      </c>
      <c r="F23" s="182">
        <v>44688</v>
      </c>
      <c r="G23" s="182">
        <v>44688</v>
      </c>
      <c r="H23" s="182">
        <f t="shared" si="3"/>
        <v>44926</v>
      </c>
      <c r="I23" s="183">
        <f t="shared" si="4"/>
        <v>0.65479452054794518</v>
      </c>
      <c r="J23" s="184">
        <f t="shared" si="5"/>
        <v>7949.5658518716109</v>
      </c>
      <c r="K23" s="285">
        <f t="shared" si="6"/>
        <v>44927</v>
      </c>
      <c r="L23" s="285">
        <f t="shared" si="7"/>
        <v>45016</v>
      </c>
      <c r="M23" s="317">
        <f t="shared" si="8"/>
        <v>0.24657534246575341</v>
      </c>
      <c r="N23" s="184">
        <f t="shared" si="9"/>
        <v>2993.5603626294778</v>
      </c>
      <c r="O23" s="184">
        <f t="shared" si="10"/>
        <v>35.810439192474071</v>
      </c>
    </row>
    <row r="24" spans="1:18">
      <c r="A24" s="10"/>
      <c r="B24" s="62" t="s">
        <v>43</v>
      </c>
      <c r="C24" s="185">
        <v>1</v>
      </c>
      <c r="D24" s="186">
        <v>8000</v>
      </c>
      <c r="E24" s="63">
        <v>44693</v>
      </c>
      <c r="F24" s="63">
        <v>44695</v>
      </c>
      <c r="G24" s="63">
        <f t="shared" si="2"/>
        <v>44695</v>
      </c>
      <c r="H24" s="63">
        <f t="shared" si="3"/>
        <v>44926</v>
      </c>
      <c r="I24" s="187">
        <f t="shared" si="4"/>
        <v>0.63561643835616444</v>
      </c>
      <c r="J24" s="188">
        <f t="shared" si="5"/>
        <v>27171.596405713568</v>
      </c>
      <c r="K24" s="286">
        <f t="shared" si="6"/>
        <v>44927</v>
      </c>
      <c r="L24" s="286">
        <f t="shared" si="7"/>
        <v>45016</v>
      </c>
      <c r="M24" s="318">
        <f t="shared" si="8"/>
        <v>0.24657534246575341</v>
      </c>
      <c r="N24" s="188">
        <f t="shared" si="9"/>
        <v>10540.705502216471</v>
      </c>
      <c r="O24" s="188">
        <f t="shared" si="10"/>
        <v>126.09309574814814</v>
      </c>
      <c r="P24" s="247"/>
    </row>
    <row r="25" spans="1:18">
      <c r="A25" s="10"/>
      <c r="B25" s="53" t="s">
        <v>44</v>
      </c>
      <c r="C25" s="161">
        <v>1</v>
      </c>
      <c r="D25" s="162">
        <v>2000</v>
      </c>
      <c r="E25" s="54">
        <v>44935</v>
      </c>
      <c r="F25" s="54">
        <v>44937</v>
      </c>
      <c r="G25" s="311" t="s">
        <v>482</v>
      </c>
      <c r="H25" s="311" t="s">
        <v>482</v>
      </c>
      <c r="I25" s="312" t="s">
        <v>482</v>
      </c>
      <c r="J25" s="313" t="s">
        <v>482</v>
      </c>
      <c r="K25" s="287">
        <f>F25</f>
        <v>44937</v>
      </c>
      <c r="L25" s="287">
        <f t="shared" si="7"/>
        <v>45016</v>
      </c>
      <c r="M25" s="319">
        <f t="shared" si="8"/>
        <v>0.21917808219178081</v>
      </c>
      <c r="N25" s="163">
        <f t="shared" si="9"/>
        <v>2342.3790004925495</v>
      </c>
      <c r="O25" s="163">
        <f t="shared" si="10"/>
        <v>31.523273937037036</v>
      </c>
    </row>
    <row r="26" spans="1:18">
      <c r="A26" s="10"/>
      <c r="B26" s="194" t="s">
        <v>45</v>
      </c>
      <c r="C26" s="195">
        <v>1</v>
      </c>
      <c r="D26" s="196">
        <v>8000</v>
      </c>
      <c r="E26" s="197">
        <v>44775</v>
      </c>
      <c r="F26" s="197">
        <v>44776</v>
      </c>
      <c r="G26" s="197">
        <f t="shared" si="2"/>
        <v>44776</v>
      </c>
      <c r="H26" s="197">
        <f t="shared" si="3"/>
        <v>44926</v>
      </c>
      <c r="I26" s="198">
        <f t="shared" si="4"/>
        <v>0.41369863013698632</v>
      </c>
      <c r="J26" s="199">
        <f t="shared" si="5"/>
        <v>17684.961453718744</v>
      </c>
      <c r="K26" s="288">
        <f>$H$5</f>
        <v>44927</v>
      </c>
      <c r="L26" s="288">
        <f t="shared" si="7"/>
        <v>45016</v>
      </c>
      <c r="M26" s="320">
        <f t="shared" si="8"/>
        <v>0.24657534246575341</v>
      </c>
      <c r="N26" s="199">
        <f t="shared" si="9"/>
        <v>10540.705502216471</v>
      </c>
      <c r="O26" s="199">
        <f t="shared" si="10"/>
        <v>126.09309574814814</v>
      </c>
    </row>
    <row r="27" spans="1:18">
      <c r="B27" s="55" t="s">
        <v>91</v>
      </c>
      <c r="C27" s="200">
        <v>1</v>
      </c>
      <c r="D27" s="201">
        <f>3840+4160</f>
        <v>8000</v>
      </c>
      <c r="E27" s="57">
        <v>44779</v>
      </c>
      <c r="F27" s="56">
        <v>44780</v>
      </c>
      <c r="G27" s="57">
        <f t="shared" si="2"/>
        <v>44780</v>
      </c>
      <c r="H27" s="57">
        <f t="shared" si="3"/>
        <v>44926</v>
      </c>
      <c r="I27" s="202">
        <f t="shared" ref="I27:I49" si="11">(H27-G27+1)/365</f>
        <v>0.40273972602739727</v>
      </c>
      <c r="J27" s="203">
        <f t="shared" si="5"/>
        <v>17216.485653620231</v>
      </c>
      <c r="K27" s="289">
        <f t="shared" ref="K27:K41" si="12">$H$5</f>
        <v>44927</v>
      </c>
      <c r="L27" s="289">
        <f t="shared" si="7"/>
        <v>45016</v>
      </c>
      <c r="M27" s="321">
        <f t="shared" si="8"/>
        <v>0.24657534246575341</v>
      </c>
      <c r="N27" s="203">
        <f t="shared" si="9"/>
        <v>10540.705502216471</v>
      </c>
      <c r="O27" s="203">
        <f t="shared" si="10"/>
        <v>126.09309574814814</v>
      </c>
      <c r="Q27" s="14"/>
      <c r="R27" s="14"/>
    </row>
    <row r="28" spans="1:18">
      <c r="B28" s="49" t="s">
        <v>204</v>
      </c>
      <c r="C28" s="49">
        <v>1</v>
      </c>
      <c r="D28" s="50">
        <f>3458+2579+1963</f>
        <v>8000</v>
      </c>
      <c r="E28" s="51">
        <v>44808</v>
      </c>
      <c r="F28" s="51">
        <v>44810</v>
      </c>
      <c r="G28" s="51">
        <f t="shared" si="2"/>
        <v>44810</v>
      </c>
      <c r="H28" s="51">
        <f t="shared" si="3"/>
        <v>44926</v>
      </c>
      <c r="I28" s="189">
        <f t="shared" si="11"/>
        <v>0.32054794520547947</v>
      </c>
      <c r="J28" s="190">
        <f t="shared" si="5"/>
        <v>13702.917152881413</v>
      </c>
      <c r="K28" s="290">
        <f t="shared" si="12"/>
        <v>44927</v>
      </c>
      <c r="L28" s="290">
        <f t="shared" si="7"/>
        <v>45016</v>
      </c>
      <c r="M28" s="322">
        <f t="shared" si="8"/>
        <v>0.24657534246575341</v>
      </c>
      <c r="N28" s="190">
        <f t="shared" si="9"/>
        <v>10540.705502216471</v>
      </c>
      <c r="O28" s="190">
        <f t="shared" si="10"/>
        <v>126.09309574814814</v>
      </c>
    </row>
    <row r="29" spans="1:18">
      <c r="B29" s="204" t="s">
        <v>46</v>
      </c>
      <c r="C29" s="204">
        <v>1</v>
      </c>
      <c r="D29" s="205">
        <f>3939+4061</f>
        <v>8000</v>
      </c>
      <c r="E29" s="206">
        <v>44813</v>
      </c>
      <c r="F29" s="206">
        <v>44814</v>
      </c>
      <c r="G29" s="206">
        <f t="shared" si="2"/>
        <v>44814</v>
      </c>
      <c r="H29" s="206">
        <f t="shared" si="3"/>
        <v>44926</v>
      </c>
      <c r="I29" s="207">
        <f t="shared" si="11"/>
        <v>0.30958904109589042</v>
      </c>
      <c r="J29" s="208">
        <f t="shared" si="5"/>
        <v>13234.4413527829</v>
      </c>
      <c r="K29" s="291">
        <f t="shared" si="12"/>
        <v>44927</v>
      </c>
      <c r="L29" s="291">
        <f t="shared" si="7"/>
        <v>45016</v>
      </c>
      <c r="M29" s="323">
        <f t="shared" si="8"/>
        <v>0.24657534246575341</v>
      </c>
      <c r="N29" s="208">
        <f t="shared" si="9"/>
        <v>10540.705502216471</v>
      </c>
      <c r="O29" s="208">
        <f t="shared" si="10"/>
        <v>126.09309574814814</v>
      </c>
    </row>
    <row r="30" spans="1:18">
      <c r="B30" s="172" t="s">
        <v>47</v>
      </c>
      <c r="C30" s="172">
        <v>1</v>
      </c>
      <c r="D30" s="173">
        <v>71</v>
      </c>
      <c r="E30" s="174">
        <v>44814</v>
      </c>
      <c r="F30" s="174">
        <v>44814</v>
      </c>
      <c r="G30" s="174">
        <f t="shared" si="2"/>
        <v>44814</v>
      </c>
      <c r="H30" s="174">
        <f t="shared" si="3"/>
        <v>44926</v>
      </c>
      <c r="I30" s="175">
        <f t="shared" si="11"/>
        <v>0.30958904109589042</v>
      </c>
      <c r="J30" s="176">
        <f t="shared" si="5"/>
        <v>117.45566700594827</v>
      </c>
      <c r="K30" s="292">
        <f t="shared" si="12"/>
        <v>44927</v>
      </c>
      <c r="L30" s="292">
        <f t="shared" si="7"/>
        <v>45016</v>
      </c>
      <c r="M30" s="324">
        <f t="shared" si="8"/>
        <v>0.24657534246575341</v>
      </c>
      <c r="N30" s="176">
        <f t="shared" si="9"/>
        <v>93.548761332171182</v>
      </c>
      <c r="O30" s="176">
        <f t="shared" si="10"/>
        <v>1.1190762247648147</v>
      </c>
      <c r="R30" s="43"/>
    </row>
    <row r="31" spans="1:18">
      <c r="B31" s="60" t="s">
        <v>48</v>
      </c>
      <c r="C31" s="60">
        <v>1</v>
      </c>
      <c r="D31" s="160">
        <f>3592+4408</f>
        <v>8000</v>
      </c>
      <c r="E31" s="61">
        <v>44867</v>
      </c>
      <c r="F31" s="61">
        <v>44868</v>
      </c>
      <c r="G31" s="61">
        <f t="shared" ref="G31:G49" si="13">F31</f>
        <v>44868</v>
      </c>
      <c r="H31" s="61">
        <f t="shared" si="3"/>
        <v>44926</v>
      </c>
      <c r="I31" s="68">
        <f t="shared" si="11"/>
        <v>0.16164383561643836</v>
      </c>
      <c r="J31" s="262">
        <f t="shared" si="5"/>
        <v>6910.0180514530193</v>
      </c>
      <c r="K31" s="293">
        <f t="shared" si="12"/>
        <v>44927</v>
      </c>
      <c r="L31" s="293">
        <f t="shared" si="7"/>
        <v>45016</v>
      </c>
      <c r="M31" s="325">
        <f t="shared" si="8"/>
        <v>0.24657534246575341</v>
      </c>
      <c r="N31" s="262">
        <f t="shared" si="9"/>
        <v>10540.705502216471</v>
      </c>
      <c r="O31" s="262">
        <f t="shared" si="10"/>
        <v>126.09309574814814</v>
      </c>
    </row>
    <row r="32" spans="1:18">
      <c r="B32" s="212" t="s">
        <v>49</v>
      </c>
      <c r="C32" s="212">
        <v>1</v>
      </c>
      <c r="D32" s="213">
        <f>4722+3278</f>
        <v>8000</v>
      </c>
      <c r="E32" s="214">
        <v>44869</v>
      </c>
      <c r="F32" s="215">
        <v>44870</v>
      </c>
      <c r="G32" s="214">
        <f t="shared" si="13"/>
        <v>44870</v>
      </c>
      <c r="H32" s="214">
        <f t="shared" si="3"/>
        <v>44926</v>
      </c>
      <c r="I32" s="216">
        <f t="shared" si="11"/>
        <v>0.15616438356164383</v>
      </c>
      <c r="J32" s="263">
        <f t="shared" si="5"/>
        <v>6675.7801514037637</v>
      </c>
      <c r="K32" s="294">
        <f t="shared" si="12"/>
        <v>44927</v>
      </c>
      <c r="L32" s="294">
        <f t="shared" si="7"/>
        <v>45016</v>
      </c>
      <c r="M32" s="326">
        <f t="shared" si="8"/>
        <v>0.24657534246575341</v>
      </c>
      <c r="N32" s="263">
        <f t="shared" si="9"/>
        <v>10540.705502216471</v>
      </c>
      <c r="O32" s="263">
        <f t="shared" si="10"/>
        <v>126.09309574814814</v>
      </c>
    </row>
    <row r="33" spans="2:15">
      <c r="B33" s="64" t="s">
        <v>50</v>
      </c>
      <c r="C33" s="64">
        <v>1</v>
      </c>
      <c r="D33" s="191">
        <f>4843+3157</f>
        <v>8000</v>
      </c>
      <c r="E33" s="65">
        <v>44872</v>
      </c>
      <c r="F33" s="65">
        <v>44873</v>
      </c>
      <c r="G33" s="65">
        <f t="shared" si="13"/>
        <v>44873</v>
      </c>
      <c r="H33" s="65">
        <f t="shared" si="3"/>
        <v>44926</v>
      </c>
      <c r="I33" s="69">
        <f t="shared" si="11"/>
        <v>0.14794520547945206</v>
      </c>
      <c r="J33" s="266">
        <f t="shared" si="5"/>
        <v>6324.4233013298817</v>
      </c>
      <c r="K33" s="295">
        <f t="shared" si="12"/>
        <v>44927</v>
      </c>
      <c r="L33" s="295">
        <f t="shared" si="7"/>
        <v>45016</v>
      </c>
      <c r="M33" s="327">
        <f t="shared" si="8"/>
        <v>0.24657534246575341</v>
      </c>
      <c r="N33" s="266">
        <f t="shared" si="9"/>
        <v>10540.705502216471</v>
      </c>
      <c r="O33" s="266">
        <f t="shared" si="10"/>
        <v>126.09309574814814</v>
      </c>
    </row>
    <row r="34" spans="2:15">
      <c r="B34" s="30" t="s">
        <v>51</v>
      </c>
      <c r="C34" s="30">
        <v>1</v>
      </c>
      <c r="D34" s="31">
        <f>2344+977+4679</f>
        <v>8000</v>
      </c>
      <c r="E34" s="29">
        <v>44873</v>
      </c>
      <c r="F34" s="29">
        <v>44875</v>
      </c>
      <c r="G34" s="29">
        <f t="shared" si="13"/>
        <v>44875</v>
      </c>
      <c r="H34" s="29">
        <f t="shared" si="3"/>
        <v>44926</v>
      </c>
      <c r="I34" s="67">
        <f t="shared" si="11"/>
        <v>0.14246575342465753</v>
      </c>
      <c r="J34" s="271">
        <f t="shared" si="5"/>
        <v>6090.1854012806261</v>
      </c>
      <c r="K34" s="296">
        <f t="shared" si="12"/>
        <v>44927</v>
      </c>
      <c r="L34" s="296">
        <f t="shared" si="7"/>
        <v>45016</v>
      </c>
      <c r="M34" s="328">
        <f t="shared" si="8"/>
        <v>0.24657534246575341</v>
      </c>
      <c r="N34" s="271">
        <f t="shared" si="9"/>
        <v>10540.705502216471</v>
      </c>
      <c r="O34" s="271">
        <f t="shared" si="10"/>
        <v>126.09309574814814</v>
      </c>
    </row>
    <row r="35" spans="2:15">
      <c r="B35" s="209" t="s">
        <v>52</v>
      </c>
      <c r="C35" s="209">
        <v>1</v>
      </c>
      <c r="D35" s="210">
        <f>4822+3178</f>
        <v>8000</v>
      </c>
      <c r="E35" s="211">
        <v>44747</v>
      </c>
      <c r="F35" s="211">
        <v>44748</v>
      </c>
      <c r="G35" s="211">
        <f t="shared" si="13"/>
        <v>44748</v>
      </c>
      <c r="H35" s="211">
        <f t="shared" si="3"/>
        <v>44926</v>
      </c>
      <c r="I35" s="219">
        <f t="shared" si="11"/>
        <v>0.49041095890410957</v>
      </c>
      <c r="J35" s="272">
        <f t="shared" si="5"/>
        <v>20964.292054408314</v>
      </c>
      <c r="K35" s="297">
        <f t="shared" si="12"/>
        <v>44927</v>
      </c>
      <c r="L35" s="297">
        <f t="shared" si="7"/>
        <v>45016</v>
      </c>
      <c r="M35" s="329">
        <f t="shared" si="8"/>
        <v>0.24657534246575341</v>
      </c>
      <c r="N35" s="272">
        <f t="shared" si="9"/>
        <v>10540.705502216471</v>
      </c>
      <c r="O35" s="272">
        <f t="shared" si="10"/>
        <v>126.09309574814814</v>
      </c>
    </row>
    <row r="36" spans="2:15">
      <c r="B36" s="58" t="s">
        <v>53</v>
      </c>
      <c r="C36" s="58">
        <v>1</v>
      </c>
      <c r="D36" s="220">
        <f>2517+2900+2383</f>
        <v>7800</v>
      </c>
      <c r="E36" s="59">
        <v>44776</v>
      </c>
      <c r="F36" s="59">
        <v>44780</v>
      </c>
      <c r="G36" s="59">
        <f t="shared" si="13"/>
        <v>44780</v>
      </c>
      <c r="H36" s="59">
        <f t="shared" si="3"/>
        <v>44926</v>
      </c>
      <c r="I36" s="221">
        <f t="shared" si="11"/>
        <v>0.40273972602739727</v>
      </c>
      <c r="J36" s="222">
        <f t="shared" si="5"/>
        <v>16786.073512279727</v>
      </c>
      <c r="K36" s="298">
        <f t="shared" si="12"/>
        <v>44927</v>
      </c>
      <c r="L36" s="298">
        <f t="shared" si="7"/>
        <v>45016</v>
      </c>
      <c r="M36" s="330">
        <f t="shared" si="8"/>
        <v>0.24657534246575341</v>
      </c>
      <c r="N36" s="222">
        <f t="shared" si="9"/>
        <v>10277.187864661058</v>
      </c>
      <c r="O36" s="222">
        <f t="shared" si="10"/>
        <v>122.94076835444444</v>
      </c>
    </row>
    <row r="37" spans="2:15">
      <c r="B37" s="155" t="s">
        <v>54</v>
      </c>
      <c r="C37" s="155">
        <v>1</v>
      </c>
      <c r="D37" s="156">
        <f>5501+2499</f>
        <v>8000</v>
      </c>
      <c r="E37" s="157">
        <v>44897</v>
      </c>
      <c r="F37" s="157">
        <v>44898</v>
      </c>
      <c r="G37" s="157">
        <f>F37</f>
        <v>44898</v>
      </c>
      <c r="H37" s="157">
        <f t="shared" si="3"/>
        <v>44926</v>
      </c>
      <c r="I37" s="158">
        <f t="shared" si="11"/>
        <v>7.9452054794520555E-2</v>
      </c>
      <c r="J37" s="159">
        <f t="shared" si="5"/>
        <v>3396.449550714196</v>
      </c>
      <c r="K37" s="299">
        <f t="shared" si="12"/>
        <v>44927</v>
      </c>
      <c r="L37" s="299">
        <f t="shared" si="7"/>
        <v>45016</v>
      </c>
      <c r="M37" s="331">
        <f t="shared" si="8"/>
        <v>0.24657534246575341</v>
      </c>
      <c r="N37" s="159">
        <f t="shared" si="9"/>
        <v>10540.705502216471</v>
      </c>
      <c r="O37" s="159">
        <f t="shared" si="10"/>
        <v>126.09309574814814</v>
      </c>
    </row>
    <row r="38" spans="2:15">
      <c r="B38" s="223" t="s">
        <v>55</v>
      </c>
      <c r="C38" s="223">
        <v>1</v>
      </c>
      <c r="D38" s="224">
        <f>4032+3968</f>
        <v>8000</v>
      </c>
      <c r="E38" s="225">
        <v>44837</v>
      </c>
      <c r="F38" s="225">
        <v>44838</v>
      </c>
      <c r="G38" s="225">
        <f t="shared" si="13"/>
        <v>44838</v>
      </c>
      <c r="H38" s="225">
        <f t="shared" si="3"/>
        <v>44926</v>
      </c>
      <c r="I38" s="226">
        <f t="shared" si="11"/>
        <v>0.24383561643835616</v>
      </c>
      <c r="J38" s="268">
        <f t="shared" si="5"/>
        <v>10423.58655219184</v>
      </c>
      <c r="K38" s="300">
        <f t="shared" si="12"/>
        <v>44927</v>
      </c>
      <c r="L38" s="300">
        <f t="shared" si="7"/>
        <v>45016</v>
      </c>
      <c r="M38" s="332">
        <f t="shared" si="8"/>
        <v>0.24657534246575341</v>
      </c>
      <c r="N38" s="268">
        <f t="shared" si="9"/>
        <v>10540.705502216471</v>
      </c>
      <c r="O38" s="268">
        <f t="shared" si="10"/>
        <v>126.09309574814814</v>
      </c>
    </row>
    <row r="39" spans="2:15">
      <c r="B39" s="227" t="s">
        <v>56</v>
      </c>
      <c r="C39" s="227">
        <v>1</v>
      </c>
      <c r="D39" s="228">
        <f>3962+4038</f>
        <v>8000</v>
      </c>
      <c r="E39" s="229">
        <v>44840</v>
      </c>
      <c r="F39" s="229">
        <v>44841</v>
      </c>
      <c r="G39" s="229">
        <f t="shared" si="13"/>
        <v>44841</v>
      </c>
      <c r="H39" s="229">
        <f t="shared" si="3"/>
        <v>44926</v>
      </c>
      <c r="I39" s="230">
        <f t="shared" si="11"/>
        <v>0.23561643835616439</v>
      </c>
      <c r="J39" s="274">
        <f t="shared" si="5"/>
        <v>10072.22970211796</v>
      </c>
      <c r="K39" s="301">
        <f t="shared" si="12"/>
        <v>44927</v>
      </c>
      <c r="L39" s="301">
        <f t="shared" si="7"/>
        <v>45016</v>
      </c>
      <c r="M39" s="333">
        <f t="shared" si="8"/>
        <v>0.24657534246575341</v>
      </c>
      <c r="N39" s="274">
        <f t="shared" si="9"/>
        <v>10540.705502216471</v>
      </c>
      <c r="O39" s="274">
        <f t="shared" si="10"/>
        <v>126.09309574814814</v>
      </c>
    </row>
    <row r="40" spans="2:15">
      <c r="B40" s="177" t="s">
        <v>57</v>
      </c>
      <c r="C40" s="177">
        <v>1</v>
      </c>
      <c r="D40" s="231">
        <f>6753+1247</f>
        <v>8000</v>
      </c>
      <c r="E40" s="178">
        <v>44717</v>
      </c>
      <c r="F40" s="178">
        <v>44718</v>
      </c>
      <c r="G40" s="178">
        <f t="shared" si="13"/>
        <v>44718</v>
      </c>
      <c r="H40" s="178">
        <f t="shared" si="3"/>
        <v>44926</v>
      </c>
      <c r="I40" s="232">
        <f t="shared" si="11"/>
        <v>0.57260273972602738</v>
      </c>
      <c r="J40" s="267">
        <f t="shared" si="5"/>
        <v>24477.860555147134</v>
      </c>
      <c r="K40" s="302">
        <f t="shared" si="12"/>
        <v>44927</v>
      </c>
      <c r="L40" s="302">
        <f t="shared" si="7"/>
        <v>45016</v>
      </c>
      <c r="M40" s="334">
        <f t="shared" si="8"/>
        <v>0.24657534246575341</v>
      </c>
      <c r="N40" s="267">
        <f t="shared" si="9"/>
        <v>10540.705502216471</v>
      </c>
      <c r="O40" s="267">
        <f t="shared" si="10"/>
        <v>126.09309574814814</v>
      </c>
    </row>
    <row r="41" spans="2:15">
      <c r="B41" s="93" t="s">
        <v>58</v>
      </c>
      <c r="C41" s="93">
        <v>1</v>
      </c>
      <c r="D41" s="94">
        <v>2222</v>
      </c>
      <c r="E41" s="95">
        <v>44718</v>
      </c>
      <c r="F41" s="95">
        <v>44718</v>
      </c>
      <c r="G41" s="95">
        <f t="shared" si="13"/>
        <v>44718</v>
      </c>
      <c r="H41" s="95">
        <f t="shared" si="3"/>
        <v>44926</v>
      </c>
      <c r="I41" s="96">
        <f t="shared" si="11"/>
        <v>0.57260273972602738</v>
      </c>
      <c r="J41" s="264">
        <f t="shared" si="5"/>
        <v>6798.7257691921168</v>
      </c>
      <c r="K41" s="303">
        <f t="shared" si="12"/>
        <v>44927</v>
      </c>
      <c r="L41" s="303">
        <f t="shared" si="7"/>
        <v>45016</v>
      </c>
      <c r="M41" s="335">
        <f t="shared" si="8"/>
        <v>0.24657534246575341</v>
      </c>
      <c r="N41" s="264">
        <f t="shared" si="9"/>
        <v>2927.6809532406246</v>
      </c>
      <c r="O41" s="264">
        <f t="shared" si="10"/>
        <v>35.022357344048146</v>
      </c>
    </row>
    <row r="42" spans="2:15">
      <c r="B42" s="233" t="s">
        <v>59</v>
      </c>
      <c r="C42" s="233">
        <v>1</v>
      </c>
      <c r="D42" s="234">
        <v>1000</v>
      </c>
      <c r="E42" s="235">
        <v>44937</v>
      </c>
      <c r="F42" s="235">
        <v>44937</v>
      </c>
      <c r="G42" s="342" t="s">
        <v>482</v>
      </c>
      <c r="H42" s="342" t="s">
        <v>482</v>
      </c>
      <c r="I42" s="236" t="s">
        <v>482</v>
      </c>
      <c r="J42" s="234" t="s">
        <v>482</v>
      </c>
      <c r="K42" s="304">
        <f>F42</f>
        <v>44937</v>
      </c>
      <c r="L42" s="304">
        <f t="shared" si="7"/>
        <v>45016</v>
      </c>
      <c r="M42" s="336">
        <f t="shared" si="8"/>
        <v>0.21917808219178081</v>
      </c>
      <c r="N42" s="269">
        <f t="shared" si="9"/>
        <v>1171.1895002462747</v>
      </c>
      <c r="O42" s="269">
        <f t="shared" si="10"/>
        <v>15.761636968518518</v>
      </c>
    </row>
    <row r="43" spans="2:15">
      <c r="B43" s="233" t="s">
        <v>59</v>
      </c>
      <c r="C43" s="233">
        <v>1</v>
      </c>
      <c r="D43" s="234">
        <v>7000</v>
      </c>
      <c r="E43" s="235">
        <v>44991</v>
      </c>
      <c r="F43" s="235">
        <v>44993</v>
      </c>
      <c r="G43" s="342" t="s">
        <v>482</v>
      </c>
      <c r="H43" s="342" t="s">
        <v>482</v>
      </c>
      <c r="I43" s="236" t="s">
        <v>482</v>
      </c>
      <c r="J43" s="234" t="s">
        <v>482</v>
      </c>
      <c r="K43" s="304">
        <f>F43</f>
        <v>44993</v>
      </c>
      <c r="L43" s="304">
        <f t="shared" si="7"/>
        <v>45016</v>
      </c>
      <c r="M43" s="336">
        <f t="shared" si="8"/>
        <v>6.575342465753424E-2</v>
      </c>
      <c r="N43" s="269">
        <f t="shared" si="9"/>
        <v>2459.4979505171764</v>
      </c>
      <c r="O43" s="269">
        <f t="shared" si="10"/>
        <v>110.33145877962963</v>
      </c>
    </row>
    <row r="44" spans="2:15">
      <c r="B44" s="145" t="s">
        <v>60</v>
      </c>
      <c r="C44" s="145">
        <v>1</v>
      </c>
      <c r="D44" s="148">
        <v>8000</v>
      </c>
      <c r="E44" s="146">
        <v>44964</v>
      </c>
      <c r="F44" s="146">
        <v>44965</v>
      </c>
      <c r="G44" s="343" t="s">
        <v>482</v>
      </c>
      <c r="H44" s="343" t="s">
        <v>482</v>
      </c>
      <c r="I44" s="147" t="s">
        <v>482</v>
      </c>
      <c r="J44" s="148" t="s">
        <v>482</v>
      </c>
      <c r="K44" s="305">
        <f>F44</f>
        <v>44965</v>
      </c>
      <c r="L44" s="305">
        <f t="shared" si="7"/>
        <v>45016</v>
      </c>
      <c r="M44" s="337">
        <f t="shared" si="8"/>
        <v>0.14246575342465753</v>
      </c>
      <c r="N44" s="270">
        <f t="shared" si="9"/>
        <v>6090.1854012806289</v>
      </c>
      <c r="O44" s="270">
        <f t="shared" si="10"/>
        <v>126.09309574814814</v>
      </c>
    </row>
    <row r="45" spans="2:15">
      <c r="B45" s="192" t="s">
        <v>61</v>
      </c>
      <c r="C45" s="192">
        <v>1</v>
      </c>
      <c r="D45" s="218">
        <f>2385+2932+1742+941</f>
        <v>8000</v>
      </c>
      <c r="E45" s="193">
        <v>44872</v>
      </c>
      <c r="F45" s="193">
        <v>44892</v>
      </c>
      <c r="G45" s="193">
        <f t="shared" si="13"/>
        <v>44892</v>
      </c>
      <c r="H45" s="193">
        <f t="shared" si="3"/>
        <v>44926</v>
      </c>
      <c r="I45" s="217">
        <f t="shared" si="11"/>
        <v>9.5890410958904104E-2</v>
      </c>
      <c r="J45" s="273">
        <f t="shared" si="5"/>
        <v>4099.1632508619596</v>
      </c>
      <c r="K45" s="306">
        <f>$H$5</f>
        <v>44927</v>
      </c>
      <c r="L45" s="306">
        <f t="shared" si="7"/>
        <v>45016</v>
      </c>
      <c r="M45" s="338">
        <f t="shared" si="8"/>
        <v>0.24657534246575341</v>
      </c>
      <c r="N45" s="273">
        <f t="shared" si="9"/>
        <v>10540.705502216471</v>
      </c>
      <c r="O45" s="273">
        <f t="shared" si="10"/>
        <v>126.09309574814814</v>
      </c>
    </row>
    <row r="46" spans="2:15">
      <c r="B46" s="237" t="s">
        <v>62</v>
      </c>
      <c r="C46" s="237">
        <v>1</v>
      </c>
      <c r="D46" s="238">
        <f>3533+1691+2776</f>
        <v>8000</v>
      </c>
      <c r="E46" s="239">
        <v>44716</v>
      </c>
      <c r="F46" s="239">
        <v>44719</v>
      </c>
      <c r="G46" s="239">
        <f>F46</f>
        <v>44719</v>
      </c>
      <c r="H46" s="239">
        <f t="shared" si="3"/>
        <v>44926</v>
      </c>
      <c r="I46" s="240">
        <f t="shared" si="11"/>
        <v>0.56986301369863013</v>
      </c>
      <c r="J46" s="276">
        <f t="shared" si="5"/>
        <v>24360.741605122505</v>
      </c>
      <c r="K46" s="307">
        <f t="shared" ref="K46:K49" si="14">$H$5</f>
        <v>44927</v>
      </c>
      <c r="L46" s="307">
        <f t="shared" si="7"/>
        <v>45016</v>
      </c>
      <c r="M46" s="339">
        <f t="shared" si="8"/>
        <v>0.24657534246575341</v>
      </c>
      <c r="N46" s="276">
        <f t="shared" si="9"/>
        <v>10540.705502216471</v>
      </c>
      <c r="O46" s="276">
        <f t="shared" si="10"/>
        <v>126.09309574814814</v>
      </c>
    </row>
    <row r="47" spans="2:15">
      <c r="B47" s="241" t="s">
        <v>92</v>
      </c>
      <c r="C47" s="241">
        <v>1</v>
      </c>
      <c r="D47" s="242">
        <f>586+3157+2160+1598+499</f>
        <v>8000</v>
      </c>
      <c r="E47" s="243">
        <v>44900</v>
      </c>
      <c r="F47" s="243">
        <v>44908</v>
      </c>
      <c r="G47" s="243">
        <f t="shared" si="13"/>
        <v>44908</v>
      </c>
      <c r="H47" s="243">
        <f t="shared" si="3"/>
        <v>44926</v>
      </c>
      <c r="I47" s="244">
        <f t="shared" si="11"/>
        <v>5.2054794520547946E-2</v>
      </c>
      <c r="J47" s="275">
        <f t="shared" si="5"/>
        <v>2225.2600504679217</v>
      </c>
      <c r="K47" s="308">
        <f t="shared" si="14"/>
        <v>44927</v>
      </c>
      <c r="L47" s="308">
        <f t="shared" si="7"/>
        <v>45016</v>
      </c>
      <c r="M47" s="340">
        <f t="shared" si="8"/>
        <v>0.24657534246575341</v>
      </c>
      <c r="N47" s="275">
        <f t="shared" si="9"/>
        <v>10540.705502216471</v>
      </c>
      <c r="O47" s="275">
        <f t="shared" si="10"/>
        <v>126.09309574814814</v>
      </c>
    </row>
    <row r="48" spans="2:15">
      <c r="B48" s="47" t="s">
        <v>63</v>
      </c>
      <c r="C48" s="47">
        <v>1</v>
      </c>
      <c r="D48" s="52">
        <f>6092+1908</f>
        <v>8000</v>
      </c>
      <c r="E48" s="48">
        <v>44745</v>
      </c>
      <c r="F48" s="48">
        <v>44747</v>
      </c>
      <c r="G48" s="48">
        <f t="shared" si="13"/>
        <v>44747</v>
      </c>
      <c r="H48" s="48">
        <f t="shared" si="3"/>
        <v>44926</v>
      </c>
      <c r="I48" s="66">
        <f t="shared" si="11"/>
        <v>0.49315068493150682</v>
      </c>
      <c r="J48" s="265">
        <f t="shared" si="5"/>
        <v>21081.411004432935</v>
      </c>
      <c r="K48" s="309">
        <f t="shared" si="14"/>
        <v>44927</v>
      </c>
      <c r="L48" s="309">
        <f t="shared" si="7"/>
        <v>45016</v>
      </c>
      <c r="M48" s="341">
        <f t="shared" si="8"/>
        <v>0.24657534246575341</v>
      </c>
      <c r="N48" s="265">
        <f t="shared" si="9"/>
        <v>10540.705502216471</v>
      </c>
      <c r="O48" s="265">
        <f t="shared" si="10"/>
        <v>126.09309574814814</v>
      </c>
    </row>
    <row r="49" spans="2:15">
      <c r="B49" s="194" t="s">
        <v>64</v>
      </c>
      <c r="C49" s="194">
        <v>1</v>
      </c>
      <c r="D49" s="245">
        <v>1636</v>
      </c>
      <c r="E49" s="197">
        <v>44748</v>
      </c>
      <c r="F49" s="197">
        <v>44748</v>
      </c>
      <c r="G49" s="197">
        <f t="shared" si="13"/>
        <v>44748</v>
      </c>
      <c r="H49" s="197">
        <f t="shared" si="3"/>
        <v>44926</v>
      </c>
      <c r="I49" s="246">
        <f t="shared" si="11"/>
        <v>0.49041095890410957</v>
      </c>
      <c r="J49" s="199">
        <f t="shared" si="5"/>
        <v>4287.1977251264998</v>
      </c>
      <c r="K49" s="288">
        <f t="shared" si="14"/>
        <v>44927</v>
      </c>
      <c r="L49" s="288">
        <f t="shared" si="7"/>
        <v>45016</v>
      </c>
      <c r="M49" s="320">
        <f t="shared" si="8"/>
        <v>0.24657534246575341</v>
      </c>
      <c r="N49" s="199">
        <f t="shared" si="9"/>
        <v>2155.5742752032684</v>
      </c>
      <c r="O49" s="199">
        <f t="shared" si="10"/>
        <v>25.786038080496294</v>
      </c>
    </row>
    <row r="50" spans="2:15" ht="30.75" customHeight="1">
      <c r="B50" s="453" t="s">
        <v>21</v>
      </c>
      <c r="C50" s="453"/>
      <c r="D50" s="261">
        <f>SUM(D20:D49)</f>
        <v>200001</v>
      </c>
      <c r="E50" s="259"/>
      <c r="F50" s="259"/>
      <c r="G50" s="259"/>
      <c r="H50" s="259"/>
      <c r="I50" s="260"/>
      <c r="J50" s="248">
        <f>SUM(J20:J49)</f>
        <v>356610.70369290584</v>
      </c>
      <c r="K50" s="248"/>
      <c r="L50" s="248"/>
      <c r="M50" s="248"/>
      <c r="N50" s="248">
        <f>SUM(N20:N49)</f>
        <v>251865.61961614917</v>
      </c>
      <c r="O50" s="261">
        <f>SUM(O20:O49)</f>
        <v>3152.3431553406731</v>
      </c>
    </row>
    <row r="52" spans="2:15">
      <c r="G52" s="138"/>
    </row>
    <row r="53" spans="2:15">
      <c r="G53" s="138"/>
    </row>
    <row r="54" spans="2:15">
      <c r="G54" s="43"/>
    </row>
  </sheetData>
  <mergeCells count="10">
    <mergeCell ref="G6:J6"/>
    <mergeCell ref="B50:C50"/>
    <mergeCell ref="B18:B19"/>
    <mergeCell ref="O18:O19"/>
    <mergeCell ref="C18:C19"/>
    <mergeCell ref="D18:D19"/>
    <mergeCell ref="E18:E19"/>
    <mergeCell ref="F18:F19"/>
    <mergeCell ref="G18:J18"/>
    <mergeCell ref="K18:N18"/>
  </mergeCell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details</vt:lpstr>
      <vt:lpstr>sample size calculation</vt:lpstr>
      <vt:lpstr>Survey Summery</vt:lpstr>
      <vt:lpstr>ER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2023-04-20T04:24:14Z</cp:lastPrinted>
  <dcterms:created xsi:type="dcterms:W3CDTF">2009-10-22T11:19:37Z</dcterms:created>
  <dcterms:modified xsi:type="dcterms:W3CDTF">2023-11-29T07:48:11Z</dcterms:modified>
</cp:coreProperties>
</file>