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hidePivotFieldList="1"/>
  <mc:AlternateContent xmlns:mc="http://schemas.openxmlformats.org/markup-compatibility/2006">
    <mc:Choice Requires="x15">
      <x15ac:absPath xmlns:x15ac="http://schemas.microsoft.com/office/spreadsheetml/2010/11/ac" url="D:\Thesis\Samplingsurvey\Asia_Proximity\2923\"/>
    </mc:Choice>
  </mc:AlternateContent>
  <xr:revisionPtr revIDLastSave="0" documentId="8_{D6BBA067-794F-4F9B-B427-33CCD5BC9034}" xr6:coauthVersionLast="47" xr6:coauthVersionMax="47" xr10:uidLastSave="{00000000-0000-0000-0000-000000000000}"/>
  <bookViews>
    <workbookView xWindow="-105" yWindow="0" windowWidth="14610" windowHeight="15585" tabRatio="837" activeTab="1" xr2:uid="{00000000-000D-0000-FFFF-FFFF00000000}"/>
  </bookViews>
  <sheets>
    <sheet name="Project details" sheetId="11" r:id="rId1"/>
    <sheet name="sample size calculation" sheetId="46" r:id="rId2"/>
    <sheet name="Survey Summery" sheetId="48" r:id="rId3"/>
    <sheet name="ER calculations" sheetId="41" r:id="rId4"/>
  </sheets>
  <externalReferences>
    <externalReference r:id="rId5"/>
    <externalReference r:id="rId6"/>
    <externalReference r:id="rId7"/>
    <externalReference r:id="rId8"/>
    <externalReference r:id="rId9"/>
    <externalReference r:id="rId10"/>
  </externalReferences>
  <definedNames>
    <definedName name="AFbl_fuel3_y1">#REF!</definedName>
    <definedName name="AFbl_fuel3_y10" localSheetId="3">#REF!</definedName>
    <definedName name="AFbl_fuel3_y10">#REF!</definedName>
    <definedName name="AFbl_fuel3_y2" localSheetId="3">#REF!</definedName>
    <definedName name="AFbl_fuel3_y2">#REF!</definedName>
    <definedName name="AFbl_fuel3_y4">#REF!</definedName>
    <definedName name="AFbl_fuel3_y5">#REF!</definedName>
    <definedName name="AFbl_fuel3_y6">#REF!</definedName>
    <definedName name="AFbl_fuel3_y8">#REF!</definedName>
    <definedName name="AFbl_fuel3_y9">#REF!</definedName>
    <definedName name="AFbl_y2_fuel2">#REF!</definedName>
    <definedName name="AFlb_fuel3_1styr">#REF!</definedName>
    <definedName name="AFpj_fuel1_10thyr">[1]Parameters!$J$163</definedName>
    <definedName name="AFpj_fuel1_1styr">[1]Parameters!$J$154</definedName>
    <definedName name="AFpj_fuel1_3rdyr">[1]Parameters!$J$156</definedName>
    <definedName name="AFpj_fuel1_4thyr">[1]Parameters!$J$157</definedName>
    <definedName name="AFpj_fuel1_5thyr">[1]Parameters!$J$158</definedName>
    <definedName name="AFpj_fuel1_7thyr">[1]Parameters!$J$160</definedName>
    <definedName name="AFpj_fuel1_8thyr">[1]Parameters!$J$161</definedName>
    <definedName name="AFpj_fuel1_9thyr">[1]Parameters!$J$162</definedName>
    <definedName name="AFpj_fuel2_1styr">[1]Parameters!$J$191</definedName>
    <definedName name="AFpj_fuel2_2ndyr">[1]Parameters!$J$192</definedName>
    <definedName name="AFpj_fuel2_3rdyr">[1]Parameters!$J$193</definedName>
    <definedName name="AFpj_fuel2_5thyr">[1]Parameters!$J$195</definedName>
    <definedName name="AFpj_fuel2_6thyr">[1]Parameters!$J$196</definedName>
    <definedName name="AFpj_fuel2_7thyr">[1]Parameters!$J$197</definedName>
    <definedName name="AFpj_fuel2_9thyr">[1]Parameters!$J$199</definedName>
    <definedName name="AFpj_fuel3_10thyr">[1]Parameters!$J$237</definedName>
    <definedName name="AFpj_fuel3_1styr">[1]Parameters!$J$228</definedName>
    <definedName name="AFpj_fuel3_3rdyr">[1]Parameters!$J$230</definedName>
    <definedName name="AFpj_fuel3_4thyr">[1]Parameters!$J$231</definedName>
    <definedName name="AFpj_fuel3_5thyr">[1]Parameters!$J$232</definedName>
    <definedName name="AFpj_fuel3_7thyr">[1]Parameters!$J$234</definedName>
    <definedName name="AFpj_fuel3_8thyr">[1]Parameters!$J$235</definedName>
    <definedName name="AFpj_fuel3_9thyr">[1]Parameters!$J$236</definedName>
    <definedName name="age0_1">#REF!</definedName>
    <definedName name="age1_2" localSheetId="3">#REF!</definedName>
    <definedName name="age1_2">#REF!</definedName>
    <definedName name="age2_3" localSheetId="3">#REF!</definedName>
    <definedName name="age2_3">#REF!</definedName>
    <definedName name="age4_5">#REF!</definedName>
    <definedName name="age5_6">#REF!</definedName>
    <definedName name="age6_7">#REF!</definedName>
    <definedName name="age8_9">#REF!</definedName>
    <definedName name="age9_10">#REF!</definedName>
    <definedName name="alpha">#REF!</definedName>
    <definedName name="Ave_nrb_bio2">'[1]HH Carbon Calculator'!$D$15</definedName>
    <definedName name="Ave_nrb_bio3">'[1]HH Carbon Calculator'!$D$16</definedName>
    <definedName name="Ave_sales_growth" localSheetId="3">#REF!</definedName>
    <definedName name="Ave_sales_growth">#REF!</definedName>
    <definedName name="Bbl_y1">#REF!</definedName>
    <definedName name="Bbl_y10" localSheetId="3">#REF!</definedName>
    <definedName name="Bbl_y10">#REF!</definedName>
    <definedName name="Bbl_y2">#REF!</definedName>
    <definedName name="Bbl_y4">#REF!</definedName>
    <definedName name="Bbl_y5">#REF!</definedName>
    <definedName name="Bbl_y6">#REF!</definedName>
    <definedName name="Bbl_y8">#REF!</definedName>
    <definedName name="Bbl_y9">#REF!</definedName>
    <definedName name="Carbon_price">'[1]HH Carbon Calculator'!#REF!</definedName>
    <definedName name="Confidence">#REF!</definedName>
    <definedName name="CumU1">'[1]HH Carbon Calculator'!$D$24</definedName>
    <definedName name="CumU10">'[1]HH Carbon Calculator'!$M$24</definedName>
    <definedName name="CumU3">'[1]HH Carbon Calculator'!$F$24</definedName>
    <definedName name="CumU4">'[1]HH Carbon Calculator'!$G$24</definedName>
    <definedName name="CumU5">'[1]HH Carbon Calculator'!$H$24</definedName>
    <definedName name="CumU6">'[1]HH Carbon Calculator'!$I$24</definedName>
    <definedName name="CumU8">'[1]HH Carbon Calculator'!$K$24</definedName>
    <definedName name="CumU9">'[1]HH Carbon Calculator'!$L$24</definedName>
    <definedName name="D" localSheetId="3">#REF!</definedName>
    <definedName name="D">#REF!</definedName>
    <definedName name="drate" localSheetId="3">#REF!</definedName>
    <definedName name="drate">#REF!</definedName>
    <definedName name="drate2" localSheetId="3">#REF!</definedName>
    <definedName name="drate2">#REF!</definedName>
    <definedName name="EF_af_co2_fuel1" localSheetId="3">#REF!</definedName>
    <definedName name="EF_af_co2_fuel1">#REF!</definedName>
    <definedName name="EF_CH4_bio2">'[1]HH Carbon Calculator'!$F$15</definedName>
    <definedName name="EF_CH4_bio3">'[1]HH Carbon Calculator'!$F$16</definedName>
    <definedName name="EF_CH4_fuel1">'[1]HH Carbon Calculator'!$F$17</definedName>
    <definedName name="EF_CH4_fuel3">'[1]HH Carbon Calculator'!$F$19</definedName>
    <definedName name="EF_co2_bio1">'[1]HH Carbon Calculator'!$E$14</definedName>
    <definedName name="EF_co2_bio2">'[1]HH Carbon Calculator'!$E$15</definedName>
    <definedName name="EF_co2_fuel1">'[1]HH Carbon Calculator'!$E$17</definedName>
    <definedName name="EF_co2_fuel2">'[1]HH Carbon Calculator'!$E$18</definedName>
    <definedName name="EF_co2_fuel3">'[1]HH Carbon Calculator'!$E$19</definedName>
    <definedName name="EF_N2O_bio2">'[1]HH Carbon Calculator'!$G$15</definedName>
    <definedName name="EF_N2O_bio3">'[1]HH Carbon Calculator'!$G$16</definedName>
    <definedName name="EF_N2O_fuel1">'[1]HH Carbon Calculator'!$G$17</definedName>
    <definedName name="EF_N2O_fuel2">'[1]HH Carbon Calculator'!$G$18</definedName>
    <definedName name="EF_N2O_fuel3">'[1]HH Carbon Calculator'!$G$19</definedName>
    <definedName name="EFaf_co2_fuel1" localSheetId="3">#REF!</definedName>
    <definedName name="EFaf_co2_fuel1">#REF!</definedName>
    <definedName name="EFaf_co2_fuel2" localSheetId="3">#REF!</definedName>
    <definedName name="EFaf_co2_fuel2">#REF!</definedName>
    <definedName name="EFaf_co2_fuel3" localSheetId="3">#REF!</definedName>
    <definedName name="EFaf_co2_fuel3">#REF!</definedName>
    <definedName name="EFaf_fuel1_CH4">#REF!</definedName>
    <definedName name="EFaf_fuel1_cook_CH4">[1]Parameters!$D$148</definedName>
    <definedName name="EFaf_fuel1_cook_CO2">[1]Parameters!$D$147</definedName>
    <definedName name="EFaf_fuel1_cook_N2O">[1]Parameters!$D$149</definedName>
    <definedName name="EFaf_fuel1_N2O" localSheetId="3">#REF!</definedName>
    <definedName name="EFaf_fuel1_N2O">#REF!</definedName>
    <definedName name="EFaf_fuel1_prod_CH4">[1]Parameters!$D$144</definedName>
    <definedName name="EFaf_fuel1_prod_CO2" localSheetId="3">#REF!</definedName>
    <definedName name="EFaf_fuel1_prod_CO2">#REF!</definedName>
    <definedName name="EFaf_fuel1_prod_N2O">[1]Parameters!$D$145</definedName>
    <definedName name="EFaf_fuel1_totalCO2">[1]Parameters!$D$150</definedName>
    <definedName name="EFaf_fuel1_totalnon_CO2" localSheetId="3">#REF!</definedName>
    <definedName name="EFaf_fuel1_totalnon_CO2">#REF!</definedName>
    <definedName name="EFaf_fuel2_CH4" localSheetId="3">#REF!</definedName>
    <definedName name="EFaf_fuel2_CH4">#REF!</definedName>
    <definedName name="EFaf_fuel2_cook_CH4">[1]Parameters!$D$185</definedName>
    <definedName name="EFaf_fuel2_cook_CO2" localSheetId="3">#REF!</definedName>
    <definedName name="EFaf_fuel2_cook_CO2">#REF!</definedName>
    <definedName name="EFaf_fuel2_cook_gas_i" localSheetId="3">#REF!</definedName>
    <definedName name="EFaf_fuel2_cook_gas_i">#REF!</definedName>
    <definedName name="EFaf_fuel2_cook_N2O">[1]Parameters!$D$186</definedName>
    <definedName name="EFaf_fuel2_N2O" localSheetId="3">#REF!</definedName>
    <definedName name="EFaf_fuel2_N2O">#REF!</definedName>
    <definedName name="EFaf_fuel2_prod_CH4">[1]Parameters!$D$181</definedName>
    <definedName name="EFaf_fuel2_prod_CO2" localSheetId="3">#REF!</definedName>
    <definedName name="EFaf_fuel2_prod_CO2">#REF!</definedName>
    <definedName name="EFaf_fuel2_prod_N2O">[1]Parameters!$D$182</definedName>
    <definedName name="EFaf_fuel2_totalCO2">[1]Parameters!$D$187</definedName>
    <definedName name="EFaf_fuel2_totalnon_CO2" localSheetId="3">#REF!</definedName>
    <definedName name="EFaf_fuel2_totalnon_CO2">#REF!</definedName>
    <definedName name="EFaf_fuel3_CH4" localSheetId="3">#REF!</definedName>
    <definedName name="EFaf_fuel3_CH4">#REF!</definedName>
    <definedName name="EFaf_fuel3_cook_CH4">[1]Parameters!$D$222</definedName>
    <definedName name="EFaf_fuel3_cook_CO2">[1]Parameters!$D$221</definedName>
    <definedName name="EFaf_fuel3_cook_N2O">[1]Parameters!$D$223</definedName>
    <definedName name="EFaf_fuel3_N2O" localSheetId="3">#REF!</definedName>
    <definedName name="EFaf_fuel3_N2O">#REF!</definedName>
    <definedName name="EFaf_fuel3_prod_CH4">[1]Parameters!$D$218</definedName>
    <definedName name="EFaf_fuel3_prod_CO2" localSheetId="3">#REF!</definedName>
    <definedName name="EFaf_fuel3_prod_CO2">#REF!</definedName>
    <definedName name="EFaf_fuel3_prod_N2O">[1]Parameters!$D$219</definedName>
    <definedName name="EFaf_fuel3_totalCO2">[1]Parameters!$D$224</definedName>
    <definedName name="EFaf_fuel3_totalnon_CO2" localSheetId="3">#REF!</definedName>
    <definedName name="EFaf_fuel3_totalnon_CO2">#REF!</definedName>
    <definedName name="EFaf_fule1_cook_CH4" localSheetId="3">#REF!</definedName>
    <definedName name="EFaf_fule1_cook_CH4">#REF!</definedName>
    <definedName name="EFaf_fule1_cook_CO2" localSheetId="3">#REF!</definedName>
    <definedName name="EFaf_fule1_cook_CO2">#REF!</definedName>
    <definedName name="EFaf_fule1_cook_N2O">#REF!</definedName>
    <definedName name="EFaf_fule1_prod_CH4">#REF!</definedName>
    <definedName name="EFaf_fule1_prod_CO2">#REF!</definedName>
    <definedName name="EFaf_fule1_prod_N2O">#REF!</definedName>
    <definedName name="EFaf_fule1_totalCO2">#REF!</definedName>
    <definedName name="EFaf_fule1_totalnon_CO2">#REF!</definedName>
    <definedName name="EFaf_prod_co2_fuel1">#REF!</definedName>
    <definedName name="EFaf_prod_co2_fuel2">#REF!</definedName>
    <definedName name="EFaf_prod_co2_fuel3">#REF!</definedName>
    <definedName name="EFbl_bio1_cook_CH4">[1]Parameters!$D$25</definedName>
    <definedName name="EFbl_bio1_cook_CO2">[1]Parameters!$D$24</definedName>
    <definedName name="EFbl_bio1_cook_N2O">[1]Parameters!$D$26</definedName>
    <definedName name="EFbl_bio1_prod_CH4">[1]Parameters!$D$21</definedName>
    <definedName name="EFbl_bio1_prod_CO2" localSheetId="3">#REF!</definedName>
    <definedName name="EFbl_bio1_prod_CO2">#REF!</definedName>
    <definedName name="EFbl_bio1_prod_N2O" localSheetId="3">#REF!</definedName>
    <definedName name="EFbl_bio1_prod_N2O">#REF!</definedName>
    <definedName name="EFbl_bio1_totalCO2">[1]Parameters!$D$27</definedName>
    <definedName name="EFbl_bio1_totalnon_CO2" localSheetId="3">#REF!</definedName>
    <definedName name="EFbl_bio1_totalnon_CO2">#REF!</definedName>
    <definedName name="EFbl_bio2_cook_CH4">[1]Parameters!$D$62</definedName>
    <definedName name="EFbl_bio2_cook_CO2" localSheetId="3">#REF!</definedName>
    <definedName name="EFbl_bio2_cook_CO2">#REF!</definedName>
    <definedName name="EFbl_bio2_cook_N2O">[1]Parameters!$D$63</definedName>
    <definedName name="EFbl_bio2_prod_CH4">[1]Parameters!$D$58</definedName>
    <definedName name="EFbl_bio2_prod_CO2" localSheetId="3">#REF!</definedName>
    <definedName name="EFbl_bio2_prod_CO2">#REF!</definedName>
    <definedName name="EFbl_bio2_prod_N2O">[1]Parameters!$D$59</definedName>
    <definedName name="EFbl_bio2_total_CO2" localSheetId="3">#REF!</definedName>
    <definedName name="EFbl_bio2_total_CO2">#REF!</definedName>
    <definedName name="EFbl_bio2_totalCO2">[1]Parameters!$D$64</definedName>
    <definedName name="EFbl_bio2_totalnon_CO2" localSheetId="3">#REF!</definedName>
    <definedName name="EFbl_bio2_totalnon_CO2">#REF!</definedName>
    <definedName name="EFbl_bio3_cook_CH4">[1]Parameters!$D$111</definedName>
    <definedName name="EFbl_bio3_cook_CO2">[1]Parameters!$D$110</definedName>
    <definedName name="EFbl_bio3_cook_N2O">[1]Parameters!$D$112</definedName>
    <definedName name="EFbl_bio3_prod_CH4">[1]Parameters!$D$107</definedName>
    <definedName name="EFbl_bio3_prod_CO2" localSheetId="3">#REF!</definedName>
    <definedName name="EFbl_bio3_prod_CO2">#REF!</definedName>
    <definedName name="EFbl_bio3_prod_N2O">[1]Parameters!$D$108</definedName>
    <definedName name="EFbl_bio3_totalCO2">[1]Parameters!$D$113</definedName>
    <definedName name="EFbl_bio3_totalnon_CO2" localSheetId="3">#REF!</definedName>
    <definedName name="EFbl_bio3_totalnon_CO2">#REF!</definedName>
    <definedName name="EFpj_bio1_cook_CH4">[1]Parameters!$J$25</definedName>
    <definedName name="EFpj_bio1_cook_CO2" localSheetId="3">#REF!</definedName>
    <definedName name="EFpj_bio1_cook_CO2">#REF!</definedName>
    <definedName name="EFpj_bio1_cook_N2O">[1]Parameters!$J$26</definedName>
    <definedName name="EFpj_bio1_prod_CH4">[1]Parameters!$J$21</definedName>
    <definedName name="EFpj_bio1_prod_CO2" localSheetId="3">#REF!</definedName>
    <definedName name="EFpj_bio1_prod_CO2">#REF!</definedName>
    <definedName name="EFpj_bio1_prod_N2O">[1]Parameters!$J$22</definedName>
    <definedName name="EFpj_bio1_totalCO2">[1]Parameters!$J$27</definedName>
    <definedName name="EFpj_bio1_totalnon_CO2" localSheetId="3">#REF!</definedName>
    <definedName name="EFpj_bio1_totalnon_CO2">#REF!</definedName>
    <definedName name="EFpj_bio2_cook_CH4">[1]Parameters!$J$62</definedName>
    <definedName name="EFpj_bio2_cook_CO2" localSheetId="3">#REF!</definedName>
    <definedName name="EFpj_bio2_cook_CO2">#REF!</definedName>
    <definedName name="EFpj_bio2_cook_gas_i" localSheetId="3">#REF!</definedName>
    <definedName name="EFpj_bio2_cook_gas_i">#REF!</definedName>
    <definedName name="EFpj_bio2_cook_N2O">[1]Parameters!$J$63</definedName>
    <definedName name="EFpj_bio2_prod_CH4">[1]Parameters!$J$58</definedName>
    <definedName name="EFpj_bio2_prod_CO2" localSheetId="3">#REF!</definedName>
    <definedName name="EFpj_bio2_prod_CO2">#REF!</definedName>
    <definedName name="EFpj_bio2_prod_N2O">[1]Parameters!$J$59</definedName>
    <definedName name="EFpj_bio2_totalCO2">[1]Parameters!$J$64</definedName>
    <definedName name="EFpj_bio2_totalnon_CO2" localSheetId="3">#REF!</definedName>
    <definedName name="EFpj_bio2_totalnon_CO2">#REF!</definedName>
    <definedName name="EFpj_bio3_cook_CH4">[1]Parameters!$J$111</definedName>
    <definedName name="EFpj_bio3_cook_CO2" localSheetId="3">#REF!</definedName>
    <definedName name="EFpj_bio3_cook_CO2">#REF!</definedName>
    <definedName name="EFpj_bio3_cook_gas_i" localSheetId="3">#REF!</definedName>
    <definedName name="EFpj_bio3_cook_gas_i">#REF!</definedName>
    <definedName name="EFpj_bio3_cook_N2O">[1]Parameters!$J$112</definedName>
    <definedName name="EFpj_bio3_prod_CH4">[1]Parameters!$J$107</definedName>
    <definedName name="EFpj_bio3_prod_CO2" localSheetId="3">#REF!</definedName>
    <definedName name="EFpj_bio3_prod_CO2">#REF!</definedName>
    <definedName name="EFpj_bio3_prod_N2O">[1]Parameters!$J$108</definedName>
    <definedName name="EFpj_bio3_totalCO2">[1]Parameters!$J$113</definedName>
    <definedName name="EFpj_bio3_totalnon_CO2" localSheetId="3">#REF!</definedName>
    <definedName name="EFpj_bio3_totalnon_CO2">#REF!</definedName>
    <definedName name="F_1" localSheetId="3">#REF!</definedName>
    <definedName name="F_1">#REF!</definedName>
    <definedName name="F_10">'[2]Shengchang Stove'!$H$14</definedName>
    <definedName name="F_11">'[1]HH Carbon Calculator'!#REF!</definedName>
    <definedName name="F_12">'[1]HH Carbon Calculator'!#REF!</definedName>
    <definedName name="F_13">'[1]HH Carbon Calculator'!#REF!</definedName>
    <definedName name="F_2" localSheetId="3">#REF!</definedName>
    <definedName name="F_2">#REF!</definedName>
    <definedName name="F_3" localSheetId="3">#REF!</definedName>
    <definedName name="F_3">#REF!</definedName>
    <definedName name="F_4" localSheetId="3">#REF!</definedName>
    <definedName name="F_4">#REF!</definedName>
    <definedName name="F_5" localSheetId="3">'[1]HH Carbon Calculator'!#REF!</definedName>
    <definedName name="F_5">'[1]HH Carbon Calculator'!#REF!</definedName>
    <definedName name="F_6" localSheetId="3">#REF!</definedName>
    <definedName name="F_6">#REF!</definedName>
    <definedName name="F_7" localSheetId="3">'[1]HH Carbon Calculator'!#REF!</definedName>
    <definedName name="F_7">'[1]HH Carbon Calculator'!#REF!</definedName>
    <definedName name="F_8" localSheetId="3">#REF!</definedName>
    <definedName name="F_8">#REF!</definedName>
    <definedName name="F_9" localSheetId="3">#REF!</definedName>
    <definedName name="F_9">#REF!</definedName>
    <definedName name="Fbl_bio1_10thyr">[1]Parameters!$D$40</definedName>
    <definedName name="Fbl_bio1_1styr">[1]Parameters!$D$31</definedName>
    <definedName name="Fbl_bio1_2ndyr">[1]Parameters!$D$32</definedName>
    <definedName name="Fbl_bio1_3rdyr">[1]Parameters!$D$33</definedName>
    <definedName name="Fbl_bio1_4thyr">[1]Parameters!$D$34</definedName>
    <definedName name="Fbl_bio1_5thyr">[1]Parameters!$D$35</definedName>
    <definedName name="Fbl_bio1_6thyr">[1]Parameters!$D$36</definedName>
    <definedName name="Fbl_bio1_7thyr">[1]Parameters!$D$37</definedName>
    <definedName name="Fbl_bio1_8thyr">[1]Parameters!$D$38</definedName>
    <definedName name="Fbl_bio1_9thyr">[1]Parameters!$D$39</definedName>
    <definedName name="Fbl_bio2_10thyr">[1]Parameters!$D$77</definedName>
    <definedName name="Fbl_bio2_1styr">[1]Parameters!$D$68</definedName>
    <definedName name="Fbl_bio2_2ndyr">[1]Parameters!$D$69</definedName>
    <definedName name="Fbl_bio2_3rdyr">[1]Parameters!$D$70</definedName>
    <definedName name="Fbl_bio2_4thyr">[1]Parameters!$D$71</definedName>
    <definedName name="Fbl_bio2_5thyr">[1]Parameters!$D$72</definedName>
    <definedName name="Fbl_bio2_6thyr">[1]Parameters!$D$73</definedName>
    <definedName name="Fbl_bio2_7thyr">[1]Parameters!$D$74</definedName>
    <definedName name="Fbl_bio2_8thyr">[1]Parameters!$D$75</definedName>
    <definedName name="Fbl_bio2_9thyr">[1]Parameters!$D$76</definedName>
    <definedName name="Fbl_bio3_10thyr">[1]Parameters!$D$126</definedName>
    <definedName name="Fbl_bio3_1styr">[1]Parameters!$D$117</definedName>
    <definedName name="Fbl_bio3_2ndyr">[1]Parameters!$D$118</definedName>
    <definedName name="Fbl_bio3_3rdyr">[1]Parameters!$D$119</definedName>
    <definedName name="Fbl_bio3_4thyr">[1]Parameters!$D$120</definedName>
    <definedName name="Fbl_bio3_5thyr">[1]Parameters!$D$121</definedName>
    <definedName name="Fbl_bio3_6thyr">[1]Parameters!$D$122</definedName>
    <definedName name="Fbl_bio3_7thyr">[1]Parameters!$D$123</definedName>
    <definedName name="Fbl_bio3_8thyr">[1]Parameters!$D$124</definedName>
    <definedName name="Fbl_bio3_9thyr">[1]Parameters!$D$125</definedName>
    <definedName name="Fpj_bio1_10thyr">[1]Parameters!$J$40</definedName>
    <definedName name="Fpj_bio1_1styr">[1]Parameters!$J$31</definedName>
    <definedName name="Fpj_bio1_2ndyr">[1]Parameters!$J$32</definedName>
    <definedName name="Fpj_bio1_3rdyr">[1]Parameters!$J$33</definedName>
    <definedName name="Fpj_bio1_4thyr">[1]Parameters!$J$34</definedName>
    <definedName name="Fpj_bio1_5thyr">[1]Parameters!$J$35</definedName>
    <definedName name="Fpj_bio1_6thyr">[1]Parameters!$J$36</definedName>
    <definedName name="Fpj_bio1_7thyr">[1]Parameters!$J$37</definedName>
    <definedName name="Fpj_bio1_8thyr">[1]Parameters!$J$38</definedName>
    <definedName name="Fpj_bio1_9thyr">[1]Parameters!$J$39</definedName>
    <definedName name="Fpj_bio2_10thyr">[1]Parameters!$J$77</definedName>
    <definedName name="Fpj_bio2_1styr">[1]Parameters!$J$68</definedName>
    <definedName name="Fpj_bio2_2ndyr">[1]Parameters!$J$69</definedName>
    <definedName name="Fpj_bio2_3rdyr">[1]Parameters!$J$70</definedName>
    <definedName name="Fpj_bio2_4thyr">[1]Parameters!$J$71</definedName>
    <definedName name="Fpj_bio2_5thyr">[1]Parameters!$J$72</definedName>
    <definedName name="Fpj_bio2_6thyr">[1]Parameters!$J$73</definedName>
    <definedName name="Fpj_bio2_7thyr">[1]Parameters!$J$74</definedName>
    <definedName name="Fpj_bio2_8thyr">[1]Parameters!$J$75</definedName>
    <definedName name="Fpj_bio2_9thyr">[1]Parameters!$J$76</definedName>
    <definedName name="Fpj_bio3_10thyr">[1]Parameters!$J$126</definedName>
    <definedName name="Fpj_bio3_1styr">[1]Parameters!$J$117</definedName>
    <definedName name="Fpj_bio3_2ndyr">[1]Parameters!$J$118</definedName>
    <definedName name="Fpj_bio3_3rdyr">[1]Parameters!$J$119</definedName>
    <definedName name="Fpj_bio3_4thyr">[1]Parameters!$J$120</definedName>
    <definedName name="Fpj_bio3_5thyr">[1]Parameters!$J$121</definedName>
    <definedName name="Fpj_bio3_6thyr">[1]Parameters!$J$122</definedName>
    <definedName name="Fpj_bio3_7thyr">[1]Parameters!$J$123</definedName>
    <definedName name="Fpj_bio3_8thyr">[1]Parameters!$J$124</definedName>
    <definedName name="Fpj_bio3_9thyr">[1]Parameters!$J$125</definedName>
    <definedName name="Fuel_adj">'[1]HH Carbon Calculator'!$W$64</definedName>
    <definedName name="FuelCalorific">'[3]Calorific values'!$B$3:$M$91</definedName>
    <definedName name="grate" localSheetId="3">#REF!</definedName>
    <definedName name="grate">#REF!</definedName>
    <definedName name="Initial_sales" localSheetId="3">#REF!</definedName>
    <definedName name="Initial_sales">#REF!</definedName>
    <definedName name="L_1" localSheetId="3">#REF!</definedName>
    <definedName name="L_1">#REF!</definedName>
    <definedName name="L_10">#REF!</definedName>
    <definedName name="L_11">'[1]HH Carbon Calculator'!#REF!</definedName>
    <definedName name="L_12">'[1]HH Carbon Calculator'!#REF!</definedName>
    <definedName name="L_13">'[1]HH Carbon Calculator'!#REF!</definedName>
    <definedName name="L_2" localSheetId="3">#REF!</definedName>
    <definedName name="L_2">#REF!</definedName>
    <definedName name="L_3" localSheetId="3">#REF!</definedName>
    <definedName name="L_3">#REF!</definedName>
    <definedName name="L_4" localSheetId="3">#REF!</definedName>
    <definedName name="L_4">#REF!</definedName>
    <definedName name="L_5" localSheetId="3">'[1]HH Carbon Calculator'!#REF!</definedName>
    <definedName name="L_5">'[1]HH Carbon Calculator'!#REF!</definedName>
    <definedName name="L_6" localSheetId="3">#REF!</definedName>
    <definedName name="L_6">#REF!</definedName>
    <definedName name="L_7" localSheetId="3">'[1]HH Carbon Calculator'!#REF!</definedName>
    <definedName name="L_7">'[1]HH Carbon Calculator'!#REF!</definedName>
    <definedName name="L_8" localSheetId="3">#REF!</definedName>
    <definedName name="L_8">#REF!</definedName>
    <definedName name="L_9" localSheetId="3">#REF!</definedName>
    <definedName name="L_9">#REF!</definedName>
    <definedName name="LE_yr1">[1]Parameters!$V$8</definedName>
    <definedName name="LE_yr10">[1]Parameters!$V$17</definedName>
    <definedName name="LE_yr2">[1]Parameters!$V$9</definedName>
    <definedName name="LE_yr3">[1]Parameters!$V$10</definedName>
    <definedName name="LE_yr4">[1]Parameters!$V$11</definedName>
    <definedName name="LE_yr5">[1]Parameters!$V$12</definedName>
    <definedName name="LE_yr6">[1]Parameters!$V$13</definedName>
    <definedName name="LE_yr7">[1]Parameters!$V$14</definedName>
    <definedName name="LE_yr8">[1]Parameters!$V$15</definedName>
    <definedName name="LE_yr9">[1]Parameters!$V$16</definedName>
    <definedName name="leakage" localSheetId="3">#REF!</definedName>
    <definedName name="leakage">#REF!</definedName>
    <definedName name="m" localSheetId="3">#REF!</definedName>
    <definedName name="m">#REF!</definedName>
    <definedName name="n" localSheetId="3">#REF!</definedName>
    <definedName name="n">#REF!</definedName>
    <definedName name="nonCO2cook">#REF!</definedName>
    <definedName name="nonCO2prod">#REF!</definedName>
    <definedName name="nrb_1">#REF!</definedName>
    <definedName name="nrb_10">#REF!</definedName>
    <definedName name="nrb_11">'[1]HH Carbon Calculator'!#REF!</definedName>
    <definedName name="nrb_12">'[1]HH Carbon Calculator'!#REF!</definedName>
    <definedName name="nrb_13">'[1]HH Carbon Calculator'!#REF!</definedName>
    <definedName name="nrb_2" localSheetId="3">#REF!</definedName>
    <definedName name="nrb_2">#REF!</definedName>
    <definedName name="nrb_3" localSheetId="3">#REF!</definedName>
    <definedName name="nrb_3">#REF!</definedName>
    <definedName name="nrb_4" localSheetId="3">#REF!</definedName>
    <definedName name="nrb_4">#REF!</definedName>
    <definedName name="nrb_5" localSheetId="3">'[1]HH Carbon Calculator'!#REF!</definedName>
    <definedName name="nrb_5">'[1]HH Carbon Calculator'!#REF!</definedName>
    <definedName name="nrb_6" localSheetId="3">#REF!</definedName>
    <definedName name="nrb_6">#REF!</definedName>
    <definedName name="nrb_7" localSheetId="3">'[1]HH Carbon Calculator'!#REF!</definedName>
    <definedName name="nrb_7">'[1]HH Carbon Calculator'!#REF!</definedName>
    <definedName name="nrb_8" localSheetId="3">#REF!</definedName>
    <definedName name="nrb_8">#REF!</definedName>
    <definedName name="nrb_9" localSheetId="3">#REF!</definedName>
    <definedName name="nrb_9">#REF!</definedName>
    <definedName name="Precision" localSheetId="3">[4]Sampling!#REF!</definedName>
    <definedName name="Precision">#REF!</definedName>
    <definedName name="price" localSheetId="3">#REF!</definedName>
    <definedName name="price">#REF!</definedName>
    <definedName name="Ratio_ND_Domestic">'[5]De-bundling'!$C$19</definedName>
    <definedName name="reduction" localSheetId="3">#REF!</definedName>
    <definedName name="reduction">#REF!</definedName>
    <definedName name="rmb" localSheetId="3">#REF!</definedName>
    <definedName name="rmb">#REF!</definedName>
    <definedName name="s" localSheetId="3">#REF!</definedName>
    <definedName name="s">#REF!</definedName>
    <definedName name="start_year">#REF!</definedName>
    <definedName name="STOVE">[6]Sheet1!$C$3:$C$4</definedName>
    <definedName name="Subsidized_price">'[1]HH Carbon Calculator'!#REF!</definedName>
    <definedName name="subsidy" localSheetId="3">#REF!</definedName>
    <definedName name="subsidy">#REF!</definedName>
    <definedName name="totalCO2" localSheetId="3">#REF!</definedName>
    <definedName name="totalCO2">#REF!</definedName>
    <definedName name="U_1" localSheetId="3">#REF!</definedName>
    <definedName name="U_1">#REF!</definedName>
    <definedName name="U_10">'[2]Shengchang Stove'!$I$14</definedName>
    <definedName name="U_11">'[1]HH Carbon Calculator'!#REF!</definedName>
    <definedName name="U_12">'[1]HH Carbon Calculator'!#REF!</definedName>
    <definedName name="U_13">'[1]HH Carbon Calculator'!#REF!</definedName>
    <definedName name="U_2" localSheetId="3">#REF!</definedName>
    <definedName name="U_2">#REF!</definedName>
    <definedName name="U_3" localSheetId="3">#REF!</definedName>
    <definedName name="U_3">#REF!</definedName>
    <definedName name="U_4" localSheetId="3">#REF!</definedName>
    <definedName name="U_4">#REF!</definedName>
    <definedName name="U_5" localSheetId="3">'[1]HH Carbon Calculator'!#REF!</definedName>
    <definedName name="U_5">'[1]HH Carbon Calculator'!#REF!</definedName>
    <definedName name="U_6" localSheetId="3">#REF!</definedName>
    <definedName name="U_6">#REF!</definedName>
    <definedName name="U_7" localSheetId="3">'[1]HH Carbon Calculator'!#REF!</definedName>
    <definedName name="U_7">'[1]HH Carbon Calculator'!#REF!</definedName>
    <definedName name="U_8" localSheetId="3">#REF!</definedName>
    <definedName name="U_8">#REF!</definedName>
    <definedName name="U_9" localSheetId="3">#REF!</definedName>
    <definedName name="U_9">#REF!</definedName>
    <definedName name="Upj_10thyr">[1]Parameters!$P$17</definedName>
    <definedName name="Upj_1styr">[1]Parameters!$P$8</definedName>
    <definedName name="Upj_2ndyr">[1]Parameters!$P$9</definedName>
    <definedName name="Upj_3rdyr">[1]Parameters!$P$10</definedName>
    <definedName name="Upj_4thyr">[1]Parameters!$P$11</definedName>
    <definedName name="Upj_5thyr">[1]Parameters!$P$12</definedName>
    <definedName name="Upj_6thyr">[1]Parameters!$P$13</definedName>
    <definedName name="Upj_7thyr">[1]Parameters!$P$14</definedName>
    <definedName name="Upj_8thyr">[1]Parameters!$P$15</definedName>
    <definedName name="Upj_9thyr">[1]Parameters!$P$16</definedName>
    <definedName name="Upj_bio2_1styr" localSheetId="3">#REF!</definedName>
    <definedName name="Upj_bio2_1styr">#REF!</definedName>
    <definedName name="Upj_bio2_2ndyr" localSheetId="3">#REF!</definedName>
    <definedName name="Upj_bio2_2ndyr">#REF!</definedName>
    <definedName name="Upj_bio2_3rdyr" localSheetId="3">#REF!</definedName>
    <definedName name="Upj_bio2_3rdyr">#REF!</definedName>
    <definedName name="Upj_bio2_4thyr">#REF!</definedName>
    <definedName name="Upj_bio2_5thyr">#REF!</definedName>
    <definedName name="Upj_bio2_6thyr">#REF!</definedName>
    <definedName name="Upj_bio2_7thyr">#REF!</definedName>
    <definedName name="Upj_bio2_8thyr">#REF!</definedName>
    <definedName name="Upj_bio2_9thyr">#REF!</definedName>
    <definedName name="Upj_bio3_10thyr">#REF!</definedName>
    <definedName name="Upj_bio3_1styr">#REF!</definedName>
    <definedName name="Upj_bio3_2ndyr">#REF!</definedName>
    <definedName name="Upj_bio3_3rdyr">#REF!</definedName>
    <definedName name="Upj_bio3_4thyr">#REF!</definedName>
    <definedName name="Upj_bio3_5thyr">#REF!</definedName>
    <definedName name="Upj_bio3_6thyr">#REF!</definedName>
    <definedName name="Upj_bio3_7thyr">#REF!</definedName>
    <definedName name="Upj_bio3_8thyr">#REF!</definedName>
    <definedName name="Upj_bio3_9thyr">#REF!</definedName>
    <definedName name="Upj_fuel2_10thyr">#REF!</definedName>
    <definedName name="Upj_fuel2_1styr">#REF!</definedName>
    <definedName name="Upj_fuel2_2ndyr">#REF!</definedName>
    <definedName name="Upj_fuel2_3rdyr">#REF!</definedName>
    <definedName name="Upj_fuel2_4thyr">#REF!</definedName>
    <definedName name="Upj_fuel2_5thyr">#REF!</definedName>
    <definedName name="Upj_fuel2_6thyr">#REF!</definedName>
    <definedName name="Upj_fuel2_7thyr">#REF!</definedName>
    <definedName name="Upj_fuel2_8thyr">#REF!</definedName>
    <definedName name="Upj_fuel2_9thyr">#REF!</definedName>
    <definedName name="Upj_fuel3_10thyr">#REF!</definedName>
    <definedName name="Upj_fuel3_1styr">#REF!</definedName>
    <definedName name="Upj_fuel3_2ndyr">#REF!</definedName>
    <definedName name="Upj_fuel3_3rdyr">#REF!</definedName>
    <definedName name="Upj_fuel3_4thyr">#REF!</definedName>
    <definedName name="Upj_fuel3_5thyr">#REF!</definedName>
    <definedName name="Upj_fuel3_6thyr">#REF!</definedName>
    <definedName name="Upj_fuel3_7thyr">#REF!</definedName>
    <definedName name="Upj_fuel3_8thyr">#REF!</definedName>
    <definedName name="Upj_fuel3_9thyr">#REF!</definedName>
    <definedName name="Upj_fule1_10thyr">#REF!</definedName>
    <definedName name="Upj_fule1_1styr">#REF!</definedName>
    <definedName name="Upj_fule1_2ndyr">#REF!</definedName>
    <definedName name="Upj_fule1_3rdyr">#REF!</definedName>
    <definedName name="Upj_fule1_4thyr">#REF!</definedName>
    <definedName name="Upj_fule1_5thyr">#REF!</definedName>
    <definedName name="Upj_fule1_6thyr">#REF!</definedName>
    <definedName name="Upj_fule1_7thyr">#REF!</definedName>
    <definedName name="Upj_fule1_8thyr">#REF!</definedName>
    <definedName name="Upj_fule1_9thyr">#REF!</definedName>
    <definedName name="Xnrb_bl_bio1_yr1">[1]Parameters!$D$8</definedName>
    <definedName name="Xnrb_bl_bio1_yr10">[1]Parameters!$D$17</definedName>
    <definedName name="Xnrb_bl_bio1_yr2">[1]Parameters!$D$9</definedName>
    <definedName name="Xnrb_bl_bio1_yr3">[1]Parameters!$D$10</definedName>
    <definedName name="Xnrb_bl_bio1_yr4">[1]Parameters!$D$11</definedName>
    <definedName name="Xnrb_bl_bio1_yr5">[1]Parameters!$D$12</definedName>
    <definedName name="Xnrb_bl_bio1_yr6">[1]Parameters!$D$13</definedName>
    <definedName name="Xnrb_bl_bio1_yr7">[1]Parameters!$D$14</definedName>
    <definedName name="Xnrb_bl_bio1_yr8">[1]Parameters!$D$15</definedName>
    <definedName name="Xnrb_bl_bio1_yr9">[1]Parameters!$D$16</definedName>
    <definedName name="Xnrb_bl_bio2_yr1">[1]Parameters!$D$45</definedName>
    <definedName name="Xnrb_bl_bio2_yr10">[1]Parameters!$D$54</definedName>
    <definedName name="Xnrb_bl_bio2_yr2">[1]Parameters!$D$46</definedName>
    <definedName name="Xnrb_bl_bio2_yr3">[1]Parameters!$D$47</definedName>
    <definedName name="Xnrb_bl_bio2_yr4">[1]Parameters!$D$48</definedName>
    <definedName name="Xnrb_bl_bio2_yr5">[1]Parameters!$D$49</definedName>
    <definedName name="Xnrb_bl_bio2_yr6">[1]Parameters!$D$50</definedName>
    <definedName name="Xnrb_bl_bio2_yr7">[1]Parameters!$D$51</definedName>
    <definedName name="Xnrb_bl_bio2_yr8">[1]Parameters!$D$52</definedName>
    <definedName name="Xnrb_bl_bio2_yr9">[1]Parameters!$D$53</definedName>
    <definedName name="Xnrb_bl_bio3_yr1">[1]Parameters!$D$94</definedName>
    <definedName name="Xnrb_bl_bio3_yr10">[1]Parameters!$D$103</definedName>
    <definedName name="Xnrb_bl_bio3_yr2">[1]Parameters!$D$95</definedName>
    <definedName name="Xnrb_bl_bio3_yr3">[1]Parameters!$D$96</definedName>
    <definedName name="Xnrb_bl_bio3_yr4">[1]Parameters!$D$97</definedName>
    <definedName name="Xnrb_bl_bio3_yr5">[1]Parameters!$D$98</definedName>
    <definedName name="Xnrb_bl_bio3_yr6">[1]Parameters!$D$99</definedName>
    <definedName name="Xnrb_bl_bio3_yr7">[1]Parameters!$D$100</definedName>
    <definedName name="Xnrb_bl_bio3_yr8">[1]Parameters!$D$101</definedName>
    <definedName name="Xnrb_bl_bio3_yr9">[1]Parameters!$D$102</definedName>
    <definedName name="Xnrb_bl_y1" localSheetId="3">#REF!</definedName>
    <definedName name="Xnrb_bl_y1">#REF!</definedName>
    <definedName name="Xnrb_bl_y10" localSheetId="3">#REF!</definedName>
    <definedName name="Xnrb_bl_y10">#REF!</definedName>
    <definedName name="Xnrb_bl_y2" localSheetId="3">#REF!</definedName>
    <definedName name="Xnrb_bl_y2">#REF!</definedName>
    <definedName name="Xnrb_bl_y3">#REF!</definedName>
    <definedName name="Xnrb_bl_y4">#REF!</definedName>
    <definedName name="Xnrb_bl_y5">#REF!</definedName>
    <definedName name="Xnrb_bl_y6">#REF!</definedName>
    <definedName name="Xnrb_bl_y7">#REF!</definedName>
    <definedName name="Xnrb_bl_y8">#REF!</definedName>
    <definedName name="Xnrb_bl_y9">#REF!</definedName>
    <definedName name="Xnrb_pj_bio1_yr1">[1]Parameters!$J$8</definedName>
    <definedName name="Xnrb_pj_bio1_yr10">[1]Parameters!$J$17</definedName>
    <definedName name="Xnrb_pj_bio1_yr2">[1]Parameters!$J$9</definedName>
    <definedName name="Xnrb_pj_bio1_yr3">[1]Parameters!$J$10</definedName>
    <definedName name="Xnrb_pj_bio1_yr4">[1]Parameters!$J$11</definedName>
    <definedName name="Xnrb_pj_bio1_yr5">[1]Parameters!$J$12</definedName>
    <definedName name="Xnrb_pj_bio1_yr6">[1]Parameters!$J$13</definedName>
    <definedName name="Xnrb_pj_bio1_yr7">[1]Parameters!$J$14</definedName>
    <definedName name="Xnrb_pj_bio1_yr8">[1]Parameters!$J$15</definedName>
    <definedName name="Xnrb_pj_bio1_yr9">[1]Parameters!$J$16</definedName>
    <definedName name="Xnrb_pj_bio2_yr1">[1]Parameters!$J$45</definedName>
    <definedName name="Xnrb_pj_bio2_yr10">[1]Parameters!$J$54</definedName>
    <definedName name="Xnrb_pj_bio2_yr2">[1]Parameters!$J$46</definedName>
    <definedName name="Xnrb_pj_bio2_yr3">[1]Parameters!$J$47</definedName>
    <definedName name="Xnrb_pj_bio2_yr4">[1]Parameters!$J$48</definedName>
    <definedName name="Xnrb_pj_bio2_yr5">[1]Parameters!$J$49</definedName>
    <definedName name="Xnrb_pj_bio2_yr6">[1]Parameters!$J$50</definedName>
    <definedName name="Xnrb_pj_bio2_yr7">[1]Parameters!$J$51</definedName>
    <definedName name="Xnrb_pj_bio2_yr8">[1]Parameters!$J$52</definedName>
    <definedName name="Xnrb_pj_bio2_yr9">[1]Parameters!$J$53</definedName>
    <definedName name="Xnrb_pj_bio3_yr1">[1]Parameters!$J$94</definedName>
    <definedName name="Xnrb_pj_bio3_yr10">[1]Parameters!$J$103</definedName>
    <definedName name="Xnrb_pj_bio3_yr2">[1]Parameters!$J$95</definedName>
    <definedName name="Xnrb_pj_bio3_yr3">[1]Parameters!$J$96</definedName>
    <definedName name="Xnrb_pj_bio3_yr4">[1]Parameters!$J$97</definedName>
    <definedName name="Xnrb_pj_bio3_yr5">[1]Parameters!$J$98</definedName>
    <definedName name="Xnrb_pj_bio3_yr6">[1]Parameters!$J$99</definedName>
    <definedName name="Xnrb_pj_bio3_yr7">[1]Parameters!$J$100</definedName>
    <definedName name="Xnrb_pj_bio3_yr8">[1]Parameters!$J$101</definedName>
    <definedName name="Xnrb_pj_bio3_yr9">[1]Parameters!$J$102</definedName>
    <definedName name="year1">'[1]HH Carbon Calculator'!#REF!</definedName>
    <definedName name="year2">'[1]HH Carbon Calculator'!#REF!</definedName>
    <definedName name="year3" localSheetId="3">#REF!</definedName>
    <definedName name="year3">#REF!</definedName>
    <definedName name="year4">'[1]HH Carbon Calculator'!#REF!</definedName>
  </definedNames>
  <calcPr calcId="191029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19" i="48" l="1"/>
  <c r="AE17" i="48"/>
  <c r="AE3" i="48"/>
  <c r="Y56" i="48" l="1"/>
  <c r="AE18" i="48" l="1"/>
  <c r="C4" i="41"/>
  <c r="C13" i="41" s="1"/>
  <c r="C15" i="41" s="1"/>
  <c r="C144" i="41" s="1"/>
  <c r="Q28" i="48"/>
  <c r="Q29" i="48"/>
  <c r="Q30" i="48"/>
  <c r="Q31" i="48"/>
  <c r="Q32" i="48"/>
  <c r="Q33" i="48"/>
  <c r="Q34" i="48"/>
  <c r="Q35" i="48"/>
  <c r="Q36" i="48"/>
  <c r="Q37" i="48"/>
  <c r="Q38" i="48"/>
  <c r="Q39" i="48"/>
  <c r="Q40" i="48"/>
  <c r="Q41" i="48"/>
  <c r="Q42" i="48"/>
  <c r="Q43" i="48"/>
  <c r="Q44" i="48"/>
  <c r="Q45" i="48"/>
  <c r="Q46" i="48"/>
  <c r="Q47" i="48"/>
  <c r="Q48" i="48"/>
  <c r="Q49" i="48"/>
  <c r="Q50" i="48"/>
  <c r="L47" i="46" l="1"/>
  <c r="Q55" i="48" l="1"/>
  <c r="Q54" i="48"/>
  <c r="Q53" i="48"/>
  <c r="Q52" i="48"/>
  <c r="Q51" i="48"/>
  <c r="Q27" i="48"/>
  <c r="Q26" i="48"/>
  <c r="Q25" i="48"/>
  <c r="Q24" i="48"/>
  <c r="Q23" i="48"/>
  <c r="Q22" i="48"/>
  <c r="Q21" i="48"/>
  <c r="Q20" i="48"/>
  <c r="Q19" i="48"/>
  <c r="Q18" i="48"/>
  <c r="Q17" i="48"/>
  <c r="Q16" i="48"/>
  <c r="Q15" i="48"/>
  <c r="Q14" i="48"/>
  <c r="Q13" i="48"/>
  <c r="Q12" i="48"/>
  <c r="Q11" i="48"/>
  <c r="Q10" i="48"/>
  <c r="Q9" i="48"/>
  <c r="Q8" i="48"/>
  <c r="Q7" i="48"/>
  <c r="Q6" i="48"/>
  <c r="Q5" i="48"/>
  <c r="Q4" i="48"/>
  <c r="Q3" i="48"/>
  <c r="A3" i="48"/>
  <c r="A4" i="48" s="1"/>
  <c r="A5" i="48" s="1"/>
  <c r="A6" i="48" s="1"/>
  <c r="A7" i="48" s="1"/>
  <c r="A8" i="48" s="1"/>
  <c r="A9" i="48" s="1"/>
  <c r="A10" i="48" s="1"/>
  <c r="A11" i="48" s="1"/>
  <c r="A12" i="48" s="1"/>
  <c r="A13" i="48" s="1"/>
  <c r="A14" i="48" s="1"/>
  <c r="A15" i="48" s="1"/>
  <c r="A16" i="48" s="1"/>
  <c r="A17" i="48" s="1"/>
  <c r="A18" i="48" s="1"/>
  <c r="A19" i="48" s="1"/>
  <c r="A20" i="48" s="1"/>
  <c r="A21" i="48" s="1"/>
  <c r="A22" i="48" s="1"/>
  <c r="A23" i="48" s="1"/>
  <c r="A24" i="48" s="1"/>
  <c r="A25" i="48" s="1"/>
  <c r="A26" i="48" s="1"/>
  <c r="A27" i="48" s="1"/>
  <c r="A28" i="48" s="1"/>
  <c r="Q2" i="48"/>
  <c r="A29" i="48" l="1"/>
  <c r="A30" i="48" s="1"/>
  <c r="A31" i="48" s="1"/>
  <c r="A32" i="48" s="1"/>
  <c r="A33" i="48" s="1"/>
  <c r="A34" i="48" s="1"/>
  <c r="A35" i="48" s="1"/>
  <c r="A36" i="48" s="1"/>
  <c r="A37" i="48" s="1"/>
  <c r="A38" i="48" s="1"/>
  <c r="A39" i="48" s="1"/>
  <c r="A40" i="48" s="1"/>
  <c r="A41" i="48" s="1"/>
  <c r="A42" i="48" s="1"/>
  <c r="Q56" i="48"/>
  <c r="AE4" i="48" s="1"/>
  <c r="L59" i="46"/>
  <c r="L60" i="46"/>
  <c r="L61" i="46"/>
  <c r="L62" i="46"/>
  <c r="L63" i="46"/>
  <c r="L64" i="46"/>
  <c r="L65" i="46"/>
  <c r="L66" i="46"/>
  <c r="L67" i="46"/>
  <c r="L68" i="46"/>
  <c r="L69" i="46"/>
  <c r="L70" i="46"/>
  <c r="L71" i="46"/>
  <c r="L72" i="46"/>
  <c r="L73" i="46"/>
  <c r="L74" i="46"/>
  <c r="L75" i="46"/>
  <c r="L76" i="46"/>
  <c r="L77" i="46"/>
  <c r="L78" i="46"/>
  <c r="L79" i="46"/>
  <c r="L58" i="46"/>
  <c r="L46" i="46"/>
  <c r="L48" i="46"/>
  <c r="L49" i="46"/>
  <c r="L50" i="46"/>
  <c r="L51" i="46"/>
  <c r="L52" i="46"/>
  <c r="L53" i="46"/>
  <c r="L54" i="46"/>
  <c r="L55" i="46"/>
  <c r="L56" i="46"/>
  <c r="L57" i="46"/>
  <c r="L45" i="46"/>
  <c r="L21" i="46"/>
  <c r="L22" i="46"/>
  <c r="L23" i="46"/>
  <c r="L24" i="46"/>
  <c r="L25" i="46"/>
  <c r="L26" i="46"/>
  <c r="L27" i="46"/>
  <c r="L28" i="46"/>
  <c r="L29" i="46"/>
  <c r="L30" i="46"/>
  <c r="L31" i="46"/>
  <c r="L32" i="46"/>
  <c r="L33" i="46"/>
  <c r="L34" i="46"/>
  <c r="L35" i="46"/>
  <c r="L36" i="46"/>
  <c r="L37" i="46"/>
  <c r="L38" i="46"/>
  <c r="L39" i="46"/>
  <c r="L40" i="46"/>
  <c r="L41" i="46"/>
  <c r="L42" i="46"/>
  <c r="L43" i="46"/>
  <c r="L44" i="46"/>
  <c r="L20" i="46"/>
  <c r="L3" i="46"/>
  <c r="L4" i="46"/>
  <c r="L5" i="46"/>
  <c r="L6" i="46"/>
  <c r="L7" i="46"/>
  <c r="L8" i="46"/>
  <c r="L9" i="46"/>
  <c r="L10" i="46"/>
  <c r="L11" i="46"/>
  <c r="L12" i="46"/>
  <c r="L13" i="46"/>
  <c r="L14" i="46"/>
  <c r="L15" i="46"/>
  <c r="L16" i="46"/>
  <c r="L17" i="46"/>
  <c r="L18" i="46"/>
  <c r="L19" i="46"/>
  <c r="L2" i="46"/>
  <c r="K80" i="46"/>
  <c r="AE5" i="48" l="1"/>
  <c r="A43" i="48"/>
  <c r="A44" i="48" s="1"/>
  <c r="A45" i="48" s="1"/>
  <c r="A46" i="48" s="1"/>
  <c r="A47" i="48" s="1"/>
  <c r="A48" i="48" s="1"/>
  <c r="A49" i="48" s="1"/>
  <c r="A50" i="48" s="1"/>
  <c r="A51" i="48" s="1"/>
  <c r="A52" i="48" s="1"/>
  <c r="A53" i="48" s="1"/>
  <c r="A54" i="48" s="1"/>
  <c r="A55" i="48" s="1"/>
  <c r="D4" i="41"/>
  <c r="E4" i="41" s="1"/>
  <c r="F4" i="41" s="1"/>
  <c r="G4" i="41" s="1"/>
  <c r="H4" i="41" s="1"/>
  <c r="I4" i="41" s="1"/>
  <c r="J4" i="41" s="1"/>
  <c r="K4" i="41" s="1"/>
  <c r="L4" i="41" s="1"/>
  <c r="M4" i="41" s="1"/>
  <c r="N4" i="41" s="1"/>
  <c r="O4" i="41" s="1"/>
  <c r="P4" i="41" s="1"/>
  <c r="Q4" i="41" s="1"/>
  <c r="R4" i="41" s="1"/>
  <c r="S4" i="41" s="1"/>
  <c r="T4" i="41" s="1"/>
  <c r="U4" i="41" s="1"/>
  <c r="V4" i="41" s="1"/>
  <c r="W4" i="41" s="1"/>
  <c r="X4" i="41" s="1"/>
  <c r="Y4" i="41" s="1"/>
  <c r="Z4" i="41" s="1"/>
  <c r="AA4" i="41" s="1"/>
  <c r="AB4" i="41" s="1"/>
  <c r="AC4" i="41" s="1"/>
  <c r="AD4" i="41" s="1"/>
  <c r="AE4" i="41" s="1"/>
  <c r="AF4" i="41" s="1"/>
  <c r="AG4" i="41" s="1"/>
  <c r="AH4" i="41" s="1"/>
  <c r="AI4" i="41" s="1"/>
  <c r="AJ4" i="41" s="1"/>
  <c r="AK4" i="41" s="1"/>
  <c r="AL4" i="41" s="1"/>
  <c r="AM4" i="41" s="1"/>
  <c r="AN4" i="41" s="1"/>
  <c r="AO4" i="41" s="1"/>
  <c r="AP4" i="41" s="1"/>
  <c r="AQ4" i="41" s="1"/>
  <c r="AR4" i="41" s="1"/>
  <c r="AS4" i="41" s="1"/>
  <c r="AT4" i="41" s="1"/>
  <c r="AU4" i="41" s="1"/>
  <c r="AV4" i="41" s="1"/>
  <c r="AW4" i="41" s="1"/>
  <c r="AX4" i="41" s="1"/>
  <c r="AY4" i="41" s="1"/>
  <c r="AZ4" i="41" s="1"/>
  <c r="BA4" i="41" s="1"/>
  <c r="BB4" i="41" s="1"/>
  <c r="BC4" i="41" s="1"/>
  <c r="BD4" i="41" s="1"/>
  <c r="BE4" i="41" s="1"/>
  <c r="BF4" i="41" s="1"/>
  <c r="BG4" i="41" s="1"/>
  <c r="BH4" i="41" s="1"/>
  <c r="BI4" i="41" s="1"/>
  <c r="BJ4" i="41" s="1"/>
  <c r="BK4" i="41" s="1"/>
  <c r="BL4" i="41" s="1"/>
  <c r="BM4" i="41" s="1"/>
  <c r="BN4" i="41" s="1"/>
  <c r="BO4" i="41" s="1"/>
  <c r="BP4" i="41" s="1"/>
  <c r="BQ4" i="41" s="1"/>
  <c r="BR4" i="41" s="1"/>
  <c r="BS4" i="41" s="1"/>
  <c r="BT4" i="41" s="1"/>
  <c r="BU4" i="41" s="1"/>
  <c r="BV4" i="41" s="1"/>
  <c r="BW4" i="41" s="1"/>
  <c r="BX4" i="41" s="1"/>
  <c r="BY4" i="41" s="1"/>
  <c r="BZ4" i="41" s="1"/>
  <c r="CA4" i="41" s="1"/>
  <c r="CB4" i="41" s="1"/>
  <c r="T142" i="41" l="1"/>
  <c r="D142" i="41"/>
  <c r="E142" i="41"/>
  <c r="F142" i="41"/>
  <c r="G142" i="41"/>
  <c r="H142" i="41"/>
  <c r="I142" i="41"/>
  <c r="J142" i="41"/>
  <c r="K142" i="41"/>
  <c r="L142" i="41"/>
  <c r="M142" i="41"/>
  <c r="N142" i="41"/>
  <c r="O142" i="41"/>
  <c r="P142" i="41"/>
  <c r="Q142" i="41"/>
  <c r="R142" i="41"/>
  <c r="S142" i="41"/>
  <c r="U142" i="41"/>
  <c r="V142" i="41"/>
  <c r="W142" i="41"/>
  <c r="X142" i="41"/>
  <c r="Y142" i="41"/>
  <c r="Z142" i="41"/>
  <c r="AA142" i="41"/>
  <c r="AB142" i="41"/>
  <c r="AC142" i="41"/>
  <c r="AD142" i="41"/>
  <c r="AE142" i="41"/>
  <c r="AF142" i="41"/>
  <c r="AG142" i="41"/>
  <c r="AH142" i="41"/>
  <c r="AI142" i="41"/>
  <c r="AJ142" i="41"/>
  <c r="AK142" i="41"/>
  <c r="AL142" i="41"/>
  <c r="AM142" i="41"/>
  <c r="AN142" i="41"/>
  <c r="AO142" i="41"/>
  <c r="AP142" i="41"/>
  <c r="AQ142" i="41"/>
  <c r="AR142" i="41"/>
  <c r="AS142" i="41"/>
  <c r="AT142" i="41"/>
  <c r="AU142" i="41"/>
  <c r="AV142" i="41"/>
  <c r="AW142" i="41"/>
  <c r="AX142" i="41"/>
  <c r="AY142" i="41"/>
  <c r="AZ142" i="41"/>
  <c r="BA142" i="41"/>
  <c r="BB142" i="41"/>
  <c r="BC142" i="41"/>
  <c r="BD142" i="41"/>
  <c r="BE142" i="41"/>
  <c r="BF142" i="41"/>
  <c r="BG142" i="41"/>
  <c r="BH142" i="41"/>
  <c r="BI142" i="41"/>
  <c r="BJ142" i="41"/>
  <c r="BK142" i="41"/>
  <c r="BL142" i="41"/>
  <c r="BM142" i="41"/>
  <c r="BN142" i="41"/>
  <c r="BO142" i="41"/>
  <c r="BP142" i="41"/>
  <c r="BQ142" i="41"/>
  <c r="BR142" i="41"/>
  <c r="BS142" i="41"/>
  <c r="BT142" i="41"/>
  <c r="BU142" i="41"/>
  <c r="BV142" i="41"/>
  <c r="BW142" i="41"/>
  <c r="BX142" i="41"/>
  <c r="BY142" i="41"/>
  <c r="BZ142" i="41"/>
  <c r="CA142" i="41"/>
  <c r="CB142" i="41"/>
  <c r="C142" i="41"/>
  <c r="J13" i="41" l="1"/>
  <c r="J15" i="41" s="1"/>
  <c r="J144" i="41" s="1"/>
  <c r="G29" i="41"/>
  <c r="G139" i="41"/>
  <c r="G138" i="41"/>
  <c r="G131" i="41"/>
  <c r="G130" i="41"/>
  <c r="G129" i="41"/>
  <c r="G126" i="41"/>
  <c r="G122" i="41"/>
  <c r="G121" i="41"/>
  <c r="G120" i="41"/>
  <c r="G119" i="41"/>
  <c r="G118" i="41"/>
  <c r="G117" i="41"/>
  <c r="G113" i="41"/>
  <c r="G112" i="41"/>
  <c r="G111" i="41"/>
  <c r="G110" i="41"/>
  <c r="G109" i="41"/>
  <c r="G106" i="41"/>
  <c r="G105" i="41"/>
  <c r="G101" i="41"/>
  <c r="G100" i="41"/>
  <c r="G96" i="41"/>
  <c r="G94" i="41"/>
  <c r="G93" i="41"/>
  <c r="G91" i="41"/>
  <c r="G88" i="41"/>
  <c r="G87" i="41"/>
  <c r="G66" i="41"/>
  <c r="G65" i="41"/>
  <c r="G45" i="41"/>
  <c r="G36" i="41"/>
  <c r="G32" i="41"/>
  <c r="G31" i="41"/>
  <c r="G25" i="41"/>
  <c r="G137" i="41"/>
  <c r="G136" i="41"/>
  <c r="G135" i="41"/>
  <c r="G134" i="41"/>
  <c r="G133" i="41"/>
  <c r="G132" i="41"/>
  <c r="G128" i="41"/>
  <c r="G127" i="41"/>
  <c r="G125" i="41"/>
  <c r="G124" i="41"/>
  <c r="G123" i="41"/>
  <c r="G116" i="41"/>
  <c r="G115" i="41"/>
  <c r="G114" i="41"/>
  <c r="G108" i="41"/>
  <c r="G107" i="41"/>
  <c r="G104" i="41"/>
  <c r="G103" i="41"/>
  <c r="G102" i="41"/>
  <c r="G99" i="41"/>
  <c r="G98" i="41"/>
  <c r="G97" i="41"/>
  <c r="G95" i="41"/>
  <c r="G92" i="41"/>
  <c r="G90" i="41"/>
  <c r="G89" i="41"/>
  <c r="G86" i="41"/>
  <c r="G85" i="41"/>
  <c r="G84" i="41"/>
  <c r="G83" i="41"/>
  <c r="G82" i="41"/>
  <c r="G81" i="41"/>
  <c r="G80" i="41"/>
  <c r="G79" i="41"/>
  <c r="G78" i="41"/>
  <c r="G77" i="41"/>
  <c r="G76" i="41"/>
  <c r="G75" i="41"/>
  <c r="G74" i="41"/>
  <c r="G73" i="41"/>
  <c r="G72" i="41"/>
  <c r="G71" i="41"/>
  <c r="G70" i="41"/>
  <c r="G69" i="41"/>
  <c r="G68" i="41"/>
  <c r="G67" i="41"/>
  <c r="G64" i="41"/>
  <c r="G63" i="41"/>
  <c r="G62" i="41"/>
  <c r="G61" i="41"/>
  <c r="G60" i="41"/>
  <c r="G59" i="41"/>
  <c r="G58" i="41"/>
  <c r="G57" i="41"/>
  <c r="G56" i="41"/>
  <c r="G55" i="41"/>
  <c r="G54" i="41"/>
  <c r="G53" i="41"/>
  <c r="G52" i="41"/>
  <c r="G51" i="41"/>
  <c r="G50" i="41"/>
  <c r="G49" i="41"/>
  <c r="G48" i="41"/>
  <c r="G47" i="41"/>
  <c r="G46" i="41"/>
  <c r="G44" i="41"/>
  <c r="G43" i="41"/>
  <c r="G42" i="41"/>
  <c r="G41" i="41"/>
  <c r="G40" i="41"/>
  <c r="G39" i="41"/>
  <c r="G38" i="41"/>
  <c r="G37" i="41"/>
  <c r="G35" i="41"/>
  <c r="G34" i="41"/>
  <c r="G33" i="41"/>
  <c r="G30" i="41"/>
  <c r="G28" i="41"/>
  <c r="G27" i="41"/>
  <c r="G26" i="41"/>
  <c r="G24" i="41"/>
  <c r="G23" i="41"/>
  <c r="H22" i="41"/>
  <c r="H23" i="41" s="1"/>
  <c r="G22" i="41"/>
  <c r="G21" i="41"/>
  <c r="H20" i="41"/>
  <c r="G20" i="41"/>
  <c r="G19" i="41"/>
  <c r="I19" i="41" s="1"/>
  <c r="F13" i="41"/>
  <c r="F15" i="41" s="1"/>
  <c r="F144" i="41" s="1"/>
  <c r="I20" i="41" l="1"/>
  <c r="H21" i="41"/>
  <c r="I21" i="41" s="1"/>
  <c r="I23" i="41"/>
  <c r="H24" i="41"/>
  <c r="H25" i="41" s="1"/>
  <c r="I25" i="41" s="1"/>
  <c r="I22" i="41"/>
  <c r="D13" i="41"/>
  <c r="D15" i="41" s="1"/>
  <c r="E13" i="41"/>
  <c r="E15" i="41" s="1"/>
  <c r="G13" i="41"/>
  <c r="G15" i="41" s="1"/>
  <c r="H13" i="41"/>
  <c r="H15" i="41" s="1"/>
  <c r="I13" i="41"/>
  <c r="I15" i="41" s="1"/>
  <c r="K12" i="41"/>
  <c r="L12" i="41" s="1"/>
  <c r="E31" i="46"/>
  <c r="E32" i="46"/>
  <c r="E33" i="46" s="1"/>
  <c r="J21" i="41" l="1"/>
  <c r="J20" i="41"/>
  <c r="J19" i="41"/>
  <c r="H26" i="41"/>
  <c r="I24" i="41"/>
  <c r="M12" i="41"/>
  <c r="C143" i="41" l="1"/>
  <c r="I26" i="41"/>
  <c r="H27" i="41"/>
  <c r="N12" i="41"/>
  <c r="H28" i="41" l="1"/>
  <c r="I27" i="41"/>
  <c r="O12" i="41"/>
  <c r="H29" i="41" l="1"/>
  <c r="I28" i="41"/>
  <c r="P12" i="41"/>
  <c r="H30" i="41" l="1"/>
  <c r="H31" i="41" s="1"/>
  <c r="I29" i="41"/>
  <c r="Q12" i="41"/>
  <c r="I31" i="41" l="1"/>
  <c r="H32" i="41"/>
  <c r="I30" i="41"/>
  <c r="H33" i="41"/>
  <c r="R12" i="41"/>
  <c r="I32" i="41" l="1"/>
  <c r="H34" i="41"/>
  <c r="I33" i="41"/>
  <c r="S12" i="41"/>
  <c r="H35" i="41" l="1"/>
  <c r="H36" i="41" s="1"/>
  <c r="I36" i="41" s="1"/>
  <c r="I34" i="41"/>
  <c r="T12" i="41"/>
  <c r="H37" i="41" l="1"/>
  <c r="I35" i="41"/>
  <c r="I37" i="41" l="1"/>
  <c r="H38" i="41"/>
  <c r="H39" i="41" l="1"/>
  <c r="I38" i="41"/>
  <c r="H40" i="41" l="1"/>
  <c r="I39" i="41"/>
  <c r="H41" i="41" l="1"/>
  <c r="I40" i="41"/>
  <c r="I41" i="41" l="1"/>
  <c r="H42" i="41"/>
  <c r="H43" i="41" l="1"/>
  <c r="I42" i="41"/>
  <c r="H44" i="41" l="1"/>
  <c r="H45" i="41" s="1"/>
  <c r="I45" i="41" s="1"/>
  <c r="I43" i="41"/>
  <c r="H46" i="41" l="1"/>
  <c r="I44" i="41"/>
  <c r="I46" i="41" l="1"/>
  <c r="H47" i="41"/>
  <c r="H48" i="41" l="1"/>
  <c r="I47" i="41"/>
  <c r="H49" i="41" l="1"/>
  <c r="I48" i="41"/>
  <c r="AU14" i="41"/>
  <c r="AV14" i="41" s="1"/>
  <c r="AX14" i="41" s="1"/>
  <c r="AY14" i="41" s="1"/>
  <c r="AZ14" i="41" s="1"/>
  <c r="BB14" i="41" s="1"/>
  <c r="BC14" i="41" s="1"/>
  <c r="BE14" i="41" s="1"/>
  <c r="K9" i="41"/>
  <c r="K13" i="41" s="1"/>
  <c r="CB8" i="41"/>
  <c r="K6" i="41"/>
  <c r="D5" i="41"/>
  <c r="K15" i="41" l="1"/>
  <c r="E5" i="41"/>
  <c r="F5" i="41"/>
  <c r="J25" i="41" s="1"/>
  <c r="F143" i="41" s="1"/>
  <c r="H50" i="41"/>
  <c r="I49" i="41"/>
  <c r="L6" i="41"/>
  <c r="M6" i="41" s="1"/>
  <c r="N6" i="41" s="1"/>
  <c r="O6" i="41" s="1"/>
  <c r="P6" i="41" s="1"/>
  <c r="Q6" i="41" s="1"/>
  <c r="R6" i="41" s="1"/>
  <c r="S6" i="41" s="1"/>
  <c r="T6" i="41" s="1"/>
  <c r="U6" i="41" s="1"/>
  <c r="V6" i="41" s="1"/>
  <c r="L9" i="41"/>
  <c r="L13" i="41" s="1"/>
  <c r="M9" i="41"/>
  <c r="M13" i="41" s="1"/>
  <c r="M15" i="41" l="1"/>
  <c r="L15" i="41"/>
  <c r="L144" i="41" s="1"/>
  <c r="G5" i="41"/>
  <c r="I50" i="41"/>
  <c r="H51" i="41"/>
  <c r="N9" i="41"/>
  <c r="N13" i="41" s="1"/>
  <c r="N15" i="41" s="1"/>
  <c r="N144" i="41" s="1"/>
  <c r="W6" i="41"/>
  <c r="H5" i="41" l="1"/>
  <c r="I5" i="41" s="1"/>
  <c r="J31" i="41" s="1"/>
  <c r="H52" i="41"/>
  <c r="I51" i="41"/>
  <c r="O9" i="41"/>
  <c r="O13" i="41" s="1"/>
  <c r="O15" i="41" s="1"/>
  <c r="X6" i="41"/>
  <c r="J29" i="41" l="1"/>
  <c r="J27" i="41"/>
  <c r="J5" i="41"/>
  <c r="J32" i="41" s="1"/>
  <c r="K5" i="41"/>
  <c r="H53" i="41"/>
  <c r="I52" i="41"/>
  <c r="P9" i="41"/>
  <c r="P13" i="41" s="1"/>
  <c r="P15" i="41" s="1"/>
  <c r="Y6" i="41"/>
  <c r="J143" i="41" l="1"/>
  <c r="L5" i="41"/>
  <c r="J34" i="41"/>
  <c r="J33" i="41"/>
  <c r="H54" i="41"/>
  <c r="I53" i="41"/>
  <c r="Q9" i="41"/>
  <c r="Q13" i="41" s="1"/>
  <c r="Q15" i="41" s="1"/>
  <c r="Q144" i="41" s="1"/>
  <c r="Z6" i="41"/>
  <c r="D134" i="41"/>
  <c r="D133" i="41"/>
  <c r="D128" i="41"/>
  <c r="D114" i="41"/>
  <c r="D103" i="41"/>
  <c r="D99" i="41"/>
  <c r="D97" i="41"/>
  <c r="D86" i="41"/>
  <c r="D83" i="41"/>
  <c r="D82" i="41"/>
  <c r="D80" i="41"/>
  <c r="D79" i="41"/>
  <c r="D76" i="41"/>
  <c r="D75" i="41"/>
  <c r="D67" i="41"/>
  <c r="D55" i="41"/>
  <c r="D52" i="41"/>
  <c r="D49" i="41"/>
  <c r="D47" i="41"/>
  <c r="D41" i="41"/>
  <c r="P144" i="41" s="1"/>
  <c r="D39" i="41"/>
  <c r="O144" i="41" s="1"/>
  <c r="D37" i="41"/>
  <c r="M144" i="41" s="1"/>
  <c r="D33" i="41"/>
  <c r="K144" i="41" s="1"/>
  <c r="D30" i="41"/>
  <c r="D28" i="41"/>
  <c r="D26" i="41"/>
  <c r="D24" i="41"/>
  <c r="D23" i="41"/>
  <c r="J23" i="41" s="1"/>
  <c r="D22" i="41"/>
  <c r="E144" i="41" l="1"/>
  <c r="J24" i="41"/>
  <c r="E143" i="41" s="1"/>
  <c r="H144" i="41"/>
  <c r="J28" i="41"/>
  <c r="H143" i="41" s="1"/>
  <c r="G144" i="41"/>
  <c r="J26" i="41"/>
  <c r="G143" i="41" s="1"/>
  <c r="I144" i="41"/>
  <c r="J30" i="41"/>
  <c r="I143" i="41" s="1"/>
  <c r="D144" i="41"/>
  <c r="J22" i="41"/>
  <c r="D143" i="41" s="1"/>
  <c r="K143" i="41"/>
  <c r="M5" i="41"/>
  <c r="J35" i="41"/>
  <c r="J36" i="41"/>
  <c r="I54" i="41"/>
  <c r="H55" i="41"/>
  <c r="R9" i="41"/>
  <c r="R13" i="41" s="1"/>
  <c r="R15" i="41" s="1"/>
  <c r="R144" i="41" s="1"/>
  <c r="AA6" i="41"/>
  <c r="L143" i="41" l="1"/>
  <c r="N5" i="41"/>
  <c r="J37" i="41"/>
  <c r="M143" i="41" s="1"/>
  <c r="H56" i="41"/>
  <c r="I55" i="41"/>
  <c r="S9" i="41"/>
  <c r="S13" i="41" s="1"/>
  <c r="S15" i="41" s="1"/>
  <c r="S144" i="41" s="1"/>
  <c r="AB6" i="41"/>
  <c r="O5" i="41" l="1"/>
  <c r="J38" i="41"/>
  <c r="N143" i="41" s="1"/>
  <c r="H57" i="41"/>
  <c r="I56" i="41"/>
  <c r="T9" i="41"/>
  <c r="AC6" i="41"/>
  <c r="P5" i="41" l="1"/>
  <c r="J39" i="41"/>
  <c r="J40" i="41"/>
  <c r="H58" i="41"/>
  <c r="I57" i="41"/>
  <c r="U9" i="41"/>
  <c r="U14" i="41" s="1"/>
  <c r="U15" i="41" s="1"/>
  <c r="U144" i="41" s="1"/>
  <c r="T13" i="41"/>
  <c r="T15" i="41" s="1"/>
  <c r="T144" i="41" s="1"/>
  <c r="U12" i="41"/>
  <c r="AD6" i="41"/>
  <c r="AE6" i="41" s="1"/>
  <c r="O143" i="41" l="1"/>
  <c r="Q5" i="41"/>
  <c r="J41" i="41"/>
  <c r="P143" i="41" s="1"/>
  <c r="I58" i="41"/>
  <c r="H59" i="41"/>
  <c r="V9" i="41"/>
  <c r="AF6" i="41"/>
  <c r="V12" i="41"/>
  <c r="W9" i="41" l="1"/>
  <c r="V14" i="41"/>
  <c r="V15" i="41" s="1"/>
  <c r="V144" i="41" s="1"/>
  <c r="R5" i="41"/>
  <c r="J43" i="41"/>
  <c r="J42" i="41"/>
  <c r="Q143" i="41" s="1"/>
  <c r="H60" i="41"/>
  <c r="I59" i="41"/>
  <c r="W12" i="41"/>
  <c r="AG6" i="41"/>
  <c r="B5" i="46"/>
  <c r="C145" i="41" s="1"/>
  <c r="C146" i="41" s="1"/>
  <c r="S5" i="41" l="1"/>
  <c r="J45" i="41"/>
  <c r="J44" i="41"/>
  <c r="X9" i="41"/>
  <c r="W14" i="41"/>
  <c r="W15" i="41" s="1"/>
  <c r="W144" i="41" s="1"/>
  <c r="H61" i="41"/>
  <c r="I60" i="41"/>
  <c r="AH6" i="41"/>
  <c r="X12" i="41"/>
  <c r="R143" i="41" l="1"/>
  <c r="T5" i="41"/>
  <c r="J47" i="41"/>
  <c r="J46" i="41"/>
  <c r="J48" i="41"/>
  <c r="Y9" i="41"/>
  <c r="X14" i="41"/>
  <c r="X15" i="41" s="1"/>
  <c r="X144" i="41" s="1"/>
  <c r="H62" i="41"/>
  <c r="I61" i="41"/>
  <c r="AI6" i="41"/>
  <c r="Y12" i="41"/>
  <c r="S143" i="41" l="1"/>
  <c r="Z9" i="41"/>
  <c r="Y14" i="41"/>
  <c r="Y15" i="41" s="1"/>
  <c r="Y144" i="41" s="1"/>
  <c r="U5" i="41"/>
  <c r="J49" i="41"/>
  <c r="T143" i="41" s="1"/>
  <c r="I62" i="41"/>
  <c r="H63" i="41"/>
  <c r="Z12" i="41"/>
  <c r="AJ6" i="41"/>
  <c r="V5" i="41" l="1"/>
  <c r="J51" i="41"/>
  <c r="J50" i="41"/>
  <c r="U143" i="41" s="1"/>
  <c r="AA9" i="41"/>
  <c r="Z14" i="41"/>
  <c r="Z15" i="41" s="1"/>
  <c r="Z144" i="41" s="1"/>
  <c r="H64" i="41"/>
  <c r="H65" i="41" s="1"/>
  <c r="I63" i="41"/>
  <c r="AA12" i="41"/>
  <c r="AK6" i="41"/>
  <c r="AB9" i="41" l="1"/>
  <c r="AA14" i="41"/>
  <c r="AA15" i="41" s="1"/>
  <c r="AA144" i="41" s="1"/>
  <c r="W5" i="41"/>
  <c r="J52" i="41"/>
  <c r="V143" i="41" s="1"/>
  <c r="I65" i="41"/>
  <c r="H66" i="41"/>
  <c r="I66" i="41" s="1"/>
  <c r="H67" i="41"/>
  <c r="I64" i="41"/>
  <c r="AL6" i="41"/>
  <c r="AB12" i="41"/>
  <c r="E18" i="46"/>
  <c r="E19" i="46" s="1"/>
  <c r="X5" i="41" l="1"/>
  <c r="J53" i="41"/>
  <c r="W143" i="41" s="1"/>
  <c r="AC9" i="41"/>
  <c r="AB14" i="41"/>
  <c r="AB15" i="41" s="1"/>
  <c r="AB144" i="41" s="1"/>
  <c r="H68" i="41"/>
  <c r="I67" i="41"/>
  <c r="AC12" i="41"/>
  <c r="AM6" i="41"/>
  <c r="AD9" i="41" l="1"/>
  <c r="AC14" i="41"/>
  <c r="AC15" i="41" s="1"/>
  <c r="AC144" i="41" s="1"/>
  <c r="Y5" i="41"/>
  <c r="J55" i="41"/>
  <c r="J54" i="41"/>
  <c r="I68" i="41"/>
  <c r="H69" i="41"/>
  <c r="AN6" i="41"/>
  <c r="AD12" i="41"/>
  <c r="X143" i="41" l="1"/>
  <c r="Z5" i="41"/>
  <c r="J57" i="41"/>
  <c r="J56" i="41"/>
  <c r="AD14" i="41"/>
  <c r="AD15" i="41" s="1"/>
  <c r="AD144" i="41" s="1"/>
  <c r="AF9" i="41"/>
  <c r="AE9" i="41"/>
  <c r="AE14" i="41" s="1"/>
  <c r="AE15" i="41" s="1"/>
  <c r="AE144" i="41" s="1"/>
  <c r="H70" i="41"/>
  <c r="I69" i="41"/>
  <c r="AF12" i="41"/>
  <c r="AO6" i="41"/>
  <c r="Y143" i="41" l="1"/>
  <c r="AG9" i="41"/>
  <c r="AF14" i="41"/>
  <c r="AF15" i="41" s="1"/>
  <c r="AF144" i="41" s="1"/>
  <c r="AA5" i="41"/>
  <c r="J58" i="41"/>
  <c r="Z143" i="41" s="1"/>
  <c r="H71" i="41"/>
  <c r="I70" i="41"/>
  <c r="AP6" i="41"/>
  <c r="AG12" i="41"/>
  <c r="AB5" i="41" l="1"/>
  <c r="J59" i="41"/>
  <c r="AA143" i="41" s="1"/>
  <c r="AH9" i="41"/>
  <c r="AG14" i="41"/>
  <c r="AG15" i="41" s="1"/>
  <c r="AG144" i="41" s="1"/>
  <c r="H72" i="41"/>
  <c r="I71" i="41"/>
  <c r="AH12" i="41"/>
  <c r="AQ6" i="41"/>
  <c r="B9" i="46"/>
  <c r="B7" i="46"/>
  <c r="AE6" i="48" l="1"/>
  <c r="AE8" i="48" s="1"/>
  <c r="AE10" i="48" s="1"/>
  <c r="AE7" i="48"/>
  <c r="AE9" i="48" s="1"/>
  <c r="E20" i="46"/>
  <c r="E15" i="46" s="1"/>
  <c r="F15" i="46" s="1"/>
  <c r="E34" i="46"/>
  <c r="E35" i="46" s="1"/>
  <c r="E36" i="46" s="1"/>
  <c r="E37" i="46" s="1"/>
  <c r="E38" i="46" s="1"/>
  <c r="E39" i="46" s="1"/>
  <c r="AI9" i="41"/>
  <c r="AH14" i="41"/>
  <c r="AH15" i="41" s="1"/>
  <c r="AH144" i="41" s="1"/>
  <c r="AC5" i="41"/>
  <c r="J60" i="41"/>
  <c r="J61" i="41"/>
  <c r="J62" i="41"/>
  <c r="I72" i="41"/>
  <c r="H73" i="41"/>
  <c r="AR6" i="41"/>
  <c r="AS6" i="41" s="1"/>
  <c r="AI12" i="41"/>
  <c r="E29" i="46" l="1"/>
  <c r="F29" i="46" s="1"/>
  <c r="E28" i="46"/>
  <c r="F28" i="46" s="1"/>
  <c r="E44" i="46" s="1"/>
  <c r="E40" i="46"/>
  <c r="E41" i="46" s="1"/>
  <c r="E16" i="46"/>
  <c r="F16" i="46" s="1"/>
  <c r="AB143" i="41"/>
  <c r="AD5" i="41"/>
  <c r="J63" i="41"/>
  <c r="AC143" i="41" s="1"/>
  <c r="AJ9" i="41"/>
  <c r="AI14" i="41"/>
  <c r="AI15" i="41" s="1"/>
  <c r="AI144" i="41" s="1"/>
  <c r="H74" i="41"/>
  <c r="I73" i="41"/>
  <c r="AT6" i="41"/>
  <c r="AJ12" i="41"/>
  <c r="M40" i="46" l="1"/>
  <c r="M73" i="46"/>
  <c r="M62" i="46"/>
  <c r="M60" i="46"/>
  <c r="E45" i="46"/>
  <c r="M64" i="46"/>
  <c r="M74" i="46"/>
  <c r="M26" i="46"/>
  <c r="M71" i="46"/>
  <c r="M67" i="46"/>
  <c r="M33" i="46"/>
  <c r="M29" i="46"/>
  <c r="M58" i="46"/>
  <c r="M66" i="46"/>
  <c r="M59" i="46"/>
  <c r="M28" i="46"/>
  <c r="M25" i="46"/>
  <c r="M39" i="46"/>
  <c r="M38" i="46"/>
  <c r="M76" i="46"/>
  <c r="M69" i="46"/>
  <c r="M31" i="46"/>
  <c r="M27" i="46"/>
  <c r="M24" i="46"/>
  <c r="M65" i="46"/>
  <c r="M20" i="46"/>
  <c r="M75" i="46"/>
  <c r="M63" i="46"/>
  <c r="M23" i="46"/>
  <c r="M37" i="46"/>
  <c r="M43" i="46"/>
  <c r="M32" i="46"/>
  <c r="M70" i="46"/>
  <c r="M61" i="46"/>
  <c r="M36" i="46"/>
  <c r="M34" i="46"/>
  <c r="M79" i="46"/>
  <c r="M22" i="46"/>
  <c r="M72" i="46"/>
  <c r="M41" i="46"/>
  <c r="M30" i="46"/>
  <c r="M42" i="46"/>
  <c r="M44" i="46"/>
  <c r="M35" i="46"/>
  <c r="M68" i="46"/>
  <c r="M77" i="46"/>
  <c r="M78" i="46"/>
  <c r="M21" i="46"/>
  <c r="AK9" i="41"/>
  <c r="AJ14" i="41"/>
  <c r="AJ15" i="41" s="1"/>
  <c r="AJ144" i="41" s="1"/>
  <c r="J65" i="41"/>
  <c r="J64" i="41"/>
  <c r="AF5" i="41"/>
  <c r="AE5" i="41"/>
  <c r="J66" i="41" s="1"/>
  <c r="AE143" i="41" s="1"/>
  <c r="H75" i="41"/>
  <c r="I74" i="41"/>
  <c r="AK12" i="41"/>
  <c r="AU6" i="41"/>
  <c r="M56" i="46" l="1"/>
  <c r="M55" i="46"/>
  <c r="M48" i="46"/>
  <c r="M5" i="46"/>
  <c r="M3" i="46"/>
  <c r="M57" i="46"/>
  <c r="M49" i="46"/>
  <c r="AD143" i="41"/>
  <c r="M45" i="46"/>
  <c r="M52" i="46"/>
  <c r="M15" i="46"/>
  <c r="M46" i="46"/>
  <c r="M12" i="46"/>
  <c r="M18" i="46"/>
  <c r="M4" i="46"/>
  <c r="M13" i="46"/>
  <c r="M47" i="46"/>
  <c r="M19" i="46"/>
  <c r="M50" i="46"/>
  <c r="M8" i="46"/>
  <c r="M51" i="46"/>
  <c r="M17" i="46"/>
  <c r="M14" i="46"/>
  <c r="M2" i="46"/>
  <c r="M6" i="46"/>
  <c r="M54" i="46"/>
  <c r="M53" i="46"/>
  <c r="M11" i="46"/>
  <c r="M7" i="46"/>
  <c r="M9" i="46"/>
  <c r="M16" i="46"/>
  <c r="M10" i="46"/>
  <c r="AG5" i="41"/>
  <c r="J68" i="41"/>
  <c r="J67" i="41"/>
  <c r="AF143" i="41" s="1"/>
  <c r="AL9" i="41"/>
  <c r="AK14" i="41"/>
  <c r="AK15" i="41" s="1"/>
  <c r="AK144" i="41" s="1"/>
  <c r="H76" i="41"/>
  <c r="I75" i="41"/>
  <c r="AV6" i="41"/>
  <c r="AW6" i="41" s="1"/>
  <c r="AL12" i="41"/>
  <c r="M80" i="46" l="1"/>
  <c r="AM9" i="41"/>
  <c r="AL14" i="41"/>
  <c r="AL15" i="41" s="1"/>
  <c r="AL144" i="41" s="1"/>
  <c r="AH5" i="41"/>
  <c r="J69" i="41"/>
  <c r="AG143" i="41" s="1"/>
  <c r="I76" i="41"/>
  <c r="H77" i="41"/>
  <c r="AM12" i="41"/>
  <c r="AX6" i="41"/>
  <c r="AI5" i="41" l="1"/>
  <c r="J70" i="41"/>
  <c r="J71" i="41"/>
  <c r="AN9" i="41"/>
  <c r="AM14" i="41"/>
  <c r="AM15" i="41" s="1"/>
  <c r="AM144" i="41" s="1"/>
  <c r="H78" i="41"/>
  <c r="I77" i="41"/>
  <c r="AY6" i="41"/>
  <c r="AN12" i="41"/>
  <c r="AH143" i="41" l="1"/>
  <c r="AO9" i="41"/>
  <c r="AN14" i="41"/>
  <c r="AN15" i="41" s="1"/>
  <c r="AN144" i="41" s="1"/>
  <c r="AJ5" i="41"/>
  <c r="J72" i="41"/>
  <c r="J73" i="41"/>
  <c r="J74" i="41"/>
  <c r="H79" i="41"/>
  <c r="I78" i="41"/>
  <c r="AO12" i="41"/>
  <c r="AZ6" i="41"/>
  <c r="BA6" i="41" s="1"/>
  <c r="AI143" i="41" l="1"/>
  <c r="AK5" i="41"/>
  <c r="J76" i="41"/>
  <c r="J75" i="41"/>
  <c r="AJ143" i="41" s="1"/>
  <c r="AP9" i="41"/>
  <c r="AO14" i="41"/>
  <c r="AO15" i="41" s="1"/>
  <c r="AO144" i="41" s="1"/>
  <c r="H80" i="41"/>
  <c r="I79" i="41"/>
  <c r="BB6" i="41"/>
  <c r="BD6" i="41" s="1"/>
  <c r="AP12" i="41"/>
  <c r="AQ9" i="41" l="1"/>
  <c r="AP14" i="41"/>
  <c r="AP15" i="41" s="1"/>
  <c r="AP144" i="41" s="1"/>
  <c r="AL5" i="41"/>
  <c r="J77" i="41"/>
  <c r="AK143" i="41" s="1"/>
  <c r="I80" i="41"/>
  <c r="H81" i="41"/>
  <c r="AQ12" i="41"/>
  <c r="BC6" i="41"/>
  <c r="AM5" i="41" l="1"/>
  <c r="J78" i="41"/>
  <c r="AL143" i="41" s="1"/>
  <c r="AR9" i="41"/>
  <c r="AQ14" i="41"/>
  <c r="AQ15" i="41" s="1"/>
  <c r="AQ144" i="41" s="1"/>
  <c r="H82" i="41"/>
  <c r="I81" i="41"/>
  <c r="BE6" i="41"/>
  <c r="AR12" i="41"/>
  <c r="AS12" i="41" s="1"/>
  <c r="AT12" i="41" s="1"/>
  <c r="AU12" i="41" s="1"/>
  <c r="AV12" i="41" s="1"/>
  <c r="AW12" i="41" s="1"/>
  <c r="AX12" i="41" s="1"/>
  <c r="AY12" i="41" s="1"/>
  <c r="AZ12" i="41" s="1"/>
  <c r="BA12" i="41" s="1"/>
  <c r="BB12" i="41" s="1"/>
  <c r="BC12" i="41" l="1"/>
  <c r="BE12" i="41" s="1"/>
  <c r="BF12" i="41" s="1"/>
  <c r="BG12" i="41" s="1"/>
  <c r="BH12" i="41" s="1"/>
  <c r="BI12" i="41" s="1"/>
  <c r="BJ12" i="41" s="1"/>
  <c r="BK12" i="41" s="1"/>
  <c r="BL12" i="41" s="1"/>
  <c r="BM12" i="41" s="1"/>
  <c r="BN12" i="41" s="1"/>
  <c r="BO12" i="41" s="1"/>
  <c r="BP12" i="41" s="1"/>
  <c r="BQ12" i="41" s="1"/>
  <c r="BR12" i="41" s="1"/>
  <c r="BS12" i="41" s="1"/>
  <c r="BT12" i="41" s="1"/>
  <c r="BD12" i="41"/>
  <c r="AR14" i="41"/>
  <c r="AR15" i="41" s="1"/>
  <c r="AR144" i="41" s="1"/>
  <c r="AT9" i="41"/>
  <c r="AS9" i="41"/>
  <c r="AS14" i="41" s="1"/>
  <c r="AS15" i="41" s="1"/>
  <c r="AS144" i="41" s="1"/>
  <c r="AN5" i="41"/>
  <c r="J80" i="41"/>
  <c r="J79" i="41"/>
  <c r="AM143" i="41" s="1"/>
  <c r="H83" i="41"/>
  <c r="I82" i="41"/>
  <c r="BF6" i="41"/>
  <c r="BG6" i="41" s="1"/>
  <c r="BH6" i="41" s="1"/>
  <c r="BI6" i="41" s="1"/>
  <c r="BW12" i="41" l="1"/>
  <c r="BX12" i="41" s="1"/>
  <c r="BY12" i="41" s="1"/>
  <c r="BZ12" i="41" s="1"/>
  <c r="CA12" i="41" s="1"/>
  <c r="CB12" i="41" s="1"/>
  <c r="BU12" i="41"/>
  <c r="BV12" i="41" s="1"/>
  <c r="AO5" i="41"/>
  <c r="J82" i="41" s="1"/>
  <c r="J81" i="41"/>
  <c r="AN143" i="41" s="1"/>
  <c r="AU9" i="41"/>
  <c r="AT13" i="41"/>
  <c r="AT15" i="41" s="1"/>
  <c r="AT144" i="41" s="1"/>
  <c r="H84" i="41"/>
  <c r="I83" i="41"/>
  <c r="BJ6" i="41"/>
  <c r="AU13" i="41" l="1"/>
  <c r="AU15" i="41" s="1"/>
  <c r="AU144" i="41" s="1"/>
  <c r="AV9" i="41"/>
  <c r="AP5" i="41"/>
  <c r="AO143" i="41"/>
  <c r="I84" i="41"/>
  <c r="H85" i="41"/>
  <c r="BK6" i="41"/>
  <c r="BL6" i="41" s="1"/>
  <c r="BM6" i="41" s="1"/>
  <c r="BN6" i="41" s="1"/>
  <c r="BO6" i="41" s="1"/>
  <c r="BP6" i="41" s="1"/>
  <c r="AQ5" i="41" l="1"/>
  <c r="J83" i="41"/>
  <c r="AP143" i="41" s="1"/>
  <c r="AV13" i="41"/>
  <c r="AV15" i="41" s="1"/>
  <c r="AV144" i="41" s="1"/>
  <c r="AX9" i="41"/>
  <c r="AW9" i="41"/>
  <c r="AW13" i="41" s="1"/>
  <c r="AW15" i="41" s="1"/>
  <c r="AW144" i="41" s="1"/>
  <c r="H86" i="41"/>
  <c r="H87" i="41" s="1"/>
  <c r="I85" i="41"/>
  <c r="BQ6" i="41"/>
  <c r="AY9" i="41" l="1"/>
  <c r="AX13" i="41"/>
  <c r="AX15" i="41" s="1"/>
  <c r="AX144" i="41" s="1"/>
  <c r="AR5" i="41"/>
  <c r="J85" i="41"/>
  <c r="J84" i="41"/>
  <c r="I87" i="41"/>
  <c r="H88" i="41"/>
  <c r="I88" i="41" s="1"/>
  <c r="H89" i="41"/>
  <c r="I86" i="41"/>
  <c r="BR6" i="41"/>
  <c r="AQ143" i="41" l="1"/>
  <c r="J87" i="41"/>
  <c r="J86" i="41"/>
  <c r="AT5" i="41"/>
  <c r="AS5" i="41"/>
  <c r="J88" i="41" s="1"/>
  <c r="AS143" i="41" s="1"/>
  <c r="AZ9" i="41"/>
  <c r="AY13" i="41"/>
  <c r="AY15" i="41" s="1"/>
  <c r="AY144" i="41" s="1"/>
  <c r="H90" i="41"/>
  <c r="H91" i="41" s="1"/>
  <c r="I91" i="41" s="1"/>
  <c r="I89" i="41"/>
  <c r="BS6" i="41"/>
  <c r="AR143" i="41" l="1"/>
  <c r="AZ13" i="41"/>
  <c r="AZ15" i="41" s="1"/>
  <c r="AZ144" i="41" s="1"/>
  <c r="BA9" i="41"/>
  <c r="BA13" i="41" s="1"/>
  <c r="BA15" i="41" s="1"/>
  <c r="BA144" i="41" s="1"/>
  <c r="BB9" i="41"/>
  <c r="BD9" i="41" s="1"/>
  <c r="BD13" i="41" s="1"/>
  <c r="BD15" i="41" s="1"/>
  <c r="BD144" i="41" s="1"/>
  <c r="AU5" i="41"/>
  <c r="J89" i="41"/>
  <c r="AT143" i="41" s="1"/>
  <c r="I90" i="41"/>
  <c r="H92" i="41"/>
  <c r="H93" i="41" s="1"/>
  <c r="BT6" i="41"/>
  <c r="BU6" i="41" s="1"/>
  <c r="BV6" i="41" s="1"/>
  <c r="BC9" i="41" l="1"/>
  <c r="BB13" i="41"/>
  <c r="BB15" i="41" s="1"/>
  <c r="BB144" i="41" s="1"/>
  <c r="AV5" i="41"/>
  <c r="J91" i="41"/>
  <c r="J90" i="41"/>
  <c r="I93" i="41"/>
  <c r="H94" i="41"/>
  <c r="I94" i="41" s="1"/>
  <c r="H95" i="41"/>
  <c r="H96" i="41" s="1"/>
  <c r="I96" i="41" s="1"/>
  <c r="I92" i="41"/>
  <c r="BW6" i="41"/>
  <c r="AU143" i="41" l="1"/>
  <c r="AW5" i="41"/>
  <c r="J94" i="41" s="1"/>
  <c r="AW143" i="41" s="1"/>
  <c r="J93" i="41"/>
  <c r="J92" i="41"/>
  <c r="AX5" i="41"/>
  <c r="BE9" i="41"/>
  <c r="BC13" i="41"/>
  <c r="BC15" i="41" s="1"/>
  <c r="BC144" i="41" s="1"/>
  <c r="H97" i="41"/>
  <c r="I95" i="41"/>
  <c r="BX6" i="41"/>
  <c r="AV143" i="41" l="1"/>
  <c r="BF9" i="41"/>
  <c r="BE13" i="41"/>
  <c r="BE15" i="41" s="1"/>
  <c r="BE144" i="41" s="1"/>
  <c r="AY5" i="41"/>
  <c r="J96" i="41"/>
  <c r="J95" i="41"/>
  <c r="AX143" i="41" s="1"/>
  <c r="H98" i="41"/>
  <c r="I97" i="41"/>
  <c r="BY6" i="41"/>
  <c r="BZ6" i="41" s="1"/>
  <c r="CA6" i="41" s="1"/>
  <c r="AZ5" i="41" l="1"/>
  <c r="J97" i="41"/>
  <c r="BJ9" i="41"/>
  <c r="BI14" i="41" s="1"/>
  <c r="BI15" i="41" s="1"/>
  <c r="BI144" i="41" s="1"/>
  <c r="BG9" i="41"/>
  <c r="BF14" i="41" s="1"/>
  <c r="BF15" i="41" s="1"/>
  <c r="BF144" i="41" s="1"/>
  <c r="I98" i="41"/>
  <c r="J98" i="41" s="1"/>
  <c r="H99" i="41"/>
  <c r="H100" i="41" s="1"/>
  <c r="CB6" i="41"/>
  <c r="AY143" i="41" l="1"/>
  <c r="BH9" i="41"/>
  <c r="BG14" i="41" s="1"/>
  <c r="BG15" i="41" s="1"/>
  <c r="BG144" i="41" s="1"/>
  <c r="BK9" i="41"/>
  <c r="BJ14" i="41" s="1"/>
  <c r="BJ15" i="41" s="1"/>
  <c r="BJ144" i="41" s="1"/>
  <c r="BB5" i="41"/>
  <c r="BD5" i="41" s="1"/>
  <c r="BA5" i="41"/>
  <c r="I100" i="41"/>
  <c r="J100" i="41" s="1"/>
  <c r="H101" i="41"/>
  <c r="I101" i="41" s="1"/>
  <c r="H102" i="41"/>
  <c r="I99" i="41"/>
  <c r="J99" i="41" s="1"/>
  <c r="AZ143" i="41" l="1"/>
  <c r="J101" i="41"/>
  <c r="BA143" i="41" s="1"/>
  <c r="BC5" i="41"/>
  <c r="BQ9" i="41"/>
  <c r="BP14" i="41" s="1"/>
  <c r="BP15" i="41" s="1"/>
  <c r="BP144" i="41" s="1"/>
  <c r="BL9" i="41"/>
  <c r="BK14" i="41" s="1"/>
  <c r="BK15" i="41" s="1"/>
  <c r="BK144" i="41" s="1"/>
  <c r="BI9" i="41"/>
  <c r="BH14" i="41" s="1"/>
  <c r="BH15" i="41" s="1"/>
  <c r="BH144" i="41" s="1"/>
  <c r="H103" i="41"/>
  <c r="I102" i="41"/>
  <c r="J102" i="41" s="1"/>
  <c r="BM9" i="41" l="1"/>
  <c r="BL14" i="41" s="1"/>
  <c r="BL15" i="41" s="1"/>
  <c r="BL144" i="41" s="1"/>
  <c r="BR9" i="41"/>
  <c r="BQ14" i="41" s="1"/>
  <c r="BQ15" i="41" s="1"/>
  <c r="BQ144" i="41" s="1"/>
  <c r="BE5" i="41"/>
  <c r="H104" i="41"/>
  <c r="H105" i="41" s="1"/>
  <c r="I103" i="41"/>
  <c r="J103" i="41" s="1"/>
  <c r="BB143" i="41" s="1"/>
  <c r="BS9" i="41" l="1"/>
  <c r="BR14" i="41" s="1"/>
  <c r="BR15" i="41" s="1"/>
  <c r="BR144" i="41" s="1"/>
  <c r="BF5" i="41"/>
  <c r="BN9" i="41"/>
  <c r="BM14" i="41" s="1"/>
  <c r="BM15" i="41" s="1"/>
  <c r="BM144" i="41" s="1"/>
  <c r="I105" i="41"/>
  <c r="J105" i="41" s="1"/>
  <c r="H106" i="41"/>
  <c r="I106" i="41" s="1"/>
  <c r="J106" i="41" s="1"/>
  <c r="BD143" i="41" s="1"/>
  <c r="I104" i="41"/>
  <c r="J104" i="41" s="1"/>
  <c r="BC143" i="41" s="1"/>
  <c r="H107" i="41"/>
  <c r="BO9" i="41" l="1"/>
  <c r="BN14" i="41" s="1"/>
  <c r="BN15" i="41" s="1"/>
  <c r="BN144" i="41" s="1"/>
  <c r="BG5" i="41"/>
  <c r="BJ5" i="41"/>
  <c r="BT9" i="41"/>
  <c r="H108" i="41"/>
  <c r="H109" i="41" s="1"/>
  <c r="I107" i="41"/>
  <c r="J107" i="41" s="1"/>
  <c r="BE143" i="41" s="1"/>
  <c r="BS14" i="41" l="1"/>
  <c r="BS15" i="41" s="1"/>
  <c r="BS144" i="41" s="1"/>
  <c r="BU9" i="41"/>
  <c r="BV9" i="41" s="1"/>
  <c r="BK5" i="41"/>
  <c r="BQ5" i="41" s="1"/>
  <c r="BR5" i="41" s="1"/>
  <c r="BH5" i="41"/>
  <c r="BW9" i="41"/>
  <c r="BT14" i="41" s="1"/>
  <c r="BT15" i="41" s="1"/>
  <c r="BT144" i="41" s="1"/>
  <c r="BL5" i="41"/>
  <c r="BP9" i="41"/>
  <c r="BO14" i="41" s="1"/>
  <c r="BO15" i="41" s="1"/>
  <c r="BO144" i="41" s="1"/>
  <c r="I109" i="41"/>
  <c r="J109" i="41" s="1"/>
  <c r="H110" i="41"/>
  <c r="H114" i="41"/>
  <c r="I108" i="41"/>
  <c r="J108" i="41" s="1"/>
  <c r="BF143" i="41" l="1"/>
  <c r="BS5" i="41"/>
  <c r="BM5" i="41"/>
  <c r="BI5" i="41"/>
  <c r="BX9" i="41"/>
  <c r="H111" i="41"/>
  <c r="I110" i="41"/>
  <c r="J110" i="41" s="1"/>
  <c r="H115" i="41"/>
  <c r="I114" i="41"/>
  <c r="J114" i="41" s="1"/>
  <c r="BJ143" i="41" s="1"/>
  <c r="BW14" i="41" l="1"/>
  <c r="BW15" i="41" s="1"/>
  <c r="BW144" i="41" s="1"/>
  <c r="BU14" i="41"/>
  <c r="BU15" i="41" s="1"/>
  <c r="BU144" i="41" s="1"/>
  <c r="BN5" i="41"/>
  <c r="BT5" i="41"/>
  <c r="BY9" i="41"/>
  <c r="I111" i="41"/>
  <c r="J111" i="41" s="1"/>
  <c r="BG143" i="41" s="1"/>
  <c r="H112" i="41"/>
  <c r="I115" i="41"/>
  <c r="J115" i="41" s="1"/>
  <c r="H116" i="41"/>
  <c r="H117" i="41" s="1"/>
  <c r="BX14" i="41" l="1"/>
  <c r="BX15" i="41" s="1"/>
  <c r="BX144" i="41" s="1"/>
  <c r="BV14" i="41"/>
  <c r="BV15" i="41" s="1"/>
  <c r="BV144" i="41" s="1"/>
  <c r="BW5" i="41"/>
  <c r="BX5" i="41" s="1"/>
  <c r="BY5" i="41" s="1"/>
  <c r="CB5" i="41" s="1"/>
  <c r="BU5" i="41"/>
  <c r="BZ5" i="41"/>
  <c r="CA5" i="41" s="1"/>
  <c r="BO5" i="41"/>
  <c r="BZ9" i="41"/>
  <c r="BY14" i="41" s="1"/>
  <c r="BY15" i="41" s="1"/>
  <c r="BY144" i="41" s="1"/>
  <c r="CB9" i="41"/>
  <c r="I117" i="41"/>
  <c r="J117" i="41" s="1"/>
  <c r="H118" i="41"/>
  <c r="H113" i="41"/>
  <c r="I113" i="41" s="1"/>
  <c r="J113" i="41" s="1"/>
  <c r="BI143" i="41" s="1"/>
  <c r="I112" i="41"/>
  <c r="J112" i="41" s="1"/>
  <c r="BH143" i="41" s="1"/>
  <c r="H123" i="41"/>
  <c r="I116" i="41"/>
  <c r="J116" i="41" s="1"/>
  <c r="BK143" i="41" l="1"/>
  <c r="BV5" i="41"/>
  <c r="BP5" i="41"/>
  <c r="CB13" i="41"/>
  <c r="CB15" i="41" s="1"/>
  <c r="CB144" i="41" s="1"/>
  <c r="CA14" i="41"/>
  <c r="CA15" i="41" s="1"/>
  <c r="CA144" i="41" s="1"/>
  <c r="CA9" i="41"/>
  <c r="BZ14" i="41" s="1"/>
  <c r="BZ15" i="41" s="1"/>
  <c r="BZ144" i="41" s="1"/>
  <c r="I118" i="41"/>
  <c r="J118" i="41" s="1"/>
  <c r="BL143" i="41" s="1"/>
  <c r="H119" i="41"/>
  <c r="H124" i="41"/>
  <c r="I123" i="41"/>
  <c r="J123" i="41" s="1"/>
  <c r="I119" i="41" l="1"/>
  <c r="J119" i="41" s="1"/>
  <c r="BM143" i="41" s="1"/>
  <c r="H120" i="41"/>
  <c r="H125" i="41"/>
  <c r="H126" i="41" s="1"/>
  <c r="I126" i="41" s="1"/>
  <c r="J126" i="41" s="1"/>
  <c r="I124" i="41"/>
  <c r="J124" i="41" s="1"/>
  <c r="BQ143" i="41" s="1"/>
  <c r="I120" i="41" l="1"/>
  <c r="J120" i="41" s="1"/>
  <c r="BN143" i="41" s="1"/>
  <c r="H121" i="41"/>
  <c r="I125" i="41"/>
  <c r="J125" i="41" s="1"/>
  <c r="BR143" i="41" s="1"/>
  <c r="H127" i="41"/>
  <c r="H122" i="41" l="1"/>
  <c r="I122" i="41" s="1"/>
  <c r="J122" i="41" s="1"/>
  <c r="BP143" i="41" s="1"/>
  <c r="I121" i="41"/>
  <c r="J121" i="41" s="1"/>
  <c r="BO143" i="41" s="1"/>
  <c r="H128" i="41"/>
  <c r="H129" i="41" s="1"/>
  <c r="I127" i="41"/>
  <c r="J127" i="41" s="1"/>
  <c r="BS143" i="41" s="1"/>
  <c r="H130" i="41" l="1"/>
  <c r="I129" i="41"/>
  <c r="J129" i="41" s="1"/>
  <c r="H132" i="41"/>
  <c r="I128" i="41"/>
  <c r="J128" i="41" s="1"/>
  <c r="BT143" i="41" s="1"/>
  <c r="H131" i="41" l="1"/>
  <c r="I131" i="41" s="1"/>
  <c r="J131" i="41" s="1"/>
  <c r="BV143" i="41" s="1"/>
  <c r="I130" i="41"/>
  <c r="J130" i="41" s="1"/>
  <c r="BU143" i="41" s="1"/>
  <c r="H133" i="41"/>
  <c r="I132" i="41"/>
  <c r="J132" i="41" s="1"/>
  <c r="BW143" i="41" s="1"/>
  <c r="I133" i="41" l="1"/>
  <c r="J133" i="41" s="1"/>
  <c r="BX143" i="41" s="1"/>
  <c r="H134" i="41"/>
  <c r="H135" i="41" l="1"/>
  <c r="I134" i="41"/>
  <c r="J134" i="41" s="1"/>
  <c r="H136" i="41" l="1"/>
  <c r="I135" i="41"/>
  <c r="J135" i="41" s="1"/>
  <c r="BY143" i="41" s="1"/>
  <c r="H137" i="41" l="1"/>
  <c r="I136" i="41"/>
  <c r="J136" i="41" s="1"/>
  <c r="BZ143" i="41" s="1"/>
  <c r="I137" i="41" l="1"/>
  <c r="J137" i="41" s="1"/>
  <c r="CA143" i="41" s="1"/>
  <c r="H138" i="41"/>
  <c r="H139" i="41" l="1"/>
  <c r="I139" i="41" s="1"/>
  <c r="J139" i="41" s="1"/>
  <c r="I138" i="41"/>
  <c r="J138" i="41" s="1"/>
  <c r="CB143" i="41" s="1"/>
  <c r="CC143" i="41" s="1"/>
</calcChain>
</file>

<file path=xl/sharedStrings.xml><?xml version="1.0" encoding="utf-8"?>
<sst xmlns="http://schemas.openxmlformats.org/spreadsheetml/2006/main" count="1406" uniqueCount="622">
  <si>
    <t>Description</t>
  </si>
  <si>
    <t>Version of the workbook</t>
  </si>
  <si>
    <t>Type</t>
  </si>
  <si>
    <t>Meth (code / name / version / date of approval)</t>
  </si>
  <si>
    <t>PoA Title</t>
  </si>
  <si>
    <t>Sampling Constants</t>
  </si>
  <si>
    <t>Values</t>
  </si>
  <si>
    <t>Level of sampling</t>
  </si>
  <si>
    <t>Confidence (%) (90 or 95)</t>
  </si>
  <si>
    <t>Margin of Error (%)</t>
  </si>
  <si>
    <t>Z value</t>
  </si>
  <si>
    <t>Sampling frame(s)</t>
  </si>
  <si>
    <t>Calculated Sample Size (n)</t>
  </si>
  <si>
    <t>Stove population</t>
  </si>
  <si>
    <t>Sampling approach</t>
  </si>
  <si>
    <t>Monitoring duration</t>
  </si>
  <si>
    <t>Data Ex Ante</t>
  </si>
  <si>
    <t>Unit</t>
  </si>
  <si>
    <t>Source</t>
  </si>
  <si>
    <t>tonnes/year</t>
  </si>
  <si>
    <r>
      <t>f</t>
    </r>
    <r>
      <rPr>
        <vertAlign val="subscript"/>
        <sz val="12"/>
        <color theme="1"/>
        <rFont val="Calibri"/>
        <family val="2"/>
      </rPr>
      <t>NRB,b,y</t>
    </r>
  </si>
  <si>
    <t>fraction</t>
  </si>
  <si>
    <r>
      <t>NCV</t>
    </r>
    <r>
      <rPr>
        <vertAlign val="subscript"/>
        <sz val="10"/>
        <color theme="1"/>
        <rFont val="Calibri (Body)"/>
      </rPr>
      <t>biomass</t>
    </r>
  </si>
  <si>
    <t>TJ/tonne</t>
  </si>
  <si>
    <t>tCO2/TJ</t>
  </si>
  <si>
    <r>
      <t>η</t>
    </r>
    <r>
      <rPr>
        <vertAlign val="subscript"/>
        <sz val="12"/>
        <color theme="1"/>
        <rFont val="Calibri"/>
        <family val="2"/>
      </rPr>
      <t>old</t>
    </r>
  </si>
  <si>
    <t>Leakage Correction Factor (LCF)</t>
  </si>
  <si>
    <t>t biomass</t>
  </si>
  <si>
    <t>Calculated</t>
  </si>
  <si>
    <t>Date</t>
  </si>
  <si>
    <r>
      <t>B</t>
    </r>
    <r>
      <rPr>
        <vertAlign val="subscript"/>
        <sz val="10"/>
        <color theme="1"/>
        <rFont val="Calibri (Body)"/>
      </rPr>
      <t>y,savings,i=TK90,a=1</t>
    </r>
  </si>
  <si>
    <t>Total</t>
  </si>
  <si>
    <t>Quantity</t>
  </si>
  <si>
    <t>Start date of stove crediting 
(considering the start date of monitoring period)</t>
  </si>
  <si>
    <t>Equivalent Operational year in the monitoring period</t>
  </si>
  <si>
    <t>Name of CPA</t>
  </si>
  <si>
    <t>End date of stove crediting  (considering the end date of monitoring period)</t>
  </si>
  <si>
    <t>CERs</t>
  </si>
  <si>
    <t>Emission reductions</t>
  </si>
  <si>
    <t>Monitoring parameter(s)</t>
  </si>
  <si>
    <t>Given stove model and age population</t>
  </si>
  <si>
    <t>Stratified random sampling across stove model and age</t>
  </si>
  <si>
    <t>Sampling Population (Batch)</t>
  </si>
  <si>
    <t>Age</t>
  </si>
  <si>
    <t>Sample size determination</t>
  </si>
  <si>
    <t>Sample Size required (SOF)</t>
  </si>
  <si>
    <r>
      <t>Stove Operating Fraction for determination of N</t>
    </r>
    <r>
      <rPr>
        <b/>
        <vertAlign val="subscript"/>
        <sz val="11"/>
        <color theme="0"/>
        <rFont val="Calibri"/>
        <family val="2"/>
      </rPr>
      <t>y</t>
    </r>
  </si>
  <si>
    <t>TK90 Batch 1</t>
  </si>
  <si>
    <t xml:space="preserve">Actual Monitored sample size </t>
  </si>
  <si>
    <t>Estimated Operation (p)</t>
  </si>
  <si>
    <r>
      <t>V</t>
    </r>
    <r>
      <rPr>
        <b/>
        <sz val="8"/>
        <color rgb="FF000000"/>
        <rFont val="Arial"/>
        <family val="2"/>
      </rPr>
      <t>operation</t>
    </r>
    <r>
      <rPr>
        <b/>
        <sz val="10"/>
        <color rgb="FF000000"/>
        <rFont val="Arial"/>
        <family val="2"/>
      </rPr>
      <t>= p(1-p)/p2</t>
    </r>
  </si>
  <si>
    <t>Operational year in monitoring period</t>
  </si>
  <si>
    <t xml:space="preserve">Monitoring period start </t>
  </si>
  <si>
    <t xml:space="preserve">Monitoring period end </t>
  </si>
  <si>
    <t>Grouped Project</t>
  </si>
  <si>
    <t>Ecozen Batch 1</t>
  </si>
  <si>
    <t>PA 001</t>
  </si>
  <si>
    <t>PA 002</t>
  </si>
  <si>
    <t>PA 003</t>
  </si>
  <si>
    <t>PA 005</t>
  </si>
  <si>
    <t>PA 006</t>
  </si>
  <si>
    <t>PA 007</t>
  </si>
  <si>
    <t>PA 010</t>
  </si>
  <si>
    <t>PA 011</t>
  </si>
  <si>
    <t>PA 012</t>
  </si>
  <si>
    <t>PA 013</t>
  </si>
  <si>
    <t>PA 014</t>
  </si>
  <si>
    <t>PA 015</t>
  </si>
  <si>
    <t>PA 016</t>
  </si>
  <si>
    <t>PA 017</t>
  </si>
  <si>
    <t>PA 018</t>
  </si>
  <si>
    <t>PA 019</t>
  </si>
  <si>
    <t>PA 020</t>
  </si>
  <si>
    <t>PA 021</t>
  </si>
  <si>
    <t>PA 022</t>
  </si>
  <si>
    <t>PA 023</t>
  </si>
  <si>
    <t>PA 024</t>
  </si>
  <si>
    <t>PA 025</t>
  </si>
  <si>
    <t>PA 026</t>
  </si>
  <si>
    <t>PA 027</t>
  </si>
  <si>
    <t>PA 028</t>
  </si>
  <si>
    <t>PA 029</t>
  </si>
  <si>
    <t>PA 031</t>
  </si>
  <si>
    <t>PA 032</t>
  </si>
  <si>
    <t>PA 034</t>
  </si>
  <si>
    <t>PA 037</t>
  </si>
  <si>
    <t>PA 038</t>
  </si>
  <si>
    <t>PA 039</t>
  </si>
  <si>
    <t>PA 040</t>
  </si>
  <si>
    <t>PA 041</t>
  </si>
  <si>
    <t>PA 042</t>
  </si>
  <si>
    <t>PA 043</t>
  </si>
  <si>
    <t>PA 044</t>
  </si>
  <si>
    <t>PA 045</t>
  </si>
  <si>
    <t>PA 046</t>
  </si>
  <si>
    <t>PA 048</t>
  </si>
  <si>
    <t>PA 049</t>
  </si>
  <si>
    <t>PA 051</t>
  </si>
  <si>
    <t>PA 053</t>
  </si>
  <si>
    <t>PA 054</t>
  </si>
  <si>
    <t>PA 055</t>
  </si>
  <si>
    <t>PA 059</t>
  </si>
  <si>
    <t>PA 060</t>
  </si>
  <si>
    <t>PA 062</t>
  </si>
  <si>
    <t>PA 064</t>
  </si>
  <si>
    <t>PA 068</t>
  </si>
  <si>
    <t>PA 069</t>
  </si>
  <si>
    <t>PA 076</t>
  </si>
  <si>
    <t>PA 077</t>
  </si>
  <si>
    <t>PA 078</t>
  </si>
  <si>
    <t>PA 080</t>
  </si>
  <si>
    <t>PA 083</t>
  </si>
  <si>
    <t>PA 086</t>
  </si>
  <si>
    <t>PA 089</t>
  </si>
  <si>
    <t>PA 097</t>
  </si>
  <si>
    <r>
      <t>B</t>
    </r>
    <r>
      <rPr>
        <vertAlign val="subscript"/>
        <sz val="10"/>
        <color theme="1"/>
        <rFont val="Calibri (Body)"/>
      </rPr>
      <t>y,savings,i=Ecozen,a=1</t>
    </r>
  </si>
  <si>
    <t>-</t>
  </si>
  <si>
    <t>Ex-ante, grouped PD</t>
  </si>
  <si>
    <t>VCU</t>
  </si>
  <si>
    <t>VMR006</t>
  </si>
  <si>
    <t>Grouped projects for Viet Nam Cookstove Program</t>
  </si>
  <si>
    <t>Installation of Improved Cookstoves in 30 provinces of Viet Nam</t>
  </si>
  <si>
    <t>07/01/2022 - 30/11/2022</t>
  </si>
  <si>
    <t>Monitoring Parameter</t>
  </si>
  <si>
    <t>Given stove model and vintage population</t>
  </si>
  <si>
    <t>Stratified random sampling across stove model and vintage</t>
  </si>
  <si>
    <t>Sampling Category</t>
  </si>
  <si>
    <t>Sampling frame size</t>
  </si>
  <si>
    <t>Expected SD</t>
  </si>
  <si>
    <t>Calculated Sample Size</t>
  </si>
  <si>
    <t>Estimated efficiency (mean)</t>
  </si>
  <si>
    <t>Estimated Standard Deviation of efficiency (SD)</t>
  </si>
  <si>
    <r>
      <t>V</t>
    </r>
    <r>
      <rPr>
        <b/>
        <vertAlign val="subscript"/>
        <sz val="10"/>
        <color rgb="FF000000"/>
        <rFont val="Calibri"/>
        <family val="2"/>
        <scheme val="minor"/>
      </rPr>
      <t xml:space="preserve">mean </t>
    </r>
    <r>
      <rPr>
        <b/>
        <sz val="10"/>
        <color rgb="FF000000"/>
        <rFont val="Calibri"/>
        <family val="2"/>
        <scheme val="minor"/>
      </rPr>
      <t>= (SD/mean)</t>
    </r>
    <r>
      <rPr>
        <b/>
        <vertAlign val="superscript"/>
        <sz val="10"/>
        <color rgb="FF000000"/>
        <rFont val="Calibri"/>
        <family val="2"/>
        <scheme val="minor"/>
      </rPr>
      <t>2</t>
    </r>
  </si>
  <si>
    <t>Minimum Sample Size required (efficiency)</t>
  </si>
  <si>
    <t>tDistribution sample size adjustment</t>
  </si>
  <si>
    <t>Iteration 1</t>
  </si>
  <si>
    <t>Iteration 2</t>
  </si>
  <si>
    <t>Iteration 3</t>
  </si>
  <si>
    <t>Iteration 4</t>
  </si>
  <si>
    <t>Iteration 5</t>
  </si>
  <si>
    <t>Iteration 6</t>
  </si>
  <si>
    <t>Iteration 7</t>
  </si>
  <si>
    <t>Sampling Frame requirement as per Grouped PD</t>
  </si>
  <si>
    <r>
      <t xml:space="preserve">Stove Efficiency </t>
    </r>
    <r>
      <rPr>
        <b/>
        <vertAlign val="subscript"/>
        <sz val="14"/>
        <color theme="0"/>
        <rFont val="Calibri"/>
        <family val="2"/>
        <scheme val="minor"/>
      </rPr>
      <t>By=1,new,i,2022(age 1)</t>
    </r>
  </si>
  <si>
    <t>Ecozen Batch 1 (age 1)</t>
  </si>
  <si>
    <t>Tk90 Batch 1 (age 1)</t>
  </si>
  <si>
    <t>Inclusive of 20% non-response</t>
  </si>
  <si>
    <t>Ecozen</t>
  </si>
  <si>
    <t>TK90</t>
  </si>
  <si>
    <r>
      <t>Therefore the sample size for parameters N</t>
    </r>
    <r>
      <rPr>
        <vertAlign val="subscript"/>
        <sz val="10.5"/>
        <color rgb="FF0D0D0D"/>
        <rFont val="Arial"/>
        <family val="2"/>
      </rPr>
      <t>y,i,j</t>
    </r>
    <r>
      <rPr>
        <sz val="10.5"/>
        <color rgb="FF0D0D0D"/>
        <rFont val="Arial"/>
        <family val="2"/>
      </rPr>
      <t xml:space="preserve"> and B</t>
    </r>
    <r>
      <rPr>
        <vertAlign val="subscript"/>
        <sz val="10.5"/>
        <color rgb="FF0D0D0D"/>
        <rFont val="Arial"/>
        <family val="2"/>
      </rPr>
      <t>y=1,new,i,j,survey</t>
    </r>
    <r>
      <rPr>
        <sz val="10.5"/>
        <color rgb="FF0D0D0D"/>
        <rFont val="Arial"/>
        <family val="2"/>
      </rPr>
      <t xml:space="preserve"> is</t>
    </r>
  </si>
  <si>
    <t>Expected Mean Efficiency (Fraction)</t>
  </si>
  <si>
    <r>
      <t>η</t>
    </r>
    <r>
      <rPr>
        <vertAlign val="subscript"/>
        <sz val="12"/>
        <color theme="1"/>
        <rFont val="Calibri"/>
        <family val="2"/>
      </rPr>
      <t>new,,TK90,1</t>
    </r>
  </si>
  <si>
    <r>
      <t>η</t>
    </r>
    <r>
      <rPr>
        <vertAlign val="subscript"/>
        <sz val="12"/>
        <color theme="1"/>
        <rFont val="Calibri"/>
        <family val="2"/>
      </rPr>
      <t>new,,Ecozen,1</t>
    </r>
  </si>
  <si>
    <r>
      <t>B</t>
    </r>
    <r>
      <rPr>
        <vertAlign val="subscript"/>
        <sz val="12"/>
        <color theme="1"/>
        <rFont val="Calibri"/>
        <family val="2"/>
      </rPr>
      <t>y=1,new,i,survey</t>
    </r>
  </si>
  <si>
    <r>
      <t>Ef</t>
    </r>
    <r>
      <rPr>
        <vertAlign val="subscript"/>
        <sz val="10"/>
        <color theme="1"/>
        <rFont val="Calibri"/>
        <family val="2"/>
        <scheme val="minor"/>
      </rPr>
      <t>wf,CO2</t>
    </r>
  </si>
  <si>
    <r>
      <t>EF</t>
    </r>
    <r>
      <rPr>
        <vertAlign val="subscript"/>
        <sz val="12"/>
        <color theme="1"/>
        <rFont val="Calibri"/>
        <family val="2"/>
      </rPr>
      <t>WF,non CO2</t>
    </r>
  </si>
  <si>
    <t>PA 008</t>
  </si>
  <si>
    <t>PA 030</t>
  </si>
  <si>
    <t>PA 047</t>
  </si>
  <si>
    <t>PA 052</t>
  </si>
  <si>
    <t>PA 056</t>
  </si>
  <si>
    <t>PA 065</t>
  </si>
  <si>
    <t>PA 066</t>
  </si>
  <si>
    <t>PA 067</t>
  </si>
  <si>
    <t>PA 070</t>
  </si>
  <si>
    <t>PA 071</t>
  </si>
  <si>
    <t>PA 072</t>
  </si>
  <si>
    <t>PA 073</t>
  </si>
  <si>
    <t>PA 074</t>
  </si>
  <si>
    <t>PA 090</t>
  </si>
  <si>
    <t>PA 091</t>
  </si>
  <si>
    <t>Start date of distribution water purifer  in a month</t>
  </si>
  <si>
    <t>End date of distribution water purifier in a month</t>
  </si>
  <si>
    <t>PA 004</t>
  </si>
  <si>
    <t>PA 061</t>
  </si>
  <si>
    <t>PA 081</t>
  </si>
  <si>
    <t>PA 082</t>
  </si>
  <si>
    <t>Total distribution</t>
  </si>
  <si>
    <t>Rate</t>
  </si>
  <si>
    <t>PA 1</t>
  </si>
  <si>
    <t>PA 2</t>
  </si>
  <si>
    <t>PA 3</t>
  </si>
  <si>
    <t>PA 4</t>
  </si>
  <si>
    <t>PA 5</t>
  </si>
  <si>
    <t>PA 6</t>
  </si>
  <si>
    <t>PA 7</t>
  </si>
  <si>
    <t>PA 8</t>
  </si>
  <si>
    <t>PA 10</t>
  </si>
  <si>
    <t>PA 11</t>
  </si>
  <si>
    <t>PA 12</t>
  </si>
  <si>
    <t>PA 13</t>
  </si>
  <si>
    <t>PA 14</t>
  </si>
  <si>
    <t>PA 15</t>
  </si>
  <si>
    <t>PA 16</t>
  </si>
  <si>
    <t>PA 17</t>
  </si>
  <si>
    <t>PA 18</t>
  </si>
  <si>
    <t>PA 19</t>
  </si>
  <si>
    <t>PA 20</t>
  </si>
  <si>
    <t>PA 21</t>
  </si>
  <si>
    <t>PA 22</t>
  </si>
  <si>
    <t>PA 23</t>
  </si>
  <si>
    <t>PA 24</t>
  </si>
  <si>
    <t>PA 25</t>
  </si>
  <si>
    <t>PA 26</t>
  </si>
  <si>
    <t>PA 27</t>
  </si>
  <si>
    <t>PA 28</t>
  </si>
  <si>
    <t>PA 29</t>
  </si>
  <si>
    <t>PA 30</t>
  </si>
  <si>
    <t>PA 31</t>
  </si>
  <si>
    <t>PA 32</t>
  </si>
  <si>
    <t>PA 34</t>
  </si>
  <si>
    <t>PA 37</t>
  </si>
  <si>
    <t>PA 38</t>
  </si>
  <si>
    <t>PA 39</t>
  </si>
  <si>
    <t>PA 40</t>
  </si>
  <si>
    <t>PA 41</t>
  </si>
  <si>
    <t>PA 42</t>
  </si>
  <si>
    <t>PA 43</t>
  </si>
  <si>
    <t>PA 44</t>
  </si>
  <si>
    <t>PA 45</t>
  </si>
  <si>
    <t>PA 46</t>
  </si>
  <si>
    <t>PA 47</t>
  </si>
  <si>
    <t>PA 48</t>
  </si>
  <si>
    <t>PA 49</t>
  </si>
  <si>
    <t>PA 51</t>
  </si>
  <si>
    <t>PA 52</t>
  </si>
  <si>
    <t>PA 53</t>
  </si>
  <si>
    <t>PA 54</t>
  </si>
  <si>
    <t>PA 55</t>
  </si>
  <si>
    <t>PA 56</t>
  </si>
  <si>
    <t>PA 59</t>
  </si>
  <si>
    <t>PA 60</t>
  </si>
  <si>
    <t>PA 61</t>
  </si>
  <si>
    <t>PA 62</t>
  </si>
  <si>
    <t>PA 64</t>
  </si>
  <si>
    <t>PA 65</t>
  </si>
  <si>
    <t>PA 66</t>
  </si>
  <si>
    <t>PA 67</t>
  </si>
  <si>
    <t>PA 68</t>
  </si>
  <si>
    <t>PA 69</t>
  </si>
  <si>
    <t>PA 70</t>
  </si>
  <si>
    <t>PA 71</t>
  </si>
  <si>
    <t>PA 72</t>
  </si>
  <si>
    <t>PA 73</t>
  </si>
  <si>
    <t>PA 74</t>
  </si>
  <si>
    <t>PA 76</t>
  </si>
  <si>
    <t>PA 77</t>
  </si>
  <si>
    <t>PA 78</t>
  </si>
  <si>
    <t>PA 80</t>
  </si>
  <si>
    <t>PA 81</t>
  </si>
  <si>
    <t>PA 82</t>
  </si>
  <si>
    <t>PA 83</t>
  </si>
  <si>
    <t>PA 86</t>
  </si>
  <si>
    <t>PA 89</t>
  </si>
  <si>
    <t>PA 90</t>
  </si>
  <si>
    <t>PA 91</t>
  </si>
  <si>
    <t>PA 97</t>
  </si>
  <si>
    <r>
      <t>Number of Sample for N</t>
    </r>
    <r>
      <rPr>
        <b/>
        <vertAlign val="subscript"/>
        <sz val="11"/>
        <color theme="1"/>
        <rFont val="Calibri"/>
        <family val="2"/>
      </rPr>
      <t>y</t>
    </r>
    <r>
      <rPr>
        <b/>
        <sz val="11"/>
        <color theme="1"/>
        <rFont val="Calibri"/>
        <family val="2"/>
      </rPr>
      <t xml:space="preserve"> and B</t>
    </r>
    <r>
      <rPr>
        <b/>
        <vertAlign val="subscript"/>
        <sz val="11"/>
        <color theme="1"/>
        <rFont val="Calibri"/>
        <family val="2"/>
      </rPr>
      <t>y=1,new,i,2022</t>
    </r>
  </si>
  <si>
    <t>Expected operational proportion</t>
  </si>
  <si>
    <t>Lao Cai</t>
  </si>
  <si>
    <t>Nam Dinh</t>
  </si>
  <si>
    <t>Dien Bien</t>
  </si>
  <si>
    <t>Lai Chau</t>
  </si>
  <si>
    <t>Bac Ninh</t>
  </si>
  <si>
    <t>Phu Yen</t>
  </si>
  <si>
    <t>Hue</t>
  </si>
  <si>
    <t>Binh Thuan</t>
  </si>
  <si>
    <t>Khanh Hoa</t>
  </si>
  <si>
    <t>Province</t>
  </si>
  <si>
    <t>Corr.</t>
  </si>
  <si>
    <t>SERIAL NUMBER</t>
  </si>
  <si>
    <t>Date of Distribution</t>
  </si>
  <si>
    <t>Stove Model as per database</t>
  </si>
  <si>
    <t>Year</t>
  </si>
  <si>
    <t>NAME</t>
  </si>
  <si>
    <t>Type of stove replaced</t>
  </si>
  <si>
    <t>District</t>
  </si>
  <si>
    <t>TELEPHONE</t>
  </si>
  <si>
    <t>Is project Stove present in the Household?</t>
  </si>
  <si>
    <t>Do you use project Stove for cooking?</t>
  </si>
  <si>
    <t>If yes, have you used the stove regularly since you installed it?</t>
  </si>
  <si>
    <t>if yes, is your stove in good condition?</t>
  </si>
  <si>
    <t>Project Stove Operation Fraction
 Ny</t>
  </si>
  <si>
    <t>If yes, do you use the Traditional Stove for cooking?</t>
  </si>
  <si>
    <t>Number of days in a week when only project stove is used</t>
  </si>
  <si>
    <t>Number of days in a week when only traditional stove is used</t>
  </si>
  <si>
    <t>Traditional cookstove</t>
  </si>
  <si>
    <t>Yes</t>
  </si>
  <si>
    <t>No</t>
  </si>
  <si>
    <t>Average</t>
  </si>
  <si>
    <t xml:space="preserve">Gang Thi Mao </t>
  </si>
  <si>
    <t xml:space="preserve"> Khao Sao</t>
  </si>
  <si>
    <t>Ban Pho</t>
  </si>
  <si>
    <t>Bac Ha</t>
  </si>
  <si>
    <t>ICS –N001-07835</t>
  </si>
  <si>
    <t>Do Thi Ban</t>
  </si>
  <si>
    <t>Lien Phu</t>
  </si>
  <si>
    <t>Hien Khanh</t>
  </si>
  <si>
    <t>Vu Ban</t>
  </si>
  <si>
    <t>0398706165</t>
  </si>
  <si>
    <t>Tran Thi Ha</t>
  </si>
  <si>
    <t>Hoang Ne</t>
  </si>
  <si>
    <t>Yen Hong</t>
  </si>
  <si>
    <t>Y Yen</t>
  </si>
  <si>
    <t>0982297329</t>
  </si>
  <si>
    <t>ICS-N002-05374</t>
  </si>
  <si>
    <t>ICS-N003-01407</t>
  </si>
  <si>
    <t>Sung Thi Pang</t>
  </si>
  <si>
    <t>Huoi Lu 2</t>
  </si>
  <si>
    <t>Nam Nhu</t>
  </si>
  <si>
    <t>Nam Po</t>
  </si>
  <si>
    <t>ICS-N005-08967</t>
  </si>
  <si>
    <t>ICS-N006-02069</t>
  </si>
  <si>
    <t>ICS-N007-09246</t>
  </si>
  <si>
    <t>Khoang Thi Yen</t>
  </si>
  <si>
    <t xml:space="preserve">Muong Tung </t>
  </si>
  <si>
    <t>Muong Tung</t>
  </si>
  <si>
    <t>Muong Cha</t>
  </si>
  <si>
    <t>Lo Thi Toan</t>
  </si>
  <si>
    <t xml:space="preserve"> Noong Bua</t>
  </si>
  <si>
    <t>Noong Het</t>
  </si>
  <si>
    <t>Village</t>
  </si>
  <si>
    <t>Commune</t>
  </si>
  <si>
    <t>ICS-N010-08881</t>
  </si>
  <si>
    <t>ICS-N014-00937</t>
  </si>
  <si>
    <t>ICS-N015-01870</t>
  </si>
  <si>
    <t>Giang A Chao</t>
  </si>
  <si>
    <t xml:space="preserve"> Ho Bon</t>
  </si>
  <si>
    <t>Phuc Khoa</t>
  </si>
  <si>
    <t>Tan Uyen</t>
  </si>
  <si>
    <t>0332215276</t>
  </si>
  <si>
    <t>Nguyen Thi Thuong</t>
  </si>
  <si>
    <t>Nghia Vy</t>
  </si>
  <si>
    <t>Hoai Thuong</t>
  </si>
  <si>
    <t>Thuan Thanh</t>
  </si>
  <si>
    <t>0984544830</t>
  </si>
  <si>
    <t>Nguyen Thi Vi</t>
  </si>
  <si>
    <t>Giang Lieu</t>
  </si>
  <si>
    <t>Phuong Lieu</t>
  </si>
  <si>
    <t>Que Vo</t>
  </si>
  <si>
    <t>0385691182</t>
  </si>
  <si>
    <t>Le Thi Thuy</t>
  </si>
  <si>
    <t>Doi Cao</t>
  </si>
  <si>
    <t>Hop Chau Town</t>
  </si>
  <si>
    <t>Tam Dao</t>
  </si>
  <si>
    <t>Vinh Phuc</t>
  </si>
  <si>
    <t>0396648498</t>
  </si>
  <si>
    <t>ICS-N018-00260</t>
  </si>
  <si>
    <t>Truong Thi Trang</t>
  </si>
  <si>
    <t>Tho Ha</t>
  </si>
  <si>
    <t>Quang Son</t>
  </si>
  <si>
    <t>Ba Don Town</t>
  </si>
  <si>
    <t>Quang Binh</t>
  </si>
  <si>
    <t>ICS-N020-05084</t>
  </si>
  <si>
    <t>Hoang Thi Tham</t>
  </si>
  <si>
    <t>Tan Ha</t>
  </si>
  <si>
    <t>Tan Thuy</t>
  </si>
  <si>
    <t>Le Thuy</t>
  </si>
  <si>
    <t>0823659560</t>
  </si>
  <si>
    <t>ICS-N021-02951</t>
  </si>
  <si>
    <t>Dinh Thi Thanh Nhan</t>
  </si>
  <si>
    <t>Binh Minh 1</t>
  </si>
  <si>
    <t>Trung Hoa</t>
  </si>
  <si>
    <t>Minh Hoa</t>
  </si>
  <si>
    <t>ICS-N022-00941</t>
  </si>
  <si>
    <t>ICS-N023-00255</t>
  </si>
  <si>
    <t>ICS-N024-04991</t>
  </si>
  <si>
    <t>ICS-N025-00617</t>
  </si>
  <si>
    <t>Phan Thi Tu</t>
  </si>
  <si>
    <t>My Thanh Trung 2</t>
  </si>
  <si>
    <t>Hoa Phong</t>
  </si>
  <si>
    <t>Tay Hoa</t>
  </si>
  <si>
    <t>0359892411</t>
  </si>
  <si>
    <t>Vo Thi Thu Hien</t>
  </si>
  <si>
    <t>Phu My</t>
  </si>
  <si>
    <t>Hoa Dong</t>
  </si>
  <si>
    <t>0375870264</t>
  </si>
  <si>
    <t>Tran Thi Sau</t>
  </si>
  <si>
    <t>Long Hoa</t>
  </si>
  <si>
    <t>Xuan Long</t>
  </si>
  <si>
    <t>Dong Xuan</t>
  </si>
  <si>
    <t>ICS-N026-05212</t>
  </si>
  <si>
    <t>ICS-N027-09141</t>
  </si>
  <si>
    <t>ICS-N028-04822</t>
  </si>
  <si>
    <t>ICS-N029-00710</t>
  </si>
  <si>
    <t>H Yem Nie</t>
  </si>
  <si>
    <t>Ea HMlai Cuah</t>
  </si>
  <si>
    <t xml:space="preserve">Krong Jing </t>
  </si>
  <si>
    <t>M’Drak</t>
  </si>
  <si>
    <t>Dak Lak</t>
  </si>
  <si>
    <t>Hoang Thi Bien</t>
  </si>
  <si>
    <t>Hamlet 3</t>
  </si>
  <si>
    <t>Cu Amung</t>
  </si>
  <si>
    <t>Ea H'Leo</t>
  </si>
  <si>
    <t>Ton Thi Tam</t>
  </si>
  <si>
    <t xml:space="preserve">Ea Ngai </t>
  </si>
  <si>
    <t>Krong Buk</t>
  </si>
  <si>
    <t>Nguyen Thi Soa</t>
  </si>
  <si>
    <t>Ea Kiet</t>
  </si>
  <si>
    <t>Cu M'gar</t>
  </si>
  <si>
    <t>Y Mia</t>
  </si>
  <si>
    <t>Dak Gia</t>
  </si>
  <si>
    <t>Dak Sao</t>
  </si>
  <si>
    <t>Tu Mo Rong</t>
  </si>
  <si>
    <t>Kon Tum</t>
  </si>
  <si>
    <t>ICS-N031-05702</t>
  </si>
  <si>
    <t>ICS-N037-03754</t>
  </si>
  <si>
    <t>ICS-N038-04990</t>
  </si>
  <si>
    <t>ICS-N039-03900</t>
  </si>
  <si>
    <t>ICS-N040-04128</t>
  </si>
  <si>
    <t>ICS-N041-03742</t>
  </si>
  <si>
    <t>ICS-N042-08983</t>
  </si>
  <si>
    <t>Dang Thi Hoa</t>
  </si>
  <si>
    <t>Hamlet 1</t>
  </si>
  <si>
    <t>Quang Tho</t>
  </si>
  <si>
    <t>Vu Quang</t>
  </si>
  <si>
    <t>Ha Tinh</t>
  </si>
  <si>
    <t>0395546264</t>
  </si>
  <si>
    <t>Nguyen Van Tho</t>
  </si>
  <si>
    <t>Sub-quarter 3</t>
  </si>
  <si>
    <t>Ha Huy Tap Ward</t>
  </si>
  <si>
    <t>Ha Tinh City</t>
  </si>
  <si>
    <t>Thai Thi Thuy</t>
  </si>
  <si>
    <t>Son Hong</t>
  </si>
  <si>
    <t xml:space="preserve"> Huong Son</t>
  </si>
  <si>
    <t>0334067314</t>
  </si>
  <si>
    <t>Nguyen Thi Danh</t>
  </si>
  <si>
    <t>Huong Long</t>
  </si>
  <si>
    <t>Huong Khe</t>
  </si>
  <si>
    <t>Nguyen Thi Sau</t>
  </si>
  <si>
    <t>Trung Thuong</t>
  </si>
  <si>
    <t>Ky Tan</t>
  </si>
  <si>
    <t>Ky Anh</t>
  </si>
  <si>
    <t>0984035174</t>
  </si>
  <si>
    <t>Le Thi Huong</t>
  </si>
  <si>
    <t>Duc Chau</t>
  </si>
  <si>
    <t>Thach Chau</t>
  </si>
  <si>
    <t>Loc Ha</t>
  </si>
  <si>
    <t>0378687636</t>
  </si>
  <si>
    <t>ICS-N045-04124</t>
  </si>
  <si>
    <t>ICS-N046-01621</t>
  </si>
  <si>
    <t>ICS-N047-01488</t>
  </si>
  <si>
    <t>Ho Thi Luan</t>
  </si>
  <si>
    <t>Ba Bay</t>
  </si>
  <si>
    <t>Huc Nghi</t>
  </si>
  <si>
    <t>Dakrong</t>
  </si>
  <si>
    <t>Quang Tri</t>
  </si>
  <si>
    <t>Ho Thi Hoa (Huy)</t>
  </si>
  <si>
    <t>A Rong</t>
  </si>
  <si>
    <t>KrongKlang Town</t>
  </si>
  <si>
    <t>LE THI TOAN</t>
  </si>
  <si>
    <t>Vo Xa</t>
  </si>
  <si>
    <t>Trung Son</t>
  </si>
  <si>
    <t>Gio Linh</t>
  </si>
  <si>
    <t>Nong Thi Chi</t>
  </si>
  <si>
    <t>2 Minh Thai</t>
  </si>
  <si>
    <t>Thai Son</t>
  </si>
  <si>
    <t>Ham Yen</t>
  </si>
  <si>
    <t>Tuyen Quang</t>
  </si>
  <si>
    <t>Trieu Thi Binh</t>
  </si>
  <si>
    <t>Na Quang</t>
  </si>
  <si>
    <t>Nong Ha</t>
  </si>
  <si>
    <t>Moi Market</t>
  </si>
  <si>
    <t>Bac Kan</t>
  </si>
  <si>
    <t>0385847731</t>
  </si>
  <si>
    <t>ICS-N051-06300</t>
  </si>
  <si>
    <t>ICS-N048-07424</t>
  </si>
  <si>
    <t>ICS-N053-06435</t>
  </si>
  <si>
    <t>ICS-N054-03517</t>
  </si>
  <si>
    <t>ICS-N055-07798</t>
  </si>
  <si>
    <t>Ly Thi Hue</t>
  </si>
  <si>
    <t>Na Hay</t>
  </si>
  <si>
    <t>Binh Phuc</t>
  </si>
  <si>
    <t>Van Quan</t>
  </si>
  <si>
    <t>Lang Son</t>
  </si>
  <si>
    <t>Sung Thi Vang</t>
  </si>
  <si>
    <t>Xin Suoi Ho</t>
  </si>
  <si>
    <t>Can Ty</t>
  </si>
  <si>
    <t>Quan Ba</t>
  </si>
  <si>
    <t>Ha Giang</t>
  </si>
  <si>
    <t>0379744996</t>
  </si>
  <si>
    <t xml:space="preserve">Vang Mi Vu </t>
  </si>
  <si>
    <t xml:space="preserve"> Seo Lung B</t>
  </si>
  <si>
    <t>Sang Tung</t>
  </si>
  <si>
    <t>Dong Van</t>
  </si>
  <si>
    <t>ICS-N059-04594</t>
  </si>
  <si>
    <t>ICS-N060-08291</t>
  </si>
  <si>
    <t>ICS-N065-00738</t>
  </si>
  <si>
    <t>ICS-N066-01379</t>
  </si>
  <si>
    <t>Vu Thi Hanh</t>
  </si>
  <si>
    <t>Duong Mong</t>
  </si>
  <si>
    <t>Ngu Phuc</t>
  </si>
  <si>
    <t xml:space="preserve"> Kim Thanh</t>
  </si>
  <si>
    <t>Hai Duong</t>
  </si>
  <si>
    <t>Vu Thi Uyen</t>
  </si>
  <si>
    <t>Group 4 Xuyen Hu</t>
  </si>
  <si>
    <t>Dong Xuyen</t>
  </si>
  <si>
    <t>Ninh Giang</t>
  </si>
  <si>
    <t>ICS-N067-05538</t>
  </si>
  <si>
    <t>ICS-N069-09669</t>
  </si>
  <si>
    <t>ICS-N070-05262</t>
  </si>
  <si>
    <t>ICS-N071-07781</t>
  </si>
  <si>
    <t>ICS-N072-00003</t>
  </si>
  <si>
    <t>ICS-N073-05023</t>
  </si>
  <si>
    <t>ICS-N076-07561</t>
  </si>
  <si>
    <t>ICS-N077-05271</t>
  </si>
  <si>
    <t>ICS-N080-00076</t>
  </si>
  <si>
    <t>ICS-N081-07029</t>
  </si>
  <si>
    <t>ICS-N082-09140</t>
  </si>
  <si>
    <t>ICS-N089-07868</t>
  </si>
  <si>
    <t>ICS-N090-04583</t>
  </si>
  <si>
    <t>ICS-N091-01782</t>
  </si>
  <si>
    <t>ICS-N064-01873</t>
  </si>
  <si>
    <t>Nguyen Thi Chuoi</t>
  </si>
  <si>
    <t>Hamlet 7</t>
  </si>
  <si>
    <t>Thuy Phu</t>
  </si>
  <si>
    <t>Huong Thuy Town</t>
  </si>
  <si>
    <t>Thua Thien Hue</t>
  </si>
  <si>
    <t>Hoang Trong Tinh</t>
  </si>
  <si>
    <t>Bac Khe Dai</t>
  </si>
  <si>
    <t>Loc Hoa</t>
  </si>
  <si>
    <t>Phu Loc</t>
  </si>
  <si>
    <t>Le Thi My</t>
  </si>
  <si>
    <t>Hung Thai</t>
  </si>
  <si>
    <t>Phong My</t>
  </si>
  <si>
    <t>Phong Dien</t>
  </si>
  <si>
    <t>Ho Thi Phuc</t>
  </si>
  <si>
    <t>Can Te</t>
  </si>
  <si>
    <t>Hong Thuong</t>
  </si>
  <si>
    <t>A Luoi</t>
  </si>
  <si>
    <t>Quang Nam</t>
  </si>
  <si>
    <t>Tran Thi Mai</t>
  </si>
  <si>
    <t>Tien Ngoc</t>
  </si>
  <si>
    <t>Tien Phuoc</t>
  </si>
  <si>
    <t>Ho Thi Ve</t>
  </si>
  <si>
    <t>Hamlet 4</t>
  </si>
  <si>
    <t>Phuoc Chanh</t>
  </si>
  <si>
    <t>Phuoc Son</t>
  </si>
  <si>
    <t>Nguyen Thi Thanh Thuy</t>
  </si>
  <si>
    <t>Ha Nhuan</t>
  </si>
  <si>
    <t>Duy Phuoc</t>
  </si>
  <si>
    <t>Duy Xuyen</t>
  </si>
  <si>
    <t>Nguyen Thi Tuyet Suong</t>
  </si>
  <si>
    <t>Anh Dinh Block</t>
  </si>
  <si>
    <t>Minh An Ward</t>
  </si>
  <si>
    <t>Hoi An City</t>
  </si>
  <si>
    <t>Vo Thi Lam</t>
  </si>
  <si>
    <t>Binh An</t>
  </si>
  <si>
    <t>Tam Hoa</t>
  </si>
  <si>
    <t>Nui Thanh</t>
  </si>
  <si>
    <t>Huynh Thi Nguyet</t>
  </si>
  <si>
    <t>Sub-quarter Bac Hoan Don</t>
  </si>
  <si>
    <t>Ba To Town</t>
  </si>
  <si>
    <t xml:space="preserve">Ba To </t>
  </si>
  <si>
    <t xml:space="preserve">Quang Ngai </t>
  </si>
  <si>
    <t>0337812259</t>
  </si>
  <si>
    <t>Nguyen Thi Hue</t>
  </si>
  <si>
    <t>Thanh Binh</t>
  </si>
  <si>
    <t>Thuan Street</t>
  </si>
  <si>
    <t>Duc Pho Town</t>
  </si>
  <si>
    <t>Quang Ngai</t>
  </si>
  <si>
    <t>0976240036</t>
  </si>
  <si>
    <t>Le Thi Phuong</t>
  </si>
  <si>
    <t>Tan Phu</t>
  </si>
  <si>
    <t>Van Phu</t>
  </si>
  <si>
    <t>Van Ninh</t>
  </si>
  <si>
    <t>Cao Xa Nay</t>
  </si>
  <si>
    <t>Ta Mo</t>
  </si>
  <si>
    <t>Khanh Thanh</t>
  </si>
  <si>
    <t>Khanh Vinh</t>
  </si>
  <si>
    <t>Cao Thi Huynh</t>
  </si>
  <si>
    <t>Ta Giang I</t>
  </si>
  <si>
    <t>Thanh Son</t>
  </si>
  <si>
    <t>Khanh son</t>
  </si>
  <si>
    <t>Ro mah h’Bronh</t>
  </si>
  <si>
    <t>Dok Ngol</t>
  </si>
  <si>
    <t>Ia Dok</t>
  </si>
  <si>
    <t>Duc Co</t>
  </si>
  <si>
    <t>Gia Lai</t>
  </si>
  <si>
    <t>0964205781</t>
  </si>
  <si>
    <t>Le Thi Nguyet Mai</t>
  </si>
  <si>
    <t>Ut</t>
  </si>
  <si>
    <t>Ia Hrung</t>
  </si>
  <si>
    <t>Ia Grai</t>
  </si>
  <si>
    <t>Ro Mah Hoeng</t>
  </si>
  <si>
    <t>Aneh</t>
  </si>
  <si>
    <t>Ia Ve</t>
  </si>
  <si>
    <t>Chu Prong</t>
  </si>
  <si>
    <t>yes</t>
  </si>
  <si>
    <t>Is there seasonal variation on firewood use</t>
  </si>
  <si>
    <t>Weight of firewood used on project stove kg/day</t>
  </si>
  <si>
    <t>Weght of firewood used on baseline project</t>
  </si>
  <si>
    <t>Son La</t>
  </si>
  <si>
    <t>Quang Ninh</t>
  </si>
  <si>
    <t>Ha Nam</t>
  </si>
  <si>
    <t>Lam Dong</t>
  </si>
  <si>
    <t>Hung Yen</t>
  </si>
  <si>
    <t>Ninh Thuan</t>
  </si>
  <si>
    <t>Dak Nong</t>
  </si>
  <si>
    <t>Number of days in a week when both project stove and traditional stove are used</t>
  </si>
  <si>
    <t>ANALYSIS for parameter Ny</t>
  </si>
  <si>
    <t>Samples Monitored</t>
  </si>
  <si>
    <t>Operation fraction Measured</t>
  </si>
  <si>
    <t>Standard Error of operation</t>
  </si>
  <si>
    <t>Upper Boundary Level</t>
  </si>
  <si>
    <t>Lower Boundary Level</t>
  </si>
  <si>
    <t>Relative precision (Margin of error)</t>
  </si>
  <si>
    <t>Check precision</t>
  </si>
  <si>
    <t>Result</t>
  </si>
  <si>
    <t>Lower Bound confidence value</t>
  </si>
  <si>
    <t>Not applicable</t>
  </si>
  <si>
    <t>ANALYSIS for parameter By=1,new,i,j,survey</t>
  </si>
  <si>
    <t>Mean value</t>
  </si>
  <si>
    <t>Standard deviation</t>
  </si>
  <si>
    <t>Do you use the tradtional cookstove also?</t>
  </si>
  <si>
    <t>Type of cookstove</t>
  </si>
  <si>
    <t>Proejct activity instance</t>
  </si>
  <si>
    <t>Energy saving/device</t>
  </si>
  <si>
    <t>Energy saving</t>
  </si>
  <si>
    <t>01.02.23</t>
  </si>
  <si>
    <t>Estimated reductions in PD</t>
  </si>
  <si>
    <t xml:space="preserve">Percent Difference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</si>
</sst>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43" formatCode="_-* #,##0.00_-;\-* #,##0.00_-;_-* &quot;-&quot;??_-;_-@_-"/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0.000"/>
    <numFmt numFmtId="167" formatCode="0.0"/>
    <numFmt numFmtId="168" formatCode="[$-409]d\-mmm\-yy;@"/>
    <numFmt numFmtId="169" formatCode="_-* #,##0_-;\-* #,##0_-;_-* &quot;-&quot;??_-;_-@_-"/>
    <numFmt numFmtId="170" formatCode="0.0000"/>
    <numFmt numFmtId="171" formatCode="_(* #,##0_);_(* \(#,##0\);_(* &quot;-&quot;??_);_(@_)"/>
    <numFmt numFmtId="172" formatCode="_-* #,##0.000_-;\-* #,##0.000_-;_-* &quot;-&quot;??_-;_-@_-"/>
    <numFmt numFmtId="173" formatCode="_ * #,##0_ ;_ * \-#,##0_ ;_ * &quot;-&quot;??_ ;_ @_ "/>
    <numFmt numFmtId="174" formatCode="_ * #,##0_ ;_ * \-#,##0_ ;_ * &quot;-&quot;????_ ;_ @_ "/>
    <numFmt numFmtId="175" formatCode="0.000%"/>
  </numFmts>
  <fonts count="53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i/>
      <sz val="10"/>
      <name val="Calibri"/>
      <family val="2"/>
      <scheme val="minor"/>
    </font>
    <font>
      <sz val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2"/>
      <name val="宋体"/>
      <charset val="134"/>
    </font>
    <font>
      <sz val="10"/>
      <color rgb="FF000000"/>
      <name val="Arial"/>
      <family val="2"/>
    </font>
    <font>
      <sz val="11"/>
      <color indexed="8"/>
      <name val="Calibri"/>
      <family val="2"/>
    </font>
    <font>
      <u/>
      <sz val="10"/>
      <color theme="10"/>
      <name val="Arial"/>
      <family val="2"/>
    </font>
    <font>
      <u/>
      <sz val="11"/>
      <color theme="11"/>
      <name val="Calibri"/>
      <family val="2"/>
      <scheme val="minor"/>
    </font>
    <font>
      <sz val="18"/>
      <color theme="3"/>
      <name val="Cambria"/>
      <family val="2"/>
      <scheme val="maj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2"/>
      <color theme="1"/>
      <name val="Calibri"/>
      <family val="2"/>
    </font>
    <font>
      <vertAlign val="subscript"/>
      <sz val="12"/>
      <color theme="1"/>
      <name val="Calibri"/>
      <family val="2"/>
    </font>
    <font>
      <vertAlign val="subscript"/>
      <sz val="10"/>
      <color theme="1"/>
      <name val="Calibri (Body)"/>
    </font>
    <font>
      <sz val="10"/>
      <color rgb="FFFF0000"/>
      <name val="Calibri"/>
      <family val="2"/>
      <scheme val="minor"/>
    </font>
    <font>
      <sz val="9"/>
      <color theme="1"/>
      <name val="Calibri"/>
      <family val="2"/>
    </font>
    <font>
      <sz val="10"/>
      <color indexed="8"/>
      <name val="Arial"/>
      <family val="2"/>
    </font>
    <font>
      <sz val="11"/>
      <color rgb="FF000000"/>
      <name val="Calibri"/>
      <family val="2"/>
    </font>
    <font>
      <b/>
      <sz val="9"/>
      <color indexed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</font>
    <font>
      <b/>
      <vertAlign val="subscript"/>
      <sz val="11"/>
      <color theme="0"/>
      <name val="Calibri"/>
      <family val="2"/>
    </font>
    <font>
      <b/>
      <sz val="10"/>
      <color theme="0"/>
      <name val="Arial"/>
      <family val="2"/>
    </font>
    <font>
      <b/>
      <sz val="10"/>
      <color rgb="FF000000"/>
      <name val="Arial"/>
      <family val="2"/>
    </font>
    <font>
      <b/>
      <sz val="8"/>
      <color rgb="FF000000"/>
      <name val="Arial"/>
      <family val="2"/>
    </font>
    <font>
      <b/>
      <sz val="10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vertAlign val="subscript"/>
      <sz val="14"/>
      <color theme="0"/>
      <name val="Calibri"/>
      <family val="2"/>
      <scheme val="minor"/>
    </font>
    <font>
      <sz val="11"/>
      <color theme="1"/>
      <name val="Times New Roman"/>
      <family val="1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vertAlign val="subscript"/>
      <sz val="10"/>
      <color rgb="FF000000"/>
      <name val="Calibri"/>
      <family val="2"/>
      <scheme val="minor"/>
    </font>
    <font>
      <b/>
      <vertAlign val="superscript"/>
      <sz val="10"/>
      <color rgb="FF000000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.5"/>
      <color rgb="FF0D0D0D"/>
      <name val="Arial"/>
      <family val="2"/>
    </font>
    <font>
      <vertAlign val="subscript"/>
      <sz val="10.5"/>
      <color rgb="FF0D0D0D"/>
      <name val="Arial"/>
      <family val="2"/>
    </font>
    <font>
      <vertAlign val="subscript"/>
      <sz val="10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</font>
    <font>
      <b/>
      <sz val="11"/>
      <color theme="0"/>
      <name val="Calibri"/>
      <family val="2"/>
      <scheme val="minor"/>
    </font>
  </fonts>
  <fills count="5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</patternFill>
    </fill>
    <fill>
      <patternFill patternType="solid">
        <fgColor indexed="6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39994506668294322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2" tint="-0.24994659260841701"/>
        <bgColor indexed="64"/>
      </patternFill>
    </fill>
    <fill>
      <patternFill patternType="solid">
        <fgColor theme="2" tint="-0.24994659260841701"/>
        <bgColor indexed="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9.9948118533890809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7" tint="-0.2499465926084170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3" tint="0.59996337778862885"/>
        <bgColor indexed="64"/>
      </patternFill>
    </fill>
    <fill>
      <patternFill patternType="solid">
        <fgColor theme="5" tint="-0.2499465926084170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6" tint="-0.2499465926084170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-0.499984740745262"/>
        <bgColor indexed="64"/>
      </patternFill>
    </fill>
  </fills>
  <borders count="4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 style="medium">
        <color theme="0"/>
      </left>
      <right style="thin">
        <color theme="0"/>
      </right>
      <top style="medium">
        <color theme="0"/>
      </top>
      <bottom style="medium">
        <color theme="0"/>
      </bottom>
      <diagonal/>
    </border>
    <border>
      <left style="thin">
        <color theme="0"/>
      </left>
      <right style="thin">
        <color theme="0"/>
      </right>
      <top style="medium">
        <color theme="0"/>
      </top>
      <bottom style="medium">
        <color theme="0"/>
      </bottom>
      <diagonal/>
    </border>
    <border>
      <left style="thin">
        <color theme="0"/>
      </left>
      <right/>
      <top style="medium">
        <color theme="0"/>
      </top>
      <bottom style="medium">
        <color theme="0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</borders>
  <cellStyleXfs count="146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5" fillId="0" borderId="0"/>
    <xf numFmtId="0" fontId="8" fillId="0" borderId="0"/>
    <xf numFmtId="9" fontId="7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5" fillId="0" borderId="0"/>
    <xf numFmtId="0" fontId="7" fillId="0" borderId="0"/>
    <xf numFmtId="0" fontId="7" fillId="0" borderId="0"/>
    <xf numFmtId="0" fontId="4" fillId="0" borderId="0"/>
    <xf numFmtId="165" fontId="4" fillId="0" borderId="0" applyFont="0" applyFill="0" applyBorder="0" applyAlignment="0" applyProtection="0"/>
    <xf numFmtId="0" fontId="14" fillId="0" borderId="0"/>
    <xf numFmtId="9" fontId="14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5" fillId="0" borderId="0"/>
    <xf numFmtId="0" fontId="16" fillId="0" borderId="0"/>
    <xf numFmtId="0" fontId="14" fillId="0" borderId="0"/>
    <xf numFmtId="0" fontId="7" fillId="0" borderId="0"/>
    <xf numFmtId="0" fontId="17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19" fillId="0" borderId="0" applyNumberFormat="0" applyFill="0" applyBorder="0" applyAlignment="0" applyProtection="0">
      <alignment vertical="top"/>
      <protection locked="0"/>
    </xf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5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5" fillId="0" borderId="0"/>
    <xf numFmtId="0" fontId="7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17" fillId="0" borderId="0"/>
    <xf numFmtId="0" fontId="7" fillId="0" borderId="0"/>
    <xf numFmtId="0" fontId="7" fillId="5" borderId="18" applyNumberFormat="0" applyFont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165" fontId="7" fillId="0" borderId="0" applyFont="0" applyFill="0" applyBorder="0" applyAlignment="0" applyProtection="0"/>
    <xf numFmtId="0" fontId="29" fillId="0" borderId="0"/>
  </cellStyleXfs>
  <cellXfs count="432">
    <xf numFmtId="0" fontId="0" fillId="0" borderId="0" xfId="0"/>
    <xf numFmtId="0" fontId="12" fillId="2" borderId="0" xfId="3" applyFont="1" applyFill="1" applyAlignment="1" applyProtection="1">
      <alignment vertical="center"/>
      <protection locked="0"/>
    </xf>
    <xf numFmtId="0" fontId="13" fillId="2" borderId="0" xfId="3" applyFont="1" applyFill="1" applyAlignment="1" applyProtection="1">
      <alignment vertical="center"/>
      <protection locked="0"/>
    </xf>
    <xf numFmtId="0" fontId="0" fillId="0" borderId="0" xfId="0" applyAlignment="1">
      <alignment wrapText="1"/>
    </xf>
    <xf numFmtId="0" fontId="8" fillId="0" borderId="0" xfId="0" applyFont="1"/>
    <xf numFmtId="0" fontId="14" fillId="0" borderId="1" xfId="12" applyBorder="1" applyAlignment="1">
      <alignment horizontal="left" vertical="center" wrapText="1"/>
    </xf>
    <xf numFmtId="0" fontId="10" fillId="2" borderId="16" xfId="3" applyFont="1" applyFill="1" applyBorder="1" applyAlignment="1" applyProtection="1">
      <alignment vertical="top"/>
      <protection locked="0"/>
    </xf>
    <xf numFmtId="0" fontId="10" fillId="2" borderId="9" xfId="3" applyFont="1" applyFill="1" applyBorder="1" applyAlignment="1" applyProtection="1">
      <alignment vertical="top"/>
      <protection locked="0"/>
    </xf>
    <xf numFmtId="0" fontId="10" fillId="2" borderId="12" xfId="3" applyFont="1" applyFill="1" applyBorder="1" applyAlignment="1" applyProtection="1">
      <alignment vertical="top"/>
      <protection locked="0"/>
    </xf>
    <xf numFmtId="0" fontId="22" fillId="0" borderId="0" xfId="96" applyFont="1"/>
    <xf numFmtId="0" fontId="22" fillId="0" borderId="0" xfId="96" applyFont="1" applyAlignment="1">
      <alignment vertical="center"/>
    </xf>
    <xf numFmtId="14" fontId="22" fillId="0" borderId="0" xfId="96" applyNumberFormat="1" applyFont="1"/>
    <xf numFmtId="14" fontId="23" fillId="3" borderId="13" xfId="96" applyNumberFormat="1" applyFont="1" applyFill="1" applyBorder="1" applyAlignment="1">
      <alignment wrapText="1"/>
    </xf>
    <xf numFmtId="14" fontId="23" fillId="3" borderId="14" xfId="96" applyNumberFormat="1" applyFont="1" applyFill="1" applyBorder="1" applyAlignment="1">
      <alignment horizontal="center" wrapText="1"/>
    </xf>
    <xf numFmtId="14" fontId="23" fillId="3" borderId="15" xfId="96" applyNumberFormat="1" applyFont="1" applyFill="1" applyBorder="1" applyAlignment="1">
      <alignment wrapText="1"/>
    </xf>
    <xf numFmtId="0" fontId="24" fillId="0" borderId="5" xfId="0" applyFont="1" applyBorder="1" applyAlignment="1">
      <alignment horizontal="left" vertical="center"/>
    </xf>
    <xf numFmtId="2" fontId="13" fillId="0" borderId="17" xfId="96" applyNumberFormat="1" applyFont="1" applyBorder="1"/>
    <xf numFmtId="0" fontId="24" fillId="0" borderId="7" xfId="0" applyFont="1" applyBorder="1" applyAlignment="1">
      <alignment horizontal="left" vertical="center" wrapText="1"/>
    </xf>
    <xf numFmtId="2" fontId="13" fillId="0" borderId="8" xfId="96" applyNumberFormat="1" applyFont="1" applyBorder="1"/>
    <xf numFmtId="14" fontId="22" fillId="0" borderId="7" xfId="96" applyNumberFormat="1" applyFont="1" applyBorder="1" applyAlignment="1">
      <alignment horizontal="left"/>
    </xf>
    <xf numFmtId="166" fontId="22" fillId="0" borderId="8" xfId="96" applyNumberFormat="1" applyFont="1" applyBorder="1"/>
    <xf numFmtId="167" fontId="22" fillId="0" borderId="1" xfId="96" applyNumberFormat="1" applyFont="1" applyBorder="1" applyAlignment="1">
      <alignment horizontal="right"/>
    </xf>
    <xf numFmtId="167" fontId="22" fillId="0" borderId="8" xfId="96" applyNumberFormat="1" applyFont="1" applyBorder="1"/>
    <xf numFmtId="0" fontId="24" fillId="0" borderId="7" xfId="0" applyFont="1" applyBorder="1" applyAlignment="1">
      <alignment horizontal="left" vertical="center"/>
    </xf>
    <xf numFmtId="166" fontId="13" fillId="0" borderId="8" xfId="96" applyNumberFormat="1" applyFont="1" applyBorder="1"/>
    <xf numFmtId="0" fontId="27" fillId="0" borderId="0" xfId="96" applyFont="1" applyAlignment="1">
      <alignment vertical="center"/>
    </xf>
    <xf numFmtId="2" fontId="22" fillId="0" borderId="0" xfId="96" applyNumberFormat="1" applyFont="1"/>
    <xf numFmtId="0" fontId="22" fillId="0" borderId="7" xfId="96" applyFont="1" applyBorder="1" applyAlignment="1">
      <alignment vertical="center"/>
    </xf>
    <xf numFmtId="0" fontId="22" fillId="0" borderId="1" xfId="96" applyFont="1" applyBorder="1" applyAlignment="1">
      <alignment vertical="center"/>
    </xf>
    <xf numFmtId="9" fontId="13" fillId="0" borderId="1" xfId="5" applyFont="1" applyBorder="1" applyAlignment="1">
      <alignment horizontal="right"/>
    </xf>
    <xf numFmtId="0" fontId="0" fillId="0" borderId="6" xfId="0" applyBorder="1" applyAlignment="1">
      <alignment horizontal="left" vertical="center"/>
    </xf>
    <xf numFmtId="0" fontId="22" fillId="0" borderId="1" xfId="96" applyFont="1" applyBorder="1" applyAlignment="1">
      <alignment horizontal="left"/>
    </xf>
    <xf numFmtId="170" fontId="13" fillId="0" borderId="1" xfId="96" applyNumberFormat="1" applyFont="1" applyBorder="1" applyAlignment="1">
      <alignment horizontal="right"/>
    </xf>
    <xf numFmtId="166" fontId="22" fillId="0" borderId="6" xfId="96" applyNumberFormat="1" applyFont="1" applyBorder="1" applyAlignment="1">
      <alignment horizontal="right"/>
    </xf>
    <xf numFmtId="170" fontId="22" fillId="0" borderId="1" xfId="96" applyNumberFormat="1" applyFont="1" applyBorder="1" applyAlignment="1">
      <alignment horizontal="right"/>
    </xf>
    <xf numFmtId="172" fontId="22" fillId="0" borderId="1" xfId="98" applyNumberFormat="1" applyFont="1" applyFill="1" applyBorder="1" applyAlignment="1">
      <alignment vertical="center"/>
    </xf>
    <xf numFmtId="169" fontId="0" fillId="0" borderId="0" xfId="0" applyNumberFormat="1"/>
    <xf numFmtId="0" fontId="14" fillId="6" borderId="0" xfId="12" applyFill="1" applyAlignment="1">
      <alignment horizontal="left" vertical="center" wrapText="1"/>
    </xf>
    <xf numFmtId="0" fontId="15" fillId="7" borderId="1" xfId="12" applyFont="1" applyFill="1" applyBorder="1" applyAlignment="1">
      <alignment horizontal="left" vertical="center" wrapText="1"/>
    </xf>
    <xf numFmtId="0" fontId="15" fillId="7" borderId="1" xfId="12" applyFont="1" applyFill="1" applyBorder="1" applyAlignment="1">
      <alignment horizontal="center" vertical="center" wrapText="1"/>
    </xf>
    <xf numFmtId="168" fontId="14" fillId="0" borderId="1" xfId="12" applyNumberFormat="1" applyBorder="1" applyAlignment="1">
      <alignment horizontal="center" vertical="center" wrapText="1"/>
    </xf>
    <xf numFmtId="0" fontId="28" fillId="6" borderId="0" xfId="12" applyFont="1" applyFill="1" applyAlignment="1">
      <alignment horizontal="left" vertical="center"/>
    </xf>
    <xf numFmtId="0" fontId="14" fillId="6" borderId="1" xfId="12" applyFill="1" applyBorder="1" applyAlignment="1">
      <alignment horizontal="left" vertical="center" wrapText="1"/>
    </xf>
    <xf numFmtId="2" fontId="14" fillId="6" borderId="1" xfId="12" applyNumberFormat="1" applyFill="1" applyBorder="1" applyAlignment="1">
      <alignment horizontal="center" vertical="center" wrapText="1"/>
    </xf>
    <xf numFmtId="0" fontId="14" fillId="6" borderId="1" xfId="12" applyFill="1" applyBorder="1" applyAlignment="1">
      <alignment horizontal="center" vertical="center" wrapText="1"/>
    </xf>
    <xf numFmtId="9" fontId="14" fillId="6" borderId="1" xfId="55" applyFont="1" applyFill="1" applyBorder="1" applyAlignment="1">
      <alignment horizontal="center" vertical="center" wrapText="1"/>
    </xf>
    <xf numFmtId="9" fontId="0" fillId="6" borderId="1" xfId="22" applyFont="1" applyFill="1" applyBorder="1" applyAlignment="1">
      <alignment horizontal="center" vertical="center" wrapText="1"/>
    </xf>
    <xf numFmtId="2" fontId="14" fillId="6" borderId="0" xfId="12" applyNumberFormat="1" applyFill="1" applyAlignment="1">
      <alignment horizontal="left" vertical="center" wrapText="1"/>
    </xf>
    <xf numFmtId="0" fontId="30" fillId="6" borderId="0" xfId="4" applyFont="1" applyFill="1"/>
    <xf numFmtId="0" fontId="7" fillId="2" borderId="0" xfId="0" applyFont="1" applyFill="1" applyAlignment="1">
      <alignment wrapText="1"/>
    </xf>
    <xf numFmtId="0" fontId="7" fillId="8" borderId="1" xfId="0" applyFont="1" applyFill="1" applyBorder="1" applyAlignment="1">
      <alignment horizontal="center" vertical="center"/>
    </xf>
    <xf numFmtId="168" fontId="7" fillId="8" borderId="1" xfId="0" applyNumberFormat="1" applyFont="1" applyFill="1" applyBorder="1" applyAlignment="1">
      <alignment horizontal="center" vertical="center"/>
    </xf>
    <xf numFmtId="2" fontId="7" fillId="8" borderId="1" xfId="0" applyNumberFormat="1" applyFont="1" applyFill="1" applyBorder="1" applyAlignment="1">
      <alignment horizontal="center" vertical="center"/>
    </xf>
    <xf numFmtId="0" fontId="7" fillId="2" borderId="0" xfId="0" applyFont="1" applyFill="1"/>
    <xf numFmtId="0" fontId="7" fillId="2" borderId="0" xfId="0" applyFont="1" applyFill="1" applyAlignment="1">
      <alignment horizontal="center" vertical="center"/>
    </xf>
    <xf numFmtId="0" fontId="7" fillId="9" borderId="1" xfId="0" applyFont="1" applyFill="1" applyBorder="1" applyAlignment="1">
      <alignment horizontal="center" vertical="center"/>
    </xf>
    <xf numFmtId="168" fontId="7" fillId="9" borderId="1" xfId="0" applyNumberFormat="1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171" fontId="7" fillId="8" borderId="1" xfId="144" applyNumberFormat="1" applyFont="1" applyFill="1" applyBorder="1" applyAlignment="1">
      <alignment horizontal="right" vertical="center"/>
    </xf>
    <xf numFmtId="0" fontId="0" fillId="10" borderId="1" xfId="0" applyFill="1" applyBorder="1" applyAlignment="1">
      <alignment horizontal="center" vertical="center"/>
    </xf>
    <xf numFmtId="0" fontId="7" fillId="10" borderId="1" xfId="0" applyFont="1" applyFill="1" applyBorder="1" applyAlignment="1">
      <alignment horizontal="center" vertical="center"/>
    </xf>
    <xf numFmtId="171" fontId="7" fillId="10" borderId="1" xfId="144" applyNumberFormat="1" applyFont="1" applyFill="1" applyBorder="1" applyAlignment="1">
      <alignment horizontal="right" vertical="center"/>
    </xf>
    <xf numFmtId="168" fontId="7" fillId="10" borderId="1" xfId="0" applyNumberFormat="1" applyFont="1" applyFill="1" applyBorder="1" applyAlignment="1">
      <alignment horizontal="center" vertical="center"/>
    </xf>
    <xf numFmtId="2" fontId="7" fillId="10" borderId="1" xfId="0" applyNumberFormat="1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2" fontId="7" fillId="11" borderId="1" xfId="0" applyNumberFormat="1" applyFont="1" applyFill="1" applyBorder="1" applyAlignment="1">
      <alignment horizontal="center" vertical="center"/>
    </xf>
    <xf numFmtId="171" fontId="7" fillId="9" borderId="1" xfId="144" applyNumberFormat="1" applyFont="1" applyFill="1" applyBorder="1" applyAlignment="1">
      <alignment horizontal="right" vertical="center"/>
    </xf>
    <xf numFmtId="2" fontId="7" fillId="12" borderId="1" xfId="0" applyNumberFormat="1" applyFont="1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7" fillId="12" borderId="1" xfId="0" applyFont="1" applyFill="1" applyBorder="1" applyAlignment="1">
      <alignment horizontal="center" vertical="center"/>
    </xf>
    <xf numFmtId="171" fontId="7" fillId="12" borderId="1" xfId="144" applyNumberFormat="1" applyFont="1" applyFill="1" applyBorder="1" applyAlignment="1">
      <alignment horizontal="right" vertical="center"/>
    </xf>
    <xf numFmtId="168" fontId="7" fillId="12" borderId="1" xfId="0" applyNumberFormat="1" applyFont="1" applyFill="1" applyBorder="1" applyAlignment="1">
      <alignment horizontal="center" vertical="center"/>
    </xf>
    <xf numFmtId="14" fontId="22" fillId="0" borderId="23" xfId="96" applyNumberFormat="1" applyFont="1" applyBorder="1" applyAlignment="1">
      <alignment horizontal="left"/>
    </xf>
    <xf numFmtId="2" fontId="22" fillId="0" borderId="21" xfId="96" applyNumberFormat="1" applyFont="1" applyBorder="1"/>
    <xf numFmtId="0" fontId="22" fillId="0" borderId="21" xfId="96" applyFont="1" applyBorder="1" applyAlignment="1">
      <alignment horizontal="left"/>
    </xf>
    <xf numFmtId="2" fontId="22" fillId="0" borderId="24" xfId="96" applyNumberFormat="1" applyFont="1" applyBorder="1"/>
    <xf numFmtId="174" fontId="7" fillId="2" borderId="1" xfId="0" applyNumberFormat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71" fontId="7" fillId="4" borderId="1" xfId="144" applyNumberFormat="1" applyFont="1" applyFill="1" applyBorder="1" applyAlignment="1">
      <alignment horizontal="right" vertical="center"/>
    </xf>
    <xf numFmtId="168" fontId="7" fillId="4" borderId="1" xfId="0" applyNumberFormat="1" applyFont="1" applyFill="1" applyBorder="1" applyAlignment="1">
      <alignment horizontal="center" vertical="center"/>
    </xf>
    <xf numFmtId="2" fontId="7" fillId="4" borderId="1" xfId="0" applyNumberFormat="1" applyFont="1" applyFill="1" applyBorder="1" applyAlignment="1">
      <alignment horizontal="center" vertical="center"/>
    </xf>
    <xf numFmtId="0" fontId="15" fillId="13" borderId="1" xfId="12" applyFont="1" applyFill="1" applyBorder="1" applyAlignment="1">
      <alignment horizontal="left" vertical="center" wrapText="1"/>
    </xf>
    <xf numFmtId="2" fontId="17" fillId="0" borderId="1" xfId="0" applyNumberFormat="1" applyFont="1" applyBorder="1" applyAlignment="1">
      <alignment horizontal="center" vertical="center" wrapText="1"/>
    </xf>
    <xf numFmtId="166" fontId="17" fillId="0" borderId="1" xfId="0" applyNumberFormat="1" applyFont="1" applyBorder="1" applyAlignment="1">
      <alignment horizontal="center" vertical="center" wrapText="1"/>
    </xf>
    <xf numFmtId="1" fontId="36" fillId="0" borderId="1" xfId="0" applyNumberFormat="1" applyFont="1" applyBorder="1" applyAlignment="1">
      <alignment horizontal="center" vertical="center" wrapText="1"/>
    </xf>
    <xf numFmtId="0" fontId="15" fillId="13" borderId="1" xfId="12" applyFont="1" applyFill="1" applyBorder="1" applyAlignment="1">
      <alignment horizontal="center" vertical="center" wrapText="1"/>
    </xf>
    <xf numFmtId="0" fontId="15" fillId="0" borderId="4" xfId="12" applyFont="1" applyBorder="1" applyAlignment="1">
      <alignment horizontal="left" vertical="center" wrapText="1"/>
    </xf>
    <xf numFmtId="0" fontId="33" fillId="14" borderId="4" xfId="12" applyFont="1" applyFill="1" applyBorder="1" applyAlignment="1">
      <alignment horizontal="left" vertical="center" wrapText="1"/>
    </xf>
    <xf numFmtId="2" fontId="0" fillId="0" borderId="1" xfId="13" applyNumberFormat="1" applyFont="1" applyFill="1" applyBorder="1" applyAlignment="1">
      <alignment horizontal="center" vertical="center" wrapText="1"/>
    </xf>
    <xf numFmtId="14" fontId="0" fillId="0" borderId="0" xfId="0" applyNumberFormat="1"/>
    <xf numFmtId="0" fontId="31" fillId="16" borderId="25" xfId="145" applyFont="1" applyFill="1" applyBorder="1" applyAlignment="1">
      <alignment horizontal="center" vertical="center" wrapText="1"/>
    </xf>
    <xf numFmtId="0" fontId="22" fillId="0" borderId="24" xfId="96" applyFont="1" applyBorder="1" applyAlignment="1">
      <alignment horizontal="left"/>
    </xf>
    <xf numFmtId="0" fontId="15" fillId="13" borderId="2" xfId="12" applyFont="1" applyFill="1" applyBorder="1" applyAlignment="1">
      <alignment horizontal="center" vertical="center" wrapText="1"/>
    </xf>
    <xf numFmtId="1" fontId="0" fillId="0" borderId="2" xfId="13" applyNumberFormat="1" applyFont="1" applyFill="1" applyBorder="1" applyAlignment="1">
      <alignment horizontal="center" vertical="center" wrapText="1"/>
    </xf>
    <xf numFmtId="1" fontId="14" fillId="6" borderId="0" xfId="12" applyNumberFormat="1" applyFill="1" applyAlignment="1">
      <alignment horizontal="left" vertical="center" wrapText="1"/>
    </xf>
    <xf numFmtId="168" fontId="0" fillId="12" borderId="1" xfId="0" applyNumberFormat="1" applyFill="1" applyBorder="1" applyAlignment="1">
      <alignment horizontal="center" vertical="center"/>
    </xf>
    <xf numFmtId="0" fontId="0" fillId="18" borderId="1" xfId="0" applyFill="1" applyBorder="1" applyAlignment="1">
      <alignment horizontal="center" vertical="center"/>
    </xf>
    <xf numFmtId="171" fontId="7" fillId="18" borderId="1" xfId="144" applyNumberFormat="1" applyFont="1" applyFill="1" applyBorder="1" applyAlignment="1">
      <alignment horizontal="right" vertical="center"/>
    </xf>
    <xf numFmtId="168" fontId="7" fillId="18" borderId="1" xfId="0" applyNumberFormat="1" applyFont="1" applyFill="1" applyBorder="1" applyAlignment="1">
      <alignment horizontal="center" vertical="center"/>
    </xf>
    <xf numFmtId="168" fontId="0" fillId="10" borderId="1" xfId="0" applyNumberFormat="1" applyFill="1" applyBorder="1" applyAlignment="1">
      <alignment horizontal="center" vertical="center"/>
    </xf>
    <xf numFmtId="0" fontId="0" fillId="19" borderId="1" xfId="0" applyFill="1" applyBorder="1" applyAlignment="1">
      <alignment horizontal="center" vertical="center"/>
    </xf>
    <xf numFmtId="171" fontId="7" fillId="19" borderId="1" xfId="144" applyNumberFormat="1" applyFont="1" applyFill="1" applyBorder="1" applyAlignment="1">
      <alignment horizontal="right" vertical="center"/>
    </xf>
    <xf numFmtId="168" fontId="7" fillId="19" borderId="1" xfId="0" applyNumberFormat="1" applyFont="1" applyFill="1" applyBorder="1" applyAlignment="1">
      <alignment horizontal="center" vertical="center"/>
    </xf>
    <xf numFmtId="0" fontId="0" fillId="20" borderId="1" xfId="0" applyFill="1" applyBorder="1" applyAlignment="1">
      <alignment horizontal="center" vertical="center"/>
    </xf>
    <xf numFmtId="171" fontId="7" fillId="20" borderId="1" xfId="144" applyNumberFormat="1" applyFont="1" applyFill="1" applyBorder="1" applyAlignment="1">
      <alignment horizontal="right" vertical="center"/>
    </xf>
    <xf numFmtId="168" fontId="7" fillId="20" borderId="1" xfId="0" applyNumberFormat="1" applyFont="1" applyFill="1" applyBorder="1" applyAlignment="1">
      <alignment horizontal="center" vertical="center"/>
    </xf>
    <xf numFmtId="0" fontId="0" fillId="21" borderId="1" xfId="0" applyFill="1" applyBorder="1" applyAlignment="1">
      <alignment horizontal="center" vertical="center"/>
    </xf>
    <xf numFmtId="171" fontId="7" fillId="21" borderId="1" xfId="144" applyNumberFormat="1" applyFont="1" applyFill="1" applyBorder="1" applyAlignment="1">
      <alignment horizontal="right" vertical="center"/>
    </xf>
    <xf numFmtId="168" fontId="7" fillId="21" borderId="1" xfId="0" applyNumberFormat="1" applyFont="1" applyFill="1" applyBorder="1" applyAlignment="1">
      <alignment horizontal="center" vertical="center"/>
    </xf>
    <xf numFmtId="0" fontId="0" fillId="22" borderId="1" xfId="0" applyFill="1" applyBorder="1" applyAlignment="1">
      <alignment horizontal="center" vertical="center"/>
    </xf>
    <xf numFmtId="171" fontId="7" fillId="22" borderId="1" xfId="144" applyNumberFormat="1" applyFont="1" applyFill="1" applyBorder="1" applyAlignment="1">
      <alignment horizontal="right" vertical="center"/>
    </xf>
    <xf numFmtId="168" fontId="7" fillId="22" borderId="1" xfId="0" applyNumberFormat="1" applyFont="1" applyFill="1" applyBorder="1" applyAlignment="1">
      <alignment horizontal="center" vertical="center"/>
    </xf>
    <xf numFmtId="0" fontId="0" fillId="23" borderId="1" xfId="0" applyFill="1" applyBorder="1" applyAlignment="1">
      <alignment horizontal="center" vertical="center"/>
    </xf>
    <xf numFmtId="171" fontId="0" fillId="23" borderId="1" xfId="144" applyNumberFormat="1" applyFont="1" applyFill="1" applyBorder="1" applyAlignment="1">
      <alignment horizontal="center" vertical="center"/>
    </xf>
    <xf numFmtId="168" fontId="7" fillId="23" borderId="1" xfId="0" applyNumberFormat="1" applyFont="1" applyFill="1" applyBorder="1" applyAlignment="1">
      <alignment horizontal="center" vertical="center"/>
    </xf>
    <xf numFmtId="171" fontId="0" fillId="18" borderId="1" xfId="144" applyNumberFormat="1" applyFont="1" applyFill="1" applyBorder="1" applyAlignment="1">
      <alignment horizontal="center" vertical="center"/>
    </xf>
    <xf numFmtId="0" fontId="0" fillId="24" borderId="1" xfId="0" applyFill="1" applyBorder="1" applyAlignment="1">
      <alignment horizontal="center" vertical="center"/>
    </xf>
    <xf numFmtId="171" fontId="0" fillId="24" borderId="1" xfId="144" applyNumberFormat="1" applyFont="1" applyFill="1" applyBorder="1" applyAlignment="1">
      <alignment horizontal="center" vertical="center"/>
    </xf>
    <xf numFmtId="168" fontId="7" fillId="24" borderId="1" xfId="0" applyNumberFormat="1" applyFont="1" applyFill="1" applyBorder="1" applyAlignment="1">
      <alignment horizontal="center" vertical="center"/>
    </xf>
    <xf numFmtId="171" fontId="0" fillId="8" borderId="1" xfId="144" applyNumberFormat="1" applyFont="1" applyFill="1" applyBorder="1" applyAlignment="1">
      <alignment horizontal="center" vertical="center"/>
    </xf>
    <xf numFmtId="0" fontId="0" fillId="25" borderId="1" xfId="0" applyFill="1" applyBorder="1" applyAlignment="1">
      <alignment horizontal="center" vertical="center"/>
    </xf>
    <xf numFmtId="171" fontId="0" fillId="25" borderId="1" xfId="144" applyNumberFormat="1" applyFont="1" applyFill="1" applyBorder="1" applyAlignment="1">
      <alignment horizontal="center" vertical="center"/>
    </xf>
    <xf numFmtId="168" fontId="7" fillId="25" borderId="1" xfId="0" applyNumberFormat="1" applyFont="1" applyFill="1" applyBorder="1" applyAlignment="1">
      <alignment horizontal="center" vertical="center"/>
    </xf>
    <xf numFmtId="0" fontId="0" fillId="26" borderId="1" xfId="0" applyFill="1" applyBorder="1" applyAlignment="1">
      <alignment horizontal="center" vertical="center"/>
    </xf>
    <xf numFmtId="171" fontId="0" fillId="26" borderId="1" xfId="144" applyNumberFormat="1" applyFont="1" applyFill="1" applyBorder="1" applyAlignment="1">
      <alignment horizontal="center" vertical="center"/>
    </xf>
    <xf numFmtId="168" fontId="7" fillId="26" borderId="1" xfId="0" applyNumberFormat="1" applyFont="1" applyFill="1" applyBorder="1" applyAlignment="1">
      <alignment horizontal="center" vertical="center"/>
    </xf>
    <xf numFmtId="168" fontId="0" fillId="26" borderId="1" xfId="0" applyNumberFormat="1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171" fontId="0" fillId="11" borderId="1" xfId="144" applyNumberFormat="1" applyFont="1" applyFill="1" applyBorder="1" applyAlignment="1">
      <alignment horizontal="center" vertical="center"/>
    </xf>
    <xf numFmtId="168" fontId="7" fillId="11" borderId="1" xfId="0" applyNumberFormat="1" applyFont="1" applyFill="1" applyBorder="1" applyAlignment="1">
      <alignment horizontal="center" vertical="center"/>
    </xf>
    <xf numFmtId="171" fontId="0" fillId="20" borderId="1" xfId="144" applyNumberFormat="1" applyFont="1" applyFill="1" applyBorder="1" applyAlignment="1">
      <alignment horizontal="center" vertical="center"/>
    </xf>
    <xf numFmtId="0" fontId="0" fillId="27" borderId="1" xfId="0" applyFill="1" applyBorder="1" applyAlignment="1">
      <alignment horizontal="center" vertical="center"/>
    </xf>
    <xf numFmtId="171" fontId="0" fillId="27" borderId="1" xfId="144" applyNumberFormat="1" applyFont="1" applyFill="1" applyBorder="1" applyAlignment="1">
      <alignment horizontal="center" vertical="center"/>
    </xf>
    <xf numFmtId="168" fontId="0" fillId="27" borderId="1" xfId="0" applyNumberFormat="1" applyFill="1" applyBorder="1" applyAlignment="1">
      <alignment horizontal="center" vertical="center"/>
    </xf>
    <xf numFmtId="168" fontId="7" fillId="27" borderId="1" xfId="0" applyNumberFormat="1" applyFont="1" applyFill="1" applyBorder="1" applyAlignment="1">
      <alignment horizontal="center" vertical="center"/>
    </xf>
    <xf numFmtId="0" fontId="0" fillId="28" borderId="1" xfId="0" applyFill="1" applyBorder="1" applyAlignment="1">
      <alignment horizontal="center" vertical="center"/>
    </xf>
    <xf numFmtId="171" fontId="0" fillId="28" borderId="1" xfId="144" applyNumberFormat="1" applyFont="1" applyFill="1" applyBorder="1" applyAlignment="1">
      <alignment horizontal="center" vertical="center"/>
    </xf>
    <xf numFmtId="168" fontId="7" fillId="28" borderId="1" xfId="0" applyNumberFormat="1" applyFont="1" applyFill="1" applyBorder="1" applyAlignment="1">
      <alignment horizontal="center" vertical="center"/>
    </xf>
    <xf numFmtId="0" fontId="0" fillId="29" borderId="1" xfId="0" applyFill="1" applyBorder="1" applyAlignment="1">
      <alignment horizontal="center" vertical="center"/>
    </xf>
    <xf numFmtId="171" fontId="0" fillId="29" borderId="1" xfId="144" applyNumberFormat="1" applyFont="1" applyFill="1" applyBorder="1" applyAlignment="1">
      <alignment horizontal="center" vertical="center"/>
    </xf>
    <xf numFmtId="168" fontId="7" fillId="29" borderId="1" xfId="0" applyNumberFormat="1" applyFont="1" applyFill="1" applyBorder="1" applyAlignment="1">
      <alignment horizontal="center" vertical="center"/>
    </xf>
    <xf numFmtId="171" fontId="0" fillId="11" borderId="1" xfId="144" applyNumberFormat="1" applyFont="1" applyFill="1" applyBorder="1" applyAlignment="1">
      <alignment horizontal="right" vertical="center"/>
    </xf>
    <xf numFmtId="0" fontId="0" fillId="30" borderId="1" xfId="0" applyFill="1" applyBorder="1" applyAlignment="1">
      <alignment horizontal="center" vertical="center"/>
    </xf>
    <xf numFmtId="171" fontId="0" fillId="30" borderId="1" xfId="144" applyNumberFormat="1" applyFont="1" applyFill="1" applyBorder="1" applyAlignment="1">
      <alignment horizontal="right" vertical="center"/>
    </xf>
    <xf numFmtId="168" fontId="7" fillId="30" borderId="1" xfId="0" applyNumberFormat="1" applyFont="1" applyFill="1" applyBorder="1" applyAlignment="1">
      <alignment horizontal="center" vertical="center"/>
    </xf>
    <xf numFmtId="171" fontId="0" fillId="18" borderId="1" xfId="144" applyNumberFormat="1" applyFont="1" applyFill="1" applyBorder="1" applyAlignment="1">
      <alignment horizontal="right" vertical="center"/>
    </xf>
    <xf numFmtId="171" fontId="0" fillId="22" borderId="1" xfId="144" applyNumberFormat="1" applyFont="1" applyFill="1" applyBorder="1" applyAlignment="1">
      <alignment horizontal="right" vertical="center"/>
    </xf>
    <xf numFmtId="0" fontId="0" fillId="31" borderId="1" xfId="0" applyFill="1" applyBorder="1" applyAlignment="1">
      <alignment horizontal="center" vertical="center"/>
    </xf>
    <xf numFmtId="171" fontId="0" fillId="31" borderId="1" xfId="144" applyNumberFormat="1" applyFont="1" applyFill="1" applyBorder="1" applyAlignment="1">
      <alignment horizontal="center" vertical="center"/>
    </xf>
    <xf numFmtId="168" fontId="7" fillId="31" borderId="1" xfId="0" applyNumberFormat="1" applyFont="1" applyFill="1" applyBorder="1" applyAlignment="1">
      <alignment horizontal="center" vertical="center"/>
    </xf>
    <xf numFmtId="0" fontId="0" fillId="32" borderId="1" xfId="0" applyFill="1" applyBorder="1" applyAlignment="1">
      <alignment horizontal="center" vertical="center"/>
    </xf>
    <xf numFmtId="171" fontId="0" fillId="32" borderId="1" xfId="144" applyNumberFormat="1" applyFont="1" applyFill="1" applyBorder="1" applyAlignment="1">
      <alignment horizontal="center" vertical="center"/>
    </xf>
    <xf numFmtId="168" fontId="7" fillId="32" borderId="1" xfId="0" applyNumberFormat="1" applyFont="1" applyFill="1" applyBorder="1" applyAlignment="1">
      <alignment horizontal="center" vertical="center"/>
    </xf>
    <xf numFmtId="0" fontId="0" fillId="33" borderId="1" xfId="0" applyFill="1" applyBorder="1" applyAlignment="1">
      <alignment horizontal="center" vertical="center"/>
    </xf>
    <xf numFmtId="171" fontId="0" fillId="33" borderId="1" xfId="144" applyNumberFormat="1" applyFont="1" applyFill="1" applyBorder="1" applyAlignment="1">
      <alignment horizontal="center" vertical="center"/>
    </xf>
    <xf numFmtId="168" fontId="7" fillId="33" borderId="1" xfId="0" applyNumberFormat="1" applyFont="1" applyFill="1" applyBorder="1" applyAlignment="1">
      <alignment horizontal="center" vertical="center"/>
    </xf>
    <xf numFmtId="171" fontId="0" fillId="33" borderId="1" xfId="144" applyNumberFormat="1" applyFont="1" applyFill="1" applyBorder="1" applyAlignment="1">
      <alignment horizontal="right" vertical="center"/>
    </xf>
    <xf numFmtId="0" fontId="0" fillId="34" borderId="1" xfId="0" applyFill="1" applyBorder="1" applyAlignment="1">
      <alignment horizontal="center" vertical="center"/>
    </xf>
    <xf numFmtId="168" fontId="7" fillId="34" borderId="1" xfId="0" applyNumberFormat="1" applyFont="1" applyFill="1" applyBorder="1" applyAlignment="1">
      <alignment horizontal="center" vertical="center"/>
    </xf>
    <xf numFmtId="0" fontId="0" fillId="35" borderId="1" xfId="0" applyFill="1" applyBorder="1" applyAlignment="1">
      <alignment horizontal="center" vertical="center"/>
    </xf>
    <xf numFmtId="171" fontId="0" fillId="35" borderId="1" xfId="144" applyNumberFormat="1" applyFont="1" applyFill="1" applyBorder="1" applyAlignment="1">
      <alignment horizontal="right" vertical="center"/>
    </xf>
    <xf numFmtId="168" fontId="7" fillId="35" borderId="1" xfId="0" applyNumberFormat="1" applyFont="1" applyFill="1" applyBorder="1" applyAlignment="1">
      <alignment horizontal="center" vertical="center"/>
    </xf>
    <xf numFmtId="171" fontId="0" fillId="30" borderId="1" xfId="144" applyNumberFormat="1" applyFont="1" applyFill="1" applyBorder="1" applyAlignment="1">
      <alignment horizontal="center" vertical="center"/>
    </xf>
    <xf numFmtId="171" fontId="0" fillId="10" borderId="1" xfId="144" applyNumberFormat="1" applyFont="1" applyFill="1" applyBorder="1" applyAlignment="1">
      <alignment horizontal="center" vertical="center"/>
    </xf>
    <xf numFmtId="0" fontId="0" fillId="36" borderId="1" xfId="0" applyFill="1" applyBorder="1" applyAlignment="1">
      <alignment horizontal="center" vertical="center"/>
    </xf>
    <xf numFmtId="171" fontId="0" fillId="36" borderId="1" xfId="144" applyNumberFormat="1" applyFont="1" applyFill="1" applyBorder="1" applyAlignment="1">
      <alignment horizontal="center" vertical="center"/>
    </xf>
    <xf numFmtId="168" fontId="7" fillId="36" borderId="1" xfId="0" applyNumberFormat="1" applyFont="1" applyFill="1" applyBorder="1" applyAlignment="1">
      <alignment horizontal="center" vertical="center"/>
    </xf>
    <xf numFmtId="171" fontId="0" fillId="22" borderId="1" xfId="144" applyNumberFormat="1" applyFont="1" applyFill="1" applyBorder="1" applyAlignment="1">
      <alignment horizontal="center" vertical="center"/>
    </xf>
    <xf numFmtId="0" fontId="0" fillId="37" borderId="1" xfId="0" applyFill="1" applyBorder="1" applyAlignment="1">
      <alignment horizontal="center" vertical="center"/>
    </xf>
    <xf numFmtId="171" fontId="0" fillId="37" borderId="1" xfId="144" applyNumberFormat="1" applyFont="1" applyFill="1" applyBorder="1" applyAlignment="1">
      <alignment horizontal="center" vertical="center"/>
    </xf>
    <xf numFmtId="168" fontId="7" fillId="37" borderId="1" xfId="0" applyNumberFormat="1" applyFont="1" applyFill="1" applyBorder="1" applyAlignment="1">
      <alignment horizontal="center" vertical="center"/>
    </xf>
    <xf numFmtId="171" fontId="0" fillId="34" borderId="1" xfId="144" applyNumberFormat="1" applyFont="1" applyFill="1" applyBorder="1" applyAlignment="1">
      <alignment horizontal="center" vertical="center"/>
    </xf>
    <xf numFmtId="171" fontId="0" fillId="19" borderId="1" xfId="144" applyNumberFormat="1" applyFont="1" applyFill="1" applyBorder="1" applyAlignment="1">
      <alignment horizontal="center" vertical="center"/>
    </xf>
    <xf numFmtId="0" fontId="0" fillId="38" borderId="1" xfId="0" applyFill="1" applyBorder="1" applyAlignment="1">
      <alignment horizontal="center" vertical="center"/>
    </xf>
    <xf numFmtId="171" fontId="0" fillId="38" borderId="1" xfId="144" applyNumberFormat="1" applyFont="1" applyFill="1" applyBorder="1" applyAlignment="1">
      <alignment horizontal="center" vertical="center"/>
    </xf>
    <xf numFmtId="168" fontId="7" fillId="38" borderId="1" xfId="0" applyNumberFormat="1" applyFont="1" applyFill="1" applyBorder="1" applyAlignment="1">
      <alignment horizontal="center" vertical="center"/>
    </xf>
    <xf numFmtId="0" fontId="0" fillId="39" borderId="1" xfId="0" applyFill="1" applyBorder="1" applyAlignment="1">
      <alignment horizontal="center" vertical="center"/>
    </xf>
    <xf numFmtId="171" fontId="0" fillId="39" borderId="1" xfId="144" applyNumberFormat="1" applyFont="1" applyFill="1" applyBorder="1" applyAlignment="1">
      <alignment horizontal="center" vertical="center"/>
    </xf>
    <xf numFmtId="168" fontId="7" fillId="39" borderId="1" xfId="0" applyNumberFormat="1" applyFont="1" applyFill="1" applyBorder="1" applyAlignment="1">
      <alignment horizontal="center" vertical="center"/>
    </xf>
    <xf numFmtId="0" fontId="0" fillId="40" borderId="1" xfId="0" applyFill="1" applyBorder="1" applyAlignment="1">
      <alignment horizontal="center" vertical="center"/>
    </xf>
    <xf numFmtId="171" fontId="0" fillId="40" borderId="1" xfId="144" applyNumberFormat="1" applyFont="1" applyFill="1" applyBorder="1" applyAlignment="1">
      <alignment horizontal="center" vertical="center"/>
    </xf>
    <xf numFmtId="168" fontId="7" fillId="40" borderId="1" xfId="0" applyNumberFormat="1" applyFont="1" applyFill="1" applyBorder="1" applyAlignment="1">
      <alignment horizontal="center" vertical="center"/>
    </xf>
    <xf numFmtId="0" fontId="0" fillId="16" borderId="1" xfId="0" applyFill="1" applyBorder="1" applyAlignment="1">
      <alignment horizontal="center" vertical="center"/>
    </xf>
    <xf numFmtId="171" fontId="0" fillId="16" borderId="1" xfId="144" applyNumberFormat="1" applyFont="1" applyFill="1" applyBorder="1" applyAlignment="1">
      <alignment horizontal="center" vertical="center"/>
    </xf>
    <xf numFmtId="168" fontId="7" fillId="16" borderId="1" xfId="0" applyNumberFormat="1" applyFont="1" applyFill="1" applyBorder="1" applyAlignment="1">
      <alignment horizontal="center" vertical="center"/>
    </xf>
    <xf numFmtId="171" fontId="0" fillId="12" borderId="1" xfId="144" applyNumberFormat="1" applyFont="1" applyFill="1" applyBorder="1" applyAlignment="1">
      <alignment horizontal="center" vertical="center"/>
    </xf>
    <xf numFmtId="0" fontId="0" fillId="41" borderId="1" xfId="0" applyFill="1" applyBorder="1" applyAlignment="1">
      <alignment horizontal="center" vertical="center"/>
    </xf>
    <xf numFmtId="171" fontId="7" fillId="41" borderId="1" xfId="144" applyNumberFormat="1" applyFont="1" applyFill="1" applyBorder="1" applyAlignment="1">
      <alignment horizontal="right" vertical="center"/>
    </xf>
    <xf numFmtId="168" fontId="7" fillId="41" borderId="1" xfId="0" applyNumberFormat="1" applyFont="1" applyFill="1" applyBorder="1" applyAlignment="1">
      <alignment horizontal="center" vertical="center"/>
    </xf>
    <xf numFmtId="2" fontId="0" fillId="18" borderId="1" xfId="0" applyNumberFormat="1" applyFill="1" applyBorder="1" applyAlignment="1">
      <alignment horizontal="center" vertical="center"/>
    </xf>
    <xf numFmtId="2" fontId="0" fillId="19" borderId="1" xfId="0" applyNumberFormat="1" applyFill="1" applyBorder="1" applyAlignment="1">
      <alignment horizontal="center" vertical="center"/>
    </xf>
    <xf numFmtId="2" fontId="0" fillId="20" borderId="1" xfId="0" applyNumberFormat="1" applyFill="1" applyBorder="1" applyAlignment="1">
      <alignment horizontal="center" vertical="center"/>
    </xf>
    <xf numFmtId="2" fontId="0" fillId="21" borderId="1" xfId="0" applyNumberFormat="1" applyFill="1" applyBorder="1" applyAlignment="1">
      <alignment horizontal="center" vertical="center"/>
    </xf>
    <xf numFmtId="2" fontId="0" fillId="22" borderId="1" xfId="0" applyNumberFormat="1" applyFill="1" applyBorder="1" applyAlignment="1">
      <alignment horizontal="center" vertical="center"/>
    </xf>
    <xf numFmtId="2" fontId="0" fillId="23" borderId="1" xfId="0" applyNumberFormat="1" applyFill="1" applyBorder="1" applyAlignment="1">
      <alignment horizontal="center" vertical="center"/>
    </xf>
    <xf numFmtId="2" fontId="0" fillId="24" borderId="1" xfId="0" applyNumberFormat="1" applyFill="1" applyBorder="1" applyAlignment="1">
      <alignment horizontal="center" vertical="center"/>
    </xf>
    <xf numFmtId="2" fontId="0" fillId="8" borderId="1" xfId="0" applyNumberFormat="1" applyFill="1" applyBorder="1" applyAlignment="1">
      <alignment horizontal="center" vertical="center"/>
    </xf>
    <xf numFmtId="2" fontId="0" fillId="25" borderId="1" xfId="0" applyNumberFormat="1" applyFill="1" applyBorder="1" applyAlignment="1">
      <alignment horizontal="center" vertical="center"/>
    </xf>
    <xf numFmtId="2" fontId="0" fillId="26" borderId="1" xfId="0" applyNumberFormat="1" applyFill="1" applyBorder="1" applyAlignment="1">
      <alignment horizontal="center" vertical="center"/>
    </xf>
    <xf numFmtId="2" fontId="0" fillId="11" borderId="1" xfId="0" applyNumberFormat="1" applyFill="1" applyBorder="1" applyAlignment="1">
      <alignment horizontal="center" vertical="center"/>
    </xf>
    <xf numFmtId="2" fontId="0" fillId="27" borderId="1" xfId="0" applyNumberFormat="1" applyFill="1" applyBorder="1" applyAlignment="1">
      <alignment horizontal="center" vertical="center"/>
    </xf>
    <xf numFmtId="2" fontId="0" fillId="28" borderId="1" xfId="0" applyNumberFormat="1" applyFill="1" applyBorder="1" applyAlignment="1">
      <alignment horizontal="center" vertical="center"/>
    </xf>
    <xf numFmtId="2" fontId="0" fillId="29" borderId="1" xfId="0" applyNumberFormat="1" applyFill="1" applyBorder="1" applyAlignment="1">
      <alignment horizontal="center" vertical="center"/>
    </xf>
    <xf numFmtId="2" fontId="0" fillId="30" borderId="1" xfId="0" applyNumberFormat="1" applyFill="1" applyBorder="1" applyAlignment="1">
      <alignment horizontal="center" vertical="center"/>
    </xf>
    <xf numFmtId="2" fontId="0" fillId="31" borderId="1" xfId="0" applyNumberFormat="1" applyFill="1" applyBorder="1" applyAlignment="1">
      <alignment horizontal="center" vertical="center"/>
    </xf>
    <xf numFmtId="2" fontId="0" fillId="32" borderId="1" xfId="0" applyNumberFormat="1" applyFill="1" applyBorder="1" applyAlignment="1">
      <alignment horizontal="center" vertical="center"/>
    </xf>
    <xf numFmtId="2" fontId="0" fillId="33" borderId="1" xfId="0" applyNumberFormat="1" applyFill="1" applyBorder="1" applyAlignment="1">
      <alignment horizontal="center" vertical="center"/>
    </xf>
    <xf numFmtId="2" fontId="0" fillId="35" borderId="1" xfId="0" applyNumberFormat="1" applyFill="1" applyBorder="1" applyAlignment="1">
      <alignment horizontal="center" vertical="center"/>
    </xf>
    <xf numFmtId="2" fontId="0" fillId="36" borderId="1" xfId="0" applyNumberFormat="1" applyFill="1" applyBorder="1" applyAlignment="1">
      <alignment horizontal="center" vertical="center"/>
    </xf>
    <xf numFmtId="2" fontId="0" fillId="37" borderId="1" xfId="0" applyNumberFormat="1" applyFill="1" applyBorder="1" applyAlignment="1">
      <alignment horizontal="center" vertical="center"/>
    </xf>
    <xf numFmtId="2" fontId="0" fillId="34" borderId="1" xfId="0" applyNumberFormat="1" applyFill="1" applyBorder="1" applyAlignment="1">
      <alignment horizontal="center" vertical="center"/>
    </xf>
    <xf numFmtId="2" fontId="0" fillId="38" borderId="1" xfId="0" applyNumberFormat="1" applyFill="1" applyBorder="1" applyAlignment="1">
      <alignment horizontal="center" vertical="center"/>
    </xf>
    <xf numFmtId="2" fontId="0" fillId="39" borderId="1" xfId="0" applyNumberFormat="1" applyFill="1" applyBorder="1" applyAlignment="1">
      <alignment horizontal="center" vertical="center"/>
    </xf>
    <xf numFmtId="2" fontId="0" fillId="40" borderId="1" xfId="0" applyNumberFormat="1" applyFill="1" applyBorder="1" applyAlignment="1">
      <alignment horizontal="center" vertical="center"/>
    </xf>
    <xf numFmtId="2" fontId="0" fillId="16" borderId="1" xfId="0" applyNumberFormat="1" applyFill="1" applyBorder="1" applyAlignment="1">
      <alignment horizontal="center" vertical="center"/>
    </xf>
    <xf numFmtId="2" fontId="0" fillId="12" borderId="1" xfId="0" applyNumberFormat="1" applyFill="1" applyBorder="1" applyAlignment="1">
      <alignment horizontal="center" vertical="center"/>
    </xf>
    <xf numFmtId="2" fontId="0" fillId="41" borderId="1" xfId="0" applyNumberFormat="1" applyFill="1" applyBorder="1" applyAlignment="1">
      <alignment horizontal="center" vertical="center"/>
    </xf>
    <xf numFmtId="2" fontId="22" fillId="0" borderId="1" xfId="96" applyNumberFormat="1" applyFont="1" applyBorder="1" applyAlignment="1">
      <alignment horizontal="right"/>
    </xf>
    <xf numFmtId="9" fontId="22" fillId="0" borderId="1" xfId="5" applyFont="1" applyBorder="1" applyAlignment="1">
      <alignment horizontal="right"/>
    </xf>
    <xf numFmtId="174" fontId="0" fillId="2" borderId="1" xfId="0" applyNumberFormat="1" applyFill="1" applyBorder="1" applyAlignment="1">
      <alignment horizontal="center" vertical="center"/>
    </xf>
    <xf numFmtId="173" fontId="15" fillId="2" borderId="20" xfId="12" applyNumberFormat="1" applyFont="1" applyFill="1" applyBorder="1" applyAlignment="1">
      <alignment horizontal="center" vertical="center" wrapText="1"/>
    </xf>
    <xf numFmtId="0" fontId="15" fillId="0" borderId="1" xfId="12" applyFont="1" applyBorder="1" applyAlignment="1">
      <alignment horizontal="left" vertical="center" wrapText="1"/>
    </xf>
    <xf numFmtId="0" fontId="15" fillId="0" borderId="1" xfId="12" applyFont="1" applyBorder="1" applyAlignment="1">
      <alignment horizontal="center" vertical="center" wrapText="1"/>
    </xf>
    <xf numFmtId="0" fontId="38" fillId="14" borderId="1" xfId="12" applyFont="1" applyFill="1" applyBorder="1" applyAlignment="1">
      <alignment horizontal="left" vertical="center" wrapText="1"/>
    </xf>
    <xf numFmtId="0" fontId="23" fillId="0" borderId="1" xfId="12" applyFont="1" applyBorder="1" applyAlignment="1">
      <alignment horizontal="left" vertical="center" wrapText="1"/>
    </xf>
    <xf numFmtId="0" fontId="23" fillId="13" borderId="1" xfId="12" applyFont="1" applyFill="1" applyBorder="1" applyAlignment="1">
      <alignment horizontal="left" vertical="center" wrapText="1"/>
    </xf>
    <xf numFmtId="0" fontId="23" fillId="13" borderId="1" xfId="12" applyFont="1" applyFill="1" applyBorder="1" applyAlignment="1">
      <alignment horizontal="center" vertical="center" wrapText="1"/>
    </xf>
    <xf numFmtId="0" fontId="41" fillId="13" borderId="1" xfId="43" applyFont="1" applyFill="1" applyBorder="1" applyAlignment="1">
      <alignment horizontal="left" vertical="center" wrapText="1"/>
    </xf>
    <xf numFmtId="170" fontId="22" fillId="0" borderId="1" xfId="12" applyNumberFormat="1" applyFont="1" applyBorder="1" applyAlignment="1">
      <alignment horizontal="left" vertical="center" wrapText="1"/>
    </xf>
    <xf numFmtId="0" fontId="22" fillId="0" borderId="1" xfId="12" applyFont="1" applyBorder="1" applyAlignment="1">
      <alignment horizontal="center" vertical="center" wrapText="1"/>
    </xf>
    <xf numFmtId="2" fontId="43" fillId="0" borderId="20" xfId="0" applyNumberFormat="1" applyFont="1" applyBorder="1" applyAlignment="1">
      <alignment horizontal="center" vertical="center" wrapText="1"/>
    </xf>
    <xf numFmtId="2" fontId="43" fillId="0" borderId="1" xfId="0" applyNumberFormat="1" applyFont="1" applyBorder="1" applyAlignment="1">
      <alignment horizontal="center" vertical="center" wrapText="1"/>
    </xf>
    <xf numFmtId="1" fontId="43" fillId="0" borderId="1" xfId="0" applyNumberFormat="1" applyFont="1" applyBorder="1" applyAlignment="1">
      <alignment horizontal="center" vertical="center" wrapText="1"/>
    </xf>
    <xf numFmtId="0" fontId="42" fillId="0" borderId="4" xfId="0" applyFont="1" applyBorder="1" applyAlignment="1">
      <alignment horizontal="center" vertical="center" wrapText="1"/>
    </xf>
    <xf numFmtId="0" fontId="42" fillId="0" borderId="1" xfId="0" applyFont="1" applyBorder="1" applyAlignment="1">
      <alignment horizontal="center" vertical="center" wrapText="1"/>
    </xf>
    <xf numFmtId="3" fontId="23" fillId="13" borderId="1" xfId="12" applyNumberFormat="1" applyFont="1" applyFill="1" applyBorder="1" applyAlignment="1">
      <alignment horizontal="left" vertical="center" wrapText="1"/>
    </xf>
    <xf numFmtId="0" fontId="47" fillId="0" borderId="0" xfId="0" applyFont="1"/>
    <xf numFmtId="0" fontId="46" fillId="0" borderId="1" xfId="0" applyFont="1" applyBorder="1"/>
    <xf numFmtId="0" fontId="48" fillId="2" borderId="0" xfId="0" applyFont="1" applyFill="1"/>
    <xf numFmtId="1" fontId="9" fillId="0" borderId="1" xfId="0" applyNumberFormat="1" applyFont="1" applyBorder="1"/>
    <xf numFmtId="1" fontId="9" fillId="0" borderId="1" xfId="13" applyNumberFormat="1" applyFont="1" applyFill="1" applyBorder="1" applyAlignment="1">
      <alignment horizontal="center" vertical="center" wrapText="1"/>
    </xf>
    <xf numFmtId="0" fontId="23" fillId="0" borderId="1" xfId="12" applyFont="1" applyBorder="1" applyAlignment="1">
      <alignment horizontal="center" vertical="center" wrapText="1"/>
    </xf>
    <xf numFmtId="1" fontId="47" fillId="2" borderId="29" xfId="0" applyNumberFormat="1" applyFont="1" applyFill="1" applyBorder="1"/>
    <xf numFmtId="0" fontId="24" fillId="0" borderId="23" xfId="0" applyFont="1" applyBorder="1" applyAlignment="1">
      <alignment horizontal="left" vertical="center"/>
    </xf>
    <xf numFmtId="9" fontId="13" fillId="0" borderId="21" xfId="5" applyFont="1" applyBorder="1" applyAlignment="1">
      <alignment horizontal="right"/>
    </xf>
    <xf numFmtId="166" fontId="13" fillId="0" borderId="24" xfId="96" applyNumberFormat="1" applyFont="1" applyBorder="1"/>
    <xf numFmtId="1" fontId="22" fillId="0" borderId="1" xfId="96" applyNumberFormat="1" applyFont="1" applyBorder="1" applyAlignment="1">
      <alignment horizontal="right"/>
    </xf>
    <xf numFmtId="10" fontId="13" fillId="0" borderId="21" xfId="5" applyNumberFormat="1" applyFont="1" applyBorder="1" applyAlignment="1">
      <alignment horizontal="right"/>
    </xf>
    <xf numFmtId="10" fontId="22" fillId="0" borderId="1" xfId="5" applyNumberFormat="1" applyFont="1" applyBorder="1" applyAlignment="1">
      <alignment horizontal="right"/>
    </xf>
    <xf numFmtId="175" fontId="0" fillId="0" borderId="0" xfId="0" applyNumberFormat="1"/>
    <xf numFmtId="2" fontId="7" fillId="20" borderId="1" xfId="0" applyNumberFormat="1" applyFont="1" applyFill="1" applyBorder="1" applyAlignment="1">
      <alignment horizontal="center" vertical="center"/>
    </xf>
    <xf numFmtId="171" fontId="7" fillId="30" borderId="1" xfId="144" applyNumberFormat="1" applyFont="1" applyFill="1" applyBorder="1" applyAlignment="1">
      <alignment horizontal="right" vertical="center"/>
    </xf>
    <xf numFmtId="171" fontId="0" fillId="4" borderId="1" xfId="144" applyNumberFormat="1" applyFont="1" applyFill="1" applyBorder="1" applyAlignment="1">
      <alignment horizontal="center" vertical="center"/>
    </xf>
    <xf numFmtId="0" fontId="0" fillId="42" borderId="1" xfId="0" applyFill="1" applyBorder="1" applyAlignment="1">
      <alignment horizontal="center" vertical="center"/>
    </xf>
    <xf numFmtId="171" fontId="0" fillId="42" borderId="1" xfId="144" applyNumberFormat="1" applyFont="1" applyFill="1" applyBorder="1" applyAlignment="1">
      <alignment horizontal="center" vertical="center"/>
    </xf>
    <xf numFmtId="168" fontId="7" fillId="42" borderId="1" xfId="0" applyNumberFormat="1" applyFont="1" applyFill="1" applyBorder="1" applyAlignment="1">
      <alignment horizontal="center" vertical="center"/>
    </xf>
    <xf numFmtId="0" fontId="0" fillId="43" borderId="1" xfId="0" applyFill="1" applyBorder="1" applyAlignment="1">
      <alignment horizontal="center" vertical="center"/>
    </xf>
    <xf numFmtId="171" fontId="0" fillId="43" borderId="1" xfId="144" applyNumberFormat="1" applyFont="1" applyFill="1" applyBorder="1" applyAlignment="1">
      <alignment horizontal="center" vertical="center"/>
    </xf>
    <xf numFmtId="168" fontId="7" fillId="43" borderId="1" xfId="0" applyNumberFormat="1" applyFont="1" applyFill="1" applyBorder="1" applyAlignment="1">
      <alignment horizontal="center" vertical="center"/>
    </xf>
    <xf numFmtId="2" fontId="7" fillId="18" borderId="1" xfId="0" applyNumberFormat="1" applyFont="1" applyFill="1" applyBorder="1" applyAlignment="1">
      <alignment horizontal="center" vertical="center"/>
    </xf>
    <xf numFmtId="0" fontId="0" fillId="44" borderId="1" xfId="0" applyFill="1" applyBorder="1" applyAlignment="1">
      <alignment horizontal="center" vertical="center"/>
    </xf>
    <xf numFmtId="171" fontId="0" fillId="44" borderId="1" xfId="144" applyNumberFormat="1" applyFont="1" applyFill="1" applyBorder="1" applyAlignment="1">
      <alignment horizontal="center" vertical="center"/>
    </xf>
    <xf numFmtId="168" fontId="7" fillId="44" borderId="1" xfId="0" applyNumberFormat="1" applyFont="1" applyFill="1" applyBorder="1" applyAlignment="1">
      <alignment horizontal="center" vertical="center"/>
    </xf>
    <xf numFmtId="0" fontId="0" fillId="45" borderId="1" xfId="0" applyFill="1" applyBorder="1" applyAlignment="1">
      <alignment horizontal="center" vertical="center"/>
    </xf>
    <xf numFmtId="171" fontId="0" fillId="45" borderId="1" xfId="144" applyNumberFormat="1" applyFont="1" applyFill="1" applyBorder="1" applyAlignment="1">
      <alignment horizontal="center" vertical="center"/>
    </xf>
    <xf numFmtId="168" fontId="7" fillId="45" borderId="1" xfId="0" applyNumberFormat="1" applyFont="1" applyFill="1" applyBorder="1" applyAlignment="1">
      <alignment horizontal="center" vertical="center"/>
    </xf>
    <xf numFmtId="0" fontId="0" fillId="46" borderId="1" xfId="0" applyFill="1" applyBorder="1" applyAlignment="1">
      <alignment horizontal="center" vertical="center"/>
    </xf>
    <xf numFmtId="171" fontId="0" fillId="46" borderId="1" xfId="144" applyNumberFormat="1" applyFont="1" applyFill="1" applyBorder="1" applyAlignment="1">
      <alignment horizontal="center" vertical="center"/>
    </xf>
    <xf numFmtId="168" fontId="7" fillId="46" borderId="1" xfId="0" applyNumberFormat="1" applyFont="1" applyFill="1" applyBorder="1" applyAlignment="1">
      <alignment horizontal="center" vertical="center"/>
    </xf>
    <xf numFmtId="0" fontId="0" fillId="47" borderId="1" xfId="0" applyFill="1" applyBorder="1" applyAlignment="1">
      <alignment horizontal="center" vertical="center"/>
    </xf>
    <xf numFmtId="171" fontId="0" fillId="47" borderId="1" xfId="144" applyNumberFormat="1" applyFont="1" applyFill="1" applyBorder="1" applyAlignment="1">
      <alignment horizontal="center" vertical="center"/>
    </xf>
    <xf numFmtId="168" fontId="7" fillId="47" borderId="1" xfId="0" applyNumberFormat="1" applyFont="1" applyFill="1" applyBorder="1" applyAlignment="1">
      <alignment horizontal="center" vertical="center"/>
    </xf>
    <xf numFmtId="168" fontId="0" fillId="36" borderId="1" xfId="0" applyNumberForma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2" fontId="0" fillId="42" borderId="1" xfId="0" applyNumberFormat="1" applyFill="1" applyBorder="1" applyAlignment="1">
      <alignment horizontal="center" vertical="center"/>
    </xf>
    <xf numFmtId="2" fontId="0" fillId="43" borderId="1" xfId="0" applyNumberFormat="1" applyFill="1" applyBorder="1" applyAlignment="1">
      <alignment horizontal="center" vertical="center"/>
    </xf>
    <xf numFmtId="2" fontId="0" fillId="44" borderId="1" xfId="0" applyNumberFormat="1" applyFill="1" applyBorder="1" applyAlignment="1">
      <alignment horizontal="center" vertical="center"/>
    </xf>
    <xf numFmtId="2" fontId="0" fillId="45" borderId="1" xfId="0" applyNumberFormat="1" applyFill="1" applyBorder="1" applyAlignment="1">
      <alignment horizontal="center" vertical="center"/>
    </xf>
    <xf numFmtId="2" fontId="0" fillId="46" borderId="1" xfId="0" applyNumberFormat="1" applyFill="1" applyBorder="1" applyAlignment="1">
      <alignment horizontal="center" vertical="center"/>
    </xf>
    <xf numFmtId="2" fontId="0" fillId="47" borderId="1" xfId="0" applyNumberFormat="1" applyFill="1" applyBorder="1" applyAlignment="1">
      <alignment horizontal="center" vertical="center"/>
    </xf>
    <xf numFmtId="165" fontId="22" fillId="0" borderId="0" xfId="144" applyFont="1"/>
    <xf numFmtId="165" fontId="23" fillId="3" borderId="14" xfId="144" applyFont="1" applyFill="1" applyBorder="1" applyAlignment="1">
      <alignment horizontal="center" wrapText="1"/>
    </xf>
    <xf numFmtId="165" fontId="22" fillId="0" borderId="1" xfId="144" applyFont="1" applyBorder="1" applyAlignment="1">
      <alignment horizontal="right"/>
    </xf>
    <xf numFmtId="165" fontId="13" fillId="0" borderId="21" xfId="144" applyFont="1" applyBorder="1" applyAlignment="1">
      <alignment horizontal="right"/>
    </xf>
    <xf numFmtId="165" fontId="22" fillId="0" borderId="21" xfId="144" applyFont="1" applyBorder="1"/>
    <xf numFmtId="165" fontId="0" fillId="0" borderId="0" xfId="144" applyFont="1"/>
    <xf numFmtId="165" fontId="31" fillId="17" borderId="26" xfId="144" applyFont="1" applyFill="1" applyBorder="1" applyAlignment="1">
      <alignment horizontal="center" vertical="center" wrapText="1"/>
    </xf>
    <xf numFmtId="165" fontId="7" fillId="2" borderId="0" xfId="144" applyFont="1" applyFill="1"/>
    <xf numFmtId="165" fontId="7" fillId="2" borderId="0" xfId="144" applyFont="1" applyFill="1" applyBorder="1" applyAlignment="1">
      <alignment horizontal="center" vertical="center"/>
    </xf>
    <xf numFmtId="165" fontId="7" fillId="2" borderId="1" xfId="144" applyFont="1" applyFill="1" applyBorder="1" applyAlignment="1">
      <alignment horizontal="center" vertical="center"/>
    </xf>
    <xf numFmtId="171" fontId="7" fillId="10" borderId="1" xfId="144" applyNumberFormat="1" applyFont="1" applyFill="1" applyBorder="1" applyAlignment="1">
      <alignment horizontal="center" vertical="center"/>
    </xf>
    <xf numFmtId="171" fontId="7" fillId="8" borderId="1" xfId="144" applyNumberFormat="1" applyFont="1" applyFill="1" applyBorder="1" applyAlignment="1">
      <alignment horizontal="center" vertical="center"/>
    </xf>
    <xf numFmtId="171" fontId="7" fillId="11" borderId="1" xfId="144" applyNumberFormat="1" applyFont="1" applyFill="1" applyBorder="1" applyAlignment="1">
      <alignment horizontal="center" vertical="center"/>
    </xf>
    <xf numFmtId="171" fontId="7" fillId="12" borderId="1" xfId="144" applyNumberFormat="1" applyFont="1" applyFill="1" applyBorder="1" applyAlignment="1">
      <alignment horizontal="center" vertical="center"/>
    </xf>
    <xf numFmtId="171" fontId="7" fillId="4" borderId="1" xfId="144" applyNumberFormat="1" applyFont="1" applyFill="1" applyBorder="1" applyAlignment="1">
      <alignment horizontal="center" vertical="center"/>
    </xf>
    <xf numFmtId="171" fontId="7" fillId="20" borderId="1" xfId="144" applyNumberFormat="1" applyFont="1" applyFill="1" applyBorder="1" applyAlignment="1">
      <alignment horizontal="center" vertical="center"/>
    </xf>
    <xf numFmtId="171" fontId="0" fillId="21" borderId="1" xfId="144" applyNumberFormat="1" applyFont="1" applyFill="1" applyBorder="1" applyAlignment="1">
      <alignment horizontal="center" vertical="center"/>
    </xf>
    <xf numFmtId="171" fontId="0" fillId="35" borderId="1" xfId="144" applyNumberFormat="1" applyFont="1" applyFill="1" applyBorder="1" applyAlignment="1">
      <alignment horizontal="center" vertical="center"/>
    </xf>
    <xf numFmtId="171" fontId="7" fillId="18" borderId="1" xfId="144" applyNumberFormat="1" applyFont="1" applyFill="1" applyBorder="1" applyAlignment="1">
      <alignment horizontal="center" vertical="center"/>
    </xf>
    <xf numFmtId="171" fontId="7" fillId="38" borderId="1" xfId="144" applyNumberFormat="1" applyFont="1" applyFill="1" applyBorder="1" applyAlignment="1">
      <alignment horizontal="center" vertical="center"/>
    </xf>
    <xf numFmtId="171" fontId="7" fillId="37" borderId="1" xfId="144" applyNumberFormat="1" applyFont="1" applyFill="1" applyBorder="1" applyAlignment="1">
      <alignment horizontal="center" vertical="center"/>
    </xf>
    <xf numFmtId="171" fontId="0" fillId="41" borderId="1" xfId="144" applyNumberFormat="1" applyFont="1" applyFill="1" applyBorder="1" applyAlignment="1">
      <alignment horizontal="center" vertical="center"/>
    </xf>
    <xf numFmtId="0" fontId="0" fillId="48" borderId="1" xfId="0" applyFill="1" applyBorder="1" applyAlignment="1">
      <alignment horizontal="center" vertical="center"/>
    </xf>
    <xf numFmtId="0" fontId="7" fillId="48" borderId="1" xfId="0" applyFont="1" applyFill="1" applyBorder="1" applyAlignment="1">
      <alignment horizontal="center" vertical="center"/>
    </xf>
    <xf numFmtId="171" fontId="7" fillId="48" borderId="1" xfId="144" applyNumberFormat="1" applyFont="1" applyFill="1" applyBorder="1" applyAlignment="1">
      <alignment horizontal="right" vertical="center"/>
    </xf>
    <xf numFmtId="168" fontId="7" fillId="48" borderId="1" xfId="0" applyNumberFormat="1" applyFont="1" applyFill="1" applyBorder="1" applyAlignment="1">
      <alignment horizontal="center" vertical="center"/>
    </xf>
    <xf numFmtId="2" fontId="7" fillId="48" borderId="1" xfId="0" applyNumberFormat="1" applyFont="1" applyFill="1" applyBorder="1" applyAlignment="1">
      <alignment horizontal="center" vertical="center"/>
    </xf>
    <xf numFmtId="171" fontId="7" fillId="48" borderId="1" xfId="144" applyNumberFormat="1" applyFont="1" applyFill="1" applyBorder="1" applyAlignment="1">
      <alignment horizontal="center" vertical="center"/>
    </xf>
    <xf numFmtId="14" fontId="23" fillId="2" borderId="25" xfId="96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74" fontId="0" fillId="2" borderId="1" xfId="0" applyNumberFormat="1" applyFill="1" applyBorder="1" applyAlignment="1">
      <alignment horizontal="center" vertical="center" wrapText="1"/>
    </xf>
    <xf numFmtId="171" fontId="0" fillId="0" borderId="0" xfId="0" applyNumberFormat="1"/>
    <xf numFmtId="170" fontId="0" fillId="0" borderId="0" xfId="0" applyNumberFormat="1"/>
    <xf numFmtId="0" fontId="15" fillId="49" borderId="6" xfId="12" applyFont="1" applyFill="1" applyBorder="1" applyAlignment="1">
      <alignment horizontal="center" vertical="center" wrapText="1"/>
    </xf>
    <xf numFmtId="10" fontId="15" fillId="49" borderId="4" xfId="144" applyNumberFormat="1" applyFont="1" applyFill="1" applyBorder="1" applyAlignment="1">
      <alignment horizontal="center" vertical="center" wrapText="1"/>
    </xf>
    <xf numFmtId="0" fontId="14" fillId="49" borderId="1" xfId="12" applyFill="1" applyBorder="1" applyAlignment="1">
      <alignment horizontal="center" vertical="center" wrapText="1"/>
    </xf>
    <xf numFmtId="10" fontId="14" fillId="49" borderId="4" xfId="144" applyNumberFormat="1" applyFont="1" applyFill="1" applyBorder="1" applyAlignment="1">
      <alignment vertical="center" wrapText="1"/>
    </xf>
    <xf numFmtId="1" fontId="14" fillId="49" borderId="4" xfId="144" applyNumberFormat="1" applyFont="1" applyFill="1" applyBorder="1" applyAlignment="1">
      <alignment horizontal="center" vertical="center" wrapText="1"/>
    </xf>
    <xf numFmtId="0" fontId="14" fillId="49" borderId="21" xfId="12" applyFill="1" applyBorder="1" applyAlignment="1">
      <alignment horizontal="center" vertical="center" wrapText="1"/>
    </xf>
    <xf numFmtId="0" fontId="15" fillId="49" borderId="1" xfId="12" applyFont="1" applyFill="1" applyBorder="1" applyAlignment="1">
      <alignment horizontal="center" vertical="center" wrapText="1"/>
    </xf>
    <xf numFmtId="1" fontId="15" fillId="49" borderId="1" xfId="12" applyNumberFormat="1" applyFont="1" applyFill="1" applyBorder="1" applyAlignment="1">
      <alignment horizontal="center" vertical="center" wrapText="1"/>
    </xf>
    <xf numFmtId="171" fontId="14" fillId="49" borderId="1" xfId="144" applyNumberFormat="1" applyFont="1" applyFill="1" applyBorder="1" applyAlignment="1">
      <alignment horizontal="left" vertical="center" wrapText="1"/>
    </xf>
    <xf numFmtId="171" fontId="14" fillId="49" borderId="1" xfId="12" applyNumberFormat="1" applyFill="1" applyBorder="1" applyAlignment="1">
      <alignment horizontal="center" vertical="center" wrapText="1"/>
    </xf>
    <xf numFmtId="171" fontId="14" fillId="49" borderId="1" xfId="144" applyNumberFormat="1" applyFont="1" applyFill="1" applyBorder="1" applyAlignment="1">
      <alignment horizontal="center" vertical="center" wrapText="1"/>
    </xf>
    <xf numFmtId="3" fontId="14" fillId="49" borderId="1" xfId="12" applyNumberFormat="1" applyFill="1" applyBorder="1" applyAlignment="1">
      <alignment horizontal="right" vertical="center" wrapText="1"/>
    </xf>
    <xf numFmtId="171" fontId="14" fillId="49" borderId="1" xfId="144" applyNumberFormat="1" applyFont="1" applyFill="1" applyBorder="1" applyAlignment="1">
      <alignment horizontal="right" vertical="center" wrapText="1"/>
    </xf>
    <xf numFmtId="171" fontId="15" fillId="49" borderId="1" xfId="12" applyNumberFormat="1" applyFont="1" applyFill="1" applyBorder="1" applyAlignment="1">
      <alignment horizontal="center" vertical="center" wrapText="1"/>
    </xf>
    <xf numFmtId="1" fontId="52" fillId="50" borderId="32" xfId="0" applyNumberFormat="1" applyFont="1" applyFill="1" applyBorder="1" applyAlignment="1">
      <alignment horizontal="center" vertical="center" wrapText="1"/>
    </xf>
    <xf numFmtId="0" fontId="52" fillId="50" borderId="33" xfId="0" applyFont="1" applyFill="1" applyBorder="1" applyAlignment="1">
      <alignment horizontal="center" vertical="center" wrapText="1"/>
    </xf>
    <xf numFmtId="0" fontId="52" fillId="50" borderId="34" xfId="0" applyFont="1" applyFill="1" applyBorder="1" applyAlignment="1">
      <alignment horizontal="center" vertical="center" wrapText="1"/>
    </xf>
    <xf numFmtId="1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168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 wrapText="1"/>
    </xf>
    <xf numFmtId="2" fontId="0" fillId="0" borderId="0" xfId="0" applyNumberFormat="1" applyAlignment="1">
      <alignment horizontal="right" vertical="center" wrapText="1"/>
    </xf>
    <xf numFmtId="0" fontId="11" fillId="0" borderId="0" xfId="0" applyFont="1" applyAlignment="1">
      <alignment horizontal="left" vertical="center" wrapText="1"/>
    </xf>
    <xf numFmtId="0" fontId="11" fillId="0" borderId="0" xfId="0" applyFont="1" applyAlignment="1">
      <alignment horizontal="center" vertical="center" wrapText="1"/>
    </xf>
    <xf numFmtId="168" fontId="11" fillId="0" borderId="0" xfId="0" applyNumberFormat="1" applyFont="1" applyAlignment="1">
      <alignment horizontal="left" vertical="center"/>
    </xf>
    <xf numFmtId="0" fontId="0" fillId="0" borderId="0" xfId="0" applyAlignment="1">
      <alignment horizontal="center"/>
    </xf>
    <xf numFmtId="1" fontId="9" fillId="0" borderId="0" xfId="0" applyNumberFormat="1" applyFont="1" applyAlignment="1">
      <alignment horizontal="left" vertical="center"/>
    </xf>
    <xf numFmtId="0" fontId="9" fillId="0" borderId="0" xfId="0" applyFont="1"/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/>
    </xf>
    <xf numFmtId="166" fontId="9" fillId="0" borderId="0" xfId="0" applyNumberFormat="1" applyFont="1"/>
    <xf numFmtId="1" fontId="43" fillId="0" borderId="8" xfId="0" applyNumberFormat="1" applyFont="1" applyBorder="1" applyAlignment="1">
      <alignment horizontal="center" vertical="center" wrapText="1"/>
    </xf>
    <xf numFmtId="166" fontId="22" fillId="0" borderId="8" xfId="0" applyNumberFormat="1" applyFont="1" applyBorder="1" applyAlignment="1">
      <alignment horizontal="center" vertical="center" wrapText="1"/>
    </xf>
    <xf numFmtId="10" fontId="43" fillId="0" borderId="8" xfId="97" applyNumberFormat="1" applyFont="1" applyFill="1" applyBorder="1" applyAlignment="1">
      <alignment horizontal="center" vertical="center" wrapText="1"/>
    </xf>
    <xf numFmtId="10" fontId="13" fillId="0" borderId="8" xfId="97" applyNumberFormat="1" applyFont="1" applyFill="1" applyBorder="1" applyAlignment="1">
      <alignment horizontal="center" vertical="center" wrapText="1"/>
    </xf>
    <xf numFmtId="0" fontId="0" fillId="0" borderId="38" xfId="0" applyBorder="1" applyAlignment="1">
      <alignment horizontal="center"/>
    </xf>
    <xf numFmtId="10" fontId="43" fillId="0" borderId="8" xfId="5" applyNumberFormat="1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2" fontId="0" fillId="0" borderId="0" xfId="0" applyNumberFormat="1"/>
    <xf numFmtId="0" fontId="22" fillId="0" borderId="23" xfId="96" applyFont="1" applyBorder="1" applyAlignment="1">
      <alignment vertical="center"/>
    </xf>
    <xf numFmtId="0" fontId="22" fillId="0" borderId="21" xfId="96" applyFont="1" applyBorder="1" applyAlignment="1">
      <alignment vertical="center"/>
    </xf>
    <xf numFmtId="166" fontId="22" fillId="0" borderId="21" xfId="96" applyNumberFormat="1" applyFont="1" applyBorder="1" applyAlignment="1">
      <alignment vertical="center"/>
    </xf>
    <xf numFmtId="165" fontId="22" fillId="0" borderId="21" xfId="144" applyFont="1" applyFill="1" applyBorder="1" applyAlignment="1">
      <alignment vertical="center"/>
    </xf>
    <xf numFmtId="167" fontId="22" fillId="0" borderId="21" xfId="96" applyNumberFormat="1" applyFont="1" applyBorder="1" applyAlignment="1">
      <alignment horizontal="right"/>
    </xf>
    <xf numFmtId="166" fontId="22" fillId="0" borderId="21" xfId="96" applyNumberFormat="1" applyFont="1" applyBorder="1" applyAlignment="1">
      <alignment horizontal="right"/>
    </xf>
    <xf numFmtId="0" fontId="0" fillId="0" borderId="1" xfId="0" applyBorder="1"/>
    <xf numFmtId="166" fontId="22" fillId="0" borderId="1" xfId="96" applyNumberFormat="1" applyFont="1" applyBorder="1" applyAlignment="1">
      <alignment horizontal="right"/>
    </xf>
    <xf numFmtId="14" fontId="22" fillId="0" borderId="1" xfId="96" applyNumberFormat="1" applyFont="1" applyBorder="1" applyAlignment="1">
      <alignment horizontal="left"/>
    </xf>
    <xf numFmtId="14" fontId="23" fillId="2" borderId="26" xfId="96" applyNumberFormat="1" applyFont="1" applyFill="1" applyBorder="1" applyAlignment="1">
      <alignment horizontal="center" vertical="center" wrapText="1"/>
    </xf>
    <xf numFmtId="174" fontId="23" fillId="2" borderId="8" xfId="96" applyNumberFormat="1" applyFont="1" applyFill="1" applyBorder="1" applyAlignment="1">
      <alignment horizontal="center" vertical="center" wrapText="1"/>
    </xf>
    <xf numFmtId="174" fontId="7" fillId="2" borderId="21" xfId="0" applyNumberFormat="1" applyFont="1" applyFill="1" applyBorder="1" applyAlignment="1">
      <alignment horizontal="center" vertical="center"/>
    </xf>
    <xf numFmtId="174" fontId="7" fillId="2" borderId="24" xfId="0" applyNumberFormat="1" applyFont="1" applyFill="1" applyBorder="1" applyAlignment="1">
      <alignment horizontal="center" vertical="center"/>
    </xf>
    <xf numFmtId="174" fontId="9" fillId="2" borderId="1" xfId="0" applyNumberFormat="1" applyFont="1" applyFill="1" applyBorder="1" applyAlignment="1">
      <alignment horizontal="left" vertical="center"/>
    </xf>
    <xf numFmtId="174" fontId="7" fillId="2" borderId="39" xfId="0" applyNumberFormat="1" applyFont="1" applyFill="1" applyBorder="1" applyAlignment="1">
      <alignment vertical="center"/>
    </xf>
    <xf numFmtId="174" fontId="0" fillId="2" borderId="1" xfId="0" applyNumberFormat="1" applyFill="1" applyBorder="1" applyAlignment="1">
      <alignment vertical="center"/>
    </xf>
    <xf numFmtId="10" fontId="0" fillId="2" borderId="1" xfId="0" applyNumberFormat="1" applyFill="1" applyBorder="1" applyAlignment="1">
      <alignment vertical="center"/>
    </xf>
    <xf numFmtId="174" fontId="9" fillId="2" borderId="0" xfId="0" applyNumberFormat="1" applyFont="1" applyFill="1" applyAlignment="1">
      <alignment horizontal="left" vertical="center"/>
    </xf>
    <xf numFmtId="0" fontId="11" fillId="2" borderId="16" xfId="3" applyFont="1" applyFill="1" applyBorder="1" applyAlignment="1" applyProtection="1">
      <alignment vertical="top" wrapText="1"/>
      <protection locked="0"/>
    </xf>
    <xf numFmtId="0" fontId="11" fillId="2" borderId="10" xfId="3" applyFont="1" applyFill="1" applyBorder="1" applyAlignment="1" applyProtection="1">
      <alignment vertical="top" wrapText="1"/>
      <protection locked="0"/>
    </xf>
    <xf numFmtId="0" fontId="11" fillId="2" borderId="7" xfId="3" applyFont="1" applyFill="1" applyBorder="1" applyAlignment="1" applyProtection="1">
      <alignment vertical="top" wrapText="1"/>
      <protection locked="0"/>
    </xf>
    <xf numFmtId="0" fontId="11" fillId="2" borderId="8" xfId="3" applyFont="1" applyFill="1" applyBorder="1" applyAlignment="1" applyProtection="1">
      <alignment vertical="top" wrapText="1"/>
      <protection locked="0"/>
    </xf>
    <xf numFmtId="0" fontId="11" fillId="2" borderId="9" xfId="3" applyFont="1" applyFill="1" applyBorder="1" applyAlignment="1" applyProtection="1">
      <alignment vertical="top" wrapText="1"/>
      <protection locked="0"/>
    </xf>
    <xf numFmtId="0" fontId="11" fillId="2" borderId="11" xfId="3" applyFont="1" applyFill="1" applyBorder="1" applyAlignment="1" applyProtection="1">
      <alignment vertical="top" wrapText="1"/>
      <protection locked="0"/>
    </xf>
    <xf numFmtId="168" fontId="11" fillId="2" borderId="12" xfId="3" applyNumberFormat="1" applyFont="1" applyFill="1" applyBorder="1" applyAlignment="1" applyProtection="1">
      <alignment horizontal="left" vertical="top"/>
      <protection locked="0"/>
    </xf>
    <xf numFmtId="168" fontId="11" fillId="2" borderId="22" xfId="3" applyNumberFormat="1" applyFont="1" applyFill="1" applyBorder="1" applyAlignment="1" applyProtection="1">
      <alignment horizontal="left" vertical="top"/>
      <protection locked="0"/>
    </xf>
    <xf numFmtId="167" fontId="11" fillId="2" borderId="9" xfId="3" applyNumberFormat="1" applyFont="1" applyFill="1" applyBorder="1" applyAlignment="1" applyProtection="1">
      <alignment horizontal="left" vertical="top"/>
      <protection locked="0"/>
    </xf>
    <xf numFmtId="167" fontId="11" fillId="2" borderId="11" xfId="3" applyNumberFormat="1" applyFont="1" applyFill="1" applyBorder="1" applyAlignment="1" applyProtection="1">
      <alignment horizontal="left" vertical="top"/>
      <protection locked="0"/>
    </xf>
    <xf numFmtId="0" fontId="11" fillId="2" borderId="7" xfId="3" applyFont="1" applyFill="1" applyBorder="1" applyAlignment="1" applyProtection="1">
      <alignment vertical="top"/>
      <protection locked="0"/>
    </xf>
    <xf numFmtId="0" fontId="11" fillId="2" borderId="8" xfId="3" applyFont="1" applyFill="1" applyBorder="1" applyAlignment="1" applyProtection="1">
      <alignment vertical="top"/>
      <protection locked="0"/>
    </xf>
    <xf numFmtId="0" fontId="11" fillId="2" borderId="9" xfId="3" applyFont="1" applyFill="1" applyBorder="1" applyAlignment="1" applyProtection="1">
      <alignment horizontal="left" vertical="top"/>
      <protection locked="0"/>
    </xf>
    <xf numFmtId="0" fontId="11" fillId="2" borderId="11" xfId="3" applyFont="1" applyFill="1" applyBorder="1" applyAlignment="1" applyProtection="1">
      <alignment horizontal="left" vertical="top"/>
      <protection locked="0"/>
    </xf>
    <xf numFmtId="0" fontId="42" fillId="0" borderId="27" xfId="0" applyFont="1" applyBorder="1" applyAlignment="1">
      <alignment horizontal="center" vertical="center" wrapText="1"/>
    </xf>
    <xf numFmtId="0" fontId="42" fillId="0" borderId="28" xfId="0" applyFont="1" applyBorder="1" applyAlignment="1">
      <alignment horizontal="center" vertical="center" wrapText="1"/>
    </xf>
    <xf numFmtId="0" fontId="42" fillId="0" borderId="29" xfId="0" applyFont="1" applyBorder="1" applyAlignment="1">
      <alignment horizontal="center" vertical="center" wrapText="1"/>
    </xf>
    <xf numFmtId="0" fontId="42" fillId="0" borderId="0" xfId="0" applyFont="1" applyAlignment="1">
      <alignment horizontal="center" vertical="center" wrapText="1"/>
    </xf>
    <xf numFmtId="0" fontId="42" fillId="0" borderId="30" xfId="0" applyFont="1" applyBorder="1" applyAlignment="1">
      <alignment horizontal="center" vertical="center" wrapText="1"/>
    </xf>
    <xf numFmtId="0" fontId="42" fillId="0" borderId="31" xfId="0" applyFont="1" applyBorder="1" applyAlignment="1">
      <alignment horizontal="center" vertical="center" wrapText="1"/>
    </xf>
    <xf numFmtId="0" fontId="38" fillId="15" borderId="2" xfId="0" applyFont="1" applyFill="1" applyBorder="1" applyAlignment="1">
      <alignment horizontal="center" vertical="center" wrapText="1"/>
    </xf>
    <xf numFmtId="0" fontId="38" fillId="15" borderId="3" xfId="0" applyFont="1" applyFill="1" applyBorder="1" applyAlignment="1">
      <alignment horizontal="center" vertical="center" wrapText="1"/>
    </xf>
    <xf numFmtId="0" fontId="38" fillId="15" borderId="4" xfId="0" applyFont="1" applyFill="1" applyBorder="1" applyAlignment="1">
      <alignment horizontal="center" vertical="center" wrapText="1"/>
    </xf>
    <xf numFmtId="0" fontId="42" fillId="0" borderId="2" xfId="0" applyFont="1" applyBorder="1" applyAlignment="1">
      <alignment horizontal="center" vertical="center" wrapText="1"/>
    </xf>
    <xf numFmtId="0" fontId="42" fillId="0" borderId="3" xfId="0" applyFont="1" applyBorder="1" applyAlignment="1">
      <alignment horizontal="center" vertical="center" wrapText="1"/>
    </xf>
    <xf numFmtId="0" fontId="42" fillId="0" borderId="4" xfId="0" applyFont="1" applyBorder="1" applyAlignment="1">
      <alignment horizontal="center" vertical="center" wrapText="1"/>
    </xf>
    <xf numFmtId="0" fontId="36" fillId="0" borderId="1" xfId="0" applyFont="1" applyBorder="1" applyAlignment="1">
      <alignment horizontal="center" vertical="center" wrapText="1"/>
    </xf>
    <xf numFmtId="0" fontId="39" fillId="14" borderId="1" xfId="12" applyFont="1" applyFill="1" applyBorder="1" applyAlignment="1">
      <alignment horizontal="center" vertical="center" wrapText="1"/>
    </xf>
    <xf numFmtId="0" fontId="23" fillId="0" borderId="1" xfId="12" applyFont="1" applyBorder="1" applyAlignment="1">
      <alignment horizontal="center" vertical="center" wrapText="1"/>
    </xf>
    <xf numFmtId="0" fontId="22" fillId="0" borderId="1" xfId="12" applyFont="1" applyBorder="1" applyAlignment="1">
      <alignment horizontal="center" vertical="center" wrapText="1"/>
    </xf>
    <xf numFmtId="0" fontId="33" fillId="14" borderId="0" xfId="12" applyFont="1" applyFill="1" applyAlignment="1">
      <alignment horizontal="center" vertical="center" wrapText="1"/>
    </xf>
    <xf numFmtId="0" fontId="33" fillId="14" borderId="19" xfId="12" applyFont="1" applyFill="1" applyBorder="1" applyAlignment="1">
      <alignment horizontal="center" vertical="center" wrapText="1"/>
    </xf>
    <xf numFmtId="0" fontId="33" fillId="14" borderId="2" xfId="12" applyFont="1" applyFill="1" applyBorder="1" applyAlignment="1">
      <alignment horizontal="center" vertical="center" wrapText="1"/>
    </xf>
    <xf numFmtId="0" fontId="33" fillId="14" borderId="3" xfId="12" applyFont="1" applyFill="1" applyBorder="1" applyAlignment="1">
      <alignment horizontal="center" vertical="center" wrapText="1"/>
    </xf>
    <xf numFmtId="0" fontId="15" fillId="0" borderId="0" xfId="12" applyFont="1" applyAlignment="1">
      <alignment horizontal="center" vertical="center" wrapText="1"/>
    </xf>
    <xf numFmtId="0" fontId="15" fillId="0" borderId="19" xfId="12" applyFont="1" applyBorder="1" applyAlignment="1">
      <alignment horizontal="center" vertical="center" wrapText="1"/>
    </xf>
    <xf numFmtId="0" fontId="15" fillId="0" borderId="2" xfId="12" applyFont="1" applyBorder="1" applyAlignment="1">
      <alignment horizontal="left" vertical="center" wrapText="1"/>
    </xf>
    <xf numFmtId="0" fontId="15" fillId="0" borderId="3" xfId="12" applyFont="1" applyBorder="1" applyAlignment="1">
      <alignment horizontal="left" vertical="center" wrapText="1"/>
    </xf>
    <xf numFmtId="0" fontId="14" fillId="0" borderId="2" xfId="12" applyBorder="1" applyAlignment="1">
      <alignment horizontal="center" vertical="center" wrapText="1"/>
    </xf>
    <xf numFmtId="0" fontId="14" fillId="0" borderId="3" xfId="12" applyBorder="1" applyAlignment="1">
      <alignment horizontal="center" vertical="center" wrapText="1"/>
    </xf>
    <xf numFmtId="0" fontId="35" fillId="15" borderId="1" xfId="0" applyFont="1" applyFill="1" applyBorder="1" applyAlignment="1">
      <alignment horizontal="center" vertical="center" wrapText="1"/>
    </xf>
    <xf numFmtId="0" fontId="14" fillId="49" borderId="1" xfId="12" applyFill="1" applyBorder="1" applyAlignment="1">
      <alignment horizontal="center" vertical="center" wrapText="1"/>
    </xf>
    <xf numFmtId="0" fontId="14" fillId="0" borderId="21" xfId="12" applyBorder="1" applyAlignment="1">
      <alignment horizontal="left" vertical="center" wrapText="1"/>
    </xf>
    <xf numFmtId="0" fontId="14" fillId="0" borderId="20" xfId="12" applyBorder="1" applyAlignment="1">
      <alignment horizontal="left" vertical="center" wrapText="1"/>
    </xf>
    <xf numFmtId="168" fontId="14" fillId="0" borderId="21" xfId="12" applyNumberFormat="1" applyBorder="1" applyAlignment="1">
      <alignment horizontal="center" vertical="center" wrapText="1"/>
    </xf>
    <xf numFmtId="168" fontId="14" fillId="0" borderId="20" xfId="12" applyNumberFormat="1" applyBorder="1" applyAlignment="1">
      <alignment horizontal="center" vertical="center" wrapText="1"/>
    </xf>
    <xf numFmtId="0" fontId="23" fillId="0" borderId="9" xfId="0" applyFont="1" applyBorder="1" applyAlignment="1">
      <alignment horizontal="center" vertical="center" wrapText="1"/>
    </xf>
    <xf numFmtId="0" fontId="23" fillId="0" borderId="3" xfId="0" applyFont="1" applyBorder="1" applyAlignment="1">
      <alignment horizontal="center" vertical="center" wrapText="1"/>
    </xf>
    <xf numFmtId="0" fontId="23" fillId="0" borderId="4" xfId="0" applyFont="1" applyBorder="1" applyAlignment="1">
      <alignment horizontal="center" vertical="center" wrapText="1"/>
    </xf>
    <xf numFmtId="0" fontId="9" fillId="13" borderId="16" xfId="12" applyFont="1" applyFill="1" applyBorder="1" applyAlignment="1">
      <alignment horizontal="center" vertical="center" wrapText="1"/>
    </xf>
    <xf numFmtId="0" fontId="9" fillId="13" borderId="35" xfId="12" applyFont="1" applyFill="1" applyBorder="1" applyAlignment="1">
      <alignment horizontal="center" vertical="center" wrapText="1"/>
    </xf>
    <xf numFmtId="0" fontId="9" fillId="13" borderId="10" xfId="12" applyFont="1" applyFill="1" applyBorder="1" applyAlignment="1">
      <alignment horizontal="center" vertical="center" wrapText="1"/>
    </xf>
    <xf numFmtId="0" fontId="42" fillId="0" borderId="9" xfId="0" applyFont="1" applyBorder="1" applyAlignment="1">
      <alignment horizontal="center" vertical="center" wrapText="1"/>
    </xf>
    <xf numFmtId="0" fontId="42" fillId="0" borderId="12" xfId="0" applyFont="1" applyBorder="1" applyAlignment="1">
      <alignment horizontal="center" vertical="center" wrapText="1"/>
    </xf>
    <xf numFmtId="0" fontId="42" fillId="0" borderId="36" xfId="0" applyFont="1" applyBorder="1" applyAlignment="1">
      <alignment horizontal="center" vertical="center" wrapText="1"/>
    </xf>
    <xf numFmtId="0" fontId="42" fillId="0" borderId="37" xfId="0" applyFont="1" applyBorder="1" applyAlignment="1">
      <alignment horizontal="center" vertical="center" wrapText="1"/>
    </xf>
    <xf numFmtId="0" fontId="9" fillId="0" borderId="16" xfId="12" applyFont="1" applyBorder="1" applyAlignment="1">
      <alignment horizontal="center" vertical="center" wrapText="1"/>
    </xf>
    <xf numFmtId="0" fontId="9" fillId="0" borderId="35" xfId="12" applyFont="1" applyBorder="1" applyAlignment="1">
      <alignment horizontal="center" vertical="center" wrapText="1"/>
    </xf>
    <xf numFmtId="0" fontId="9" fillId="0" borderId="10" xfId="12" applyFont="1" applyBorder="1" applyAlignment="1">
      <alignment horizontal="center" vertical="center" wrapText="1"/>
    </xf>
    <xf numFmtId="0" fontId="32" fillId="2" borderId="6" xfId="0" applyFont="1" applyFill="1" applyBorder="1" applyAlignment="1">
      <alignment horizontal="center" vertical="center"/>
    </xf>
    <xf numFmtId="0" fontId="32" fillId="2" borderId="1" xfId="0" applyFont="1" applyFill="1" applyBorder="1" applyAlignment="1">
      <alignment horizontal="center" vertical="center"/>
    </xf>
  </cellXfs>
  <cellStyles count="146">
    <cellStyle name="Comma" xfId="144" builtinId="3"/>
    <cellStyle name="Comma 2" xfId="11" xr:uid="{00000000-0005-0000-0000-000001000000}"/>
    <cellStyle name="Comma 2 2" xfId="65" xr:uid="{00000000-0005-0000-0000-000002000000}"/>
    <cellStyle name="Comma 2 2 2" xfId="71" xr:uid="{00000000-0005-0000-0000-000003000000}"/>
    <cellStyle name="Comma 2 2 3" xfId="98" xr:uid="{00000000-0005-0000-0000-000004000000}"/>
    <cellStyle name="Comma 2 3" xfId="72" xr:uid="{00000000-0005-0000-0000-000005000000}"/>
    <cellStyle name="Comma 3" xfId="25" xr:uid="{00000000-0005-0000-0000-000006000000}"/>
    <cellStyle name="Comma 3 2" xfId="27" xr:uid="{00000000-0005-0000-0000-000007000000}"/>
    <cellStyle name="Comma 3 2 2" xfId="28" xr:uid="{00000000-0005-0000-0000-000008000000}"/>
    <cellStyle name="Comma 3 2 3" xfId="29" xr:uid="{00000000-0005-0000-0000-000009000000}"/>
    <cellStyle name="Comma 3 3" xfId="30" xr:uid="{00000000-0005-0000-0000-00000A000000}"/>
    <cellStyle name="Comma 3 3 2" xfId="31" xr:uid="{00000000-0005-0000-0000-00000B000000}"/>
    <cellStyle name="Comma 3 3 3" xfId="32" xr:uid="{00000000-0005-0000-0000-00000C000000}"/>
    <cellStyle name="Comma 3 4" xfId="33" xr:uid="{00000000-0005-0000-0000-00000D000000}"/>
    <cellStyle name="Comma 3 5" xfId="34" xr:uid="{00000000-0005-0000-0000-00000E000000}"/>
    <cellStyle name="Comma 4" xfId="35" xr:uid="{00000000-0005-0000-0000-00000F000000}"/>
    <cellStyle name="Comma 5" xfId="14" xr:uid="{00000000-0005-0000-0000-000010000000}"/>
    <cellStyle name="Comma 5 2" xfId="15" xr:uid="{00000000-0005-0000-0000-000011000000}"/>
    <cellStyle name="Currency 2" xfId="36" xr:uid="{00000000-0005-0000-0000-000012000000}"/>
    <cellStyle name="Currency 2 2" xfId="37" xr:uid="{00000000-0005-0000-0000-000013000000}"/>
    <cellStyle name="Currency 3" xfId="38" xr:uid="{00000000-0005-0000-0000-000014000000}"/>
    <cellStyle name="Currency 4" xfId="39" xr:uid="{00000000-0005-0000-0000-000015000000}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Hyperlink 2" xfId="1" xr:uid="{00000000-0005-0000-0000-00005A000000}"/>
    <cellStyle name="Hyperlink 3" xfId="26" xr:uid="{00000000-0005-0000-0000-00005B000000}"/>
    <cellStyle name="Moneda 2 2" xfId="73" xr:uid="{00000000-0005-0000-0000-00005C000000}"/>
    <cellStyle name="Normal" xfId="0" builtinId="0"/>
    <cellStyle name="Normal 10" xfId="74" xr:uid="{00000000-0005-0000-0000-00005E000000}"/>
    <cellStyle name="Normal 10 2" xfId="2" xr:uid="{00000000-0005-0000-0000-00005F000000}"/>
    <cellStyle name="Normal 2" xfId="3" xr:uid="{00000000-0005-0000-0000-000060000000}"/>
    <cellStyle name="Normal 2 2" xfId="7" xr:uid="{00000000-0005-0000-0000-000061000000}"/>
    <cellStyle name="Normal 2 2 2" xfId="16" xr:uid="{00000000-0005-0000-0000-000062000000}"/>
    <cellStyle name="Normal 2 2 2 2" xfId="17" xr:uid="{00000000-0005-0000-0000-000063000000}"/>
    <cellStyle name="Normal 2 2 3" xfId="18" xr:uid="{00000000-0005-0000-0000-000064000000}"/>
    <cellStyle name="Normal 2 3" xfId="8" xr:uid="{00000000-0005-0000-0000-000065000000}"/>
    <cellStyle name="Normal 3" xfId="10" xr:uid="{00000000-0005-0000-0000-000066000000}"/>
    <cellStyle name="Normal 3 2" xfId="12" xr:uid="{00000000-0005-0000-0000-000067000000}"/>
    <cellStyle name="Normal 3 2 2" xfId="9" xr:uid="{00000000-0005-0000-0000-000068000000}"/>
    <cellStyle name="Normal 3 3" xfId="19" xr:uid="{00000000-0005-0000-0000-000069000000}"/>
    <cellStyle name="Normal 3 3 2" xfId="20" xr:uid="{00000000-0005-0000-0000-00006A000000}"/>
    <cellStyle name="Normal 3 4" xfId="40" xr:uid="{00000000-0005-0000-0000-00006B000000}"/>
    <cellStyle name="Normal 3 5" xfId="41" xr:uid="{00000000-0005-0000-0000-00006C000000}"/>
    <cellStyle name="Normal 4" xfId="4" xr:uid="{00000000-0005-0000-0000-00006D000000}"/>
    <cellStyle name="Normal 4 2" xfId="21" xr:uid="{00000000-0005-0000-0000-00006E000000}"/>
    <cellStyle name="Normal 4 3" xfId="42" xr:uid="{00000000-0005-0000-0000-00006F000000}"/>
    <cellStyle name="Normal 4 4" xfId="63" xr:uid="{00000000-0005-0000-0000-000070000000}"/>
    <cellStyle name="Normal 4 4 2" xfId="96" xr:uid="{00000000-0005-0000-0000-000071000000}"/>
    <cellStyle name="Normal 5" xfId="43" xr:uid="{00000000-0005-0000-0000-000072000000}"/>
    <cellStyle name="Normal 6" xfId="44" xr:uid="{00000000-0005-0000-0000-000073000000}"/>
    <cellStyle name="Normal 6 2" xfId="45" xr:uid="{00000000-0005-0000-0000-000074000000}"/>
    <cellStyle name="Normal 6 2 2" xfId="46" xr:uid="{00000000-0005-0000-0000-000075000000}"/>
    <cellStyle name="Normal 6 2 3" xfId="47" xr:uid="{00000000-0005-0000-0000-000076000000}"/>
    <cellStyle name="Normal 6 3" xfId="48" xr:uid="{00000000-0005-0000-0000-000077000000}"/>
    <cellStyle name="Normal 6 3 2" xfId="49" xr:uid="{00000000-0005-0000-0000-000078000000}"/>
    <cellStyle name="Normal 6 3 3" xfId="50" xr:uid="{00000000-0005-0000-0000-000079000000}"/>
    <cellStyle name="Normal 6 4" xfId="51" xr:uid="{00000000-0005-0000-0000-00007A000000}"/>
    <cellStyle name="Normal 6 5" xfId="52" xr:uid="{00000000-0005-0000-0000-00007B000000}"/>
    <cellStyle name="Normal 7" xfId="53" xr:uid="{00000000-0005-0000-0000-00007C000000}"/>
    <cellStyle name="Normal 8" xfId="54" xr:uid="{00000000-0005-0000-0000-00007D000000}"/>
    <cellStyle name="Normal 9" xfId="75" xr:uid="{00000000-0005-0000-0000-00007E000000}"/>
    <cellStyle name="Normal_Sheet1" xfId="145" xr:uid="{00000000-0005-0000-0000-00007F000000}"/>
    <cellStyle name="Note 2" xfId="76" xr:uid="{00000000-0005-0000-0000-000080000000}"/>
    <cellStyle name="Per cent" xfId="5" builtinId="5"/>
    <cellStyle name="Percent 2" xfId="13" xr:uid="{00000000-0005-0000-0000-000082000000}"/>
    <cellStyle name="Percent 2 2" xfId="22" xr:uid="{00000000-0005-0000-0000-000083000000}"/>
    <cellStyle name="Percent 2 2 2" xfId="64" xr:uid="{00000000-0005-0000-0000-000084000000}"/>
    <cellStyle name="Percent 2 2 2 2" xfId="97" xr:uid="{00000000-0005-0000-0000-000085000000}"/>
    <cellStyle name="Percent 3" xfId="6" xr:uid="{00000000-0005-0000-0000-000086000000}"/>
    <cellStyle name="Percent 3 2" xfId="23" xr:uid="{00000000-0005-0000-0000-000087000000}"/>
    <cellStyle name="Percent 3 2 2" xfId="55" xr:uid="{00000000-0005-0000-0000-000088000000}"/>
    <cellStyle name="Percent 3 2 3" xfId="56" xr:uid="{00000000-0005-0000-0000-000089000000}"/>
    <cellStyle name="Percent 3 3" xfId="57" xr:uid="{00000000-0005-0000-0000-00008A000000}"/>
    <cellStyle name="Percent 3 3 2" xfId="58" xr:uid="{00000000-0005-0000-0000-00008B000000}"/>
    <cellStyle name="Percent 3 3 3" xfId="59" xr:uid="{00000000-0005-0000-0000-00008C000000}"/>
    <cellStyle name="Percent 3 4" xfId="60" xr:uid="{00000000-0005-0000-0000-00008D000000}"/>
    <cellStyle name="Percent 3 5" xfId="61" xr:uid="{00000000-0005-0000-0000-00008E000000}"/>
    <cellStyle name="Percent 4" xfId="24" xr:uid="{00000000-0005-0000-0000-00008F000000}"/>
    <cellStyle name="Percent 5" xfId="62" xr:uid="{00000000-0005-0000-0000-000090000000}"/>
    <cellStyle name="Título 4" xfId="77" xr:uid="{00000000-0005-0000-0000-000091000000}"/>
  </cellStyles>
  <dxfs count="0"/>
  <tableStyles count="0" defaultTableStyle="TableStyleMedium9" defaultPivotStyle="PivotStyleLight16"/>
  <colors>
    <mruColors>
      <color rgb="FFFAF8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10" Type="http://schemas.openxmlformats.org/officeDocument/2006/relationships/externalLink" Target="externalLinks/externalLink6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Matt%20Evans\My%20Documents\My%20Dropbox\All%20Projects\Paradigm%20Kenya\Modeling\Updated%20Project%20P%20and%20L.fixed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Volumes\Local%20Disc%20(D)\Climate%20Secure\Honduras\MRV\Airheads-togvda\ceihd\Projects\Project%20Templates\Carbon%20Documentation\China%20Program\Carbon%20Program\Offset%20projections\Aggregate%20China%20Projection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inesh.naidu\AppData\Local\Microsoft\Windows\INetCache\Content.Outlook\D0AXV9IC\efficiency%20calculator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A3\Documents\SugarSync%20Shared%20Folders\Carsten%20Jung\Carbon%20Africa%20UG%20+RW\03_CDM%20Projects\Envirofit%20Ghana\13%20Monitoring%20Period%201\ER%20calculations%20Ex%20Post\ER%20and%20sample%20size\2014%2008%2003%20Ex%20post%20ER%20calc%20v0.7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radhika\Projects\Bangladesh%20Poa\Validation%20with%20new%20meth\Docs%20sent%20to%20TUV%20SUD_25042011\Revised%20docs\ICS_Bangladesh%20CER%20%20Calcs_RT_2104201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limate%20Secure\Nigeria\CPA0005%20response\Round%201\CPA%20Distribution%20Record%20CPA0005%202207201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arameters"/>
      <sheetName val="HH Carbon Calculator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ngchang Stove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eneral Information"/>
      <sheetName val="Test-1"/>
      <sheetName val="Test-2"/>
      <sheetName val="Test-3"/>
      <sheetName val="Results"/>
      <sheetName val="Fuel Moisture"/>
      <sheetName val="Calorific values"/>
      <sheetName val="List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3">
          <cell r="B3">
            <v>1</v>
          </cell>
          <cell r="C3" t="str">
            <v>(Select from list)</v>
          </cell>
          <cell r="D3" t="str">
            <v>(select from list or use defalut value of 20,000 MJ/kg)</v>
          </cell>
        </row>
        <row r="4">
          <cell r="B4">
            <v>2</v>
          </cell>
          <cell r="C4" t="str">
            <v>LPG</v>
          </cell>
          <cell r="I4">
            <v>48000</v>
          </cell>
          <cell r="K4">
            <v>44700</v>
          </cell>
          <cell r="L4">
            <v>0</v>
          </cell>
          <cell r="M4">
            <v>0.81799999999999995</v>
          </cell>
        </row>
        <row r="5">
          <cell r="B5">
            <v>3</v>
          </cell>
          <cell r="C5" t="str">
            <v>Kerosene</v>
          </cell>
          <cell r="I5">
            <v>43300</v>
          </cell>
          <cell r="K5">
            <v>39700</v>
          </cell>
          <cell r="L5">
            <v>0</v>
          </cell>
          <cell r="M5">
            <v>0.84499999999999997</v>
          </cell>
        </row>
        <row r="6">
          <cell r="B6">
            <v>4</v>
          </cell>
          <cell r="C6" t="str">
            <v>Ethanol</v>
          </cell>
          <cell r="I6">
            <v>29800</v>
          </cell>
          <cell r="K6">
            <v>26700</v>
          </cell>
          <cell r="L6">
            <v>0</v>
          </cell>
          <cell r="M6">
            <v>0.52200000000000002</v>
          </cell>
        </row>
        <row r="7">
          <cell r="B7">
            <v>5</v>
          </cell>
          <cell r="C7" t="str">
            <v>Methanol</v>
          </cell>
          <cell r="I7">
            <v>22700</v>
          </cell>
          <cell r="K7">
            <v>21100</v>
          </cell>
          <cell r="L7">
            <v>0</v>
          </cell>
          <cell r="M7">
            <v>0.375</v>
          </cell>
        </row>
        <row r="8">
          <cell r="B8">
            <v>6</v>
          </cell>
          <cell r="C8" t="str">
            <v>Charcoal</v>
          </cell>
          <cell r="I8">
            <v>31000</v>
          </cell>
          <cell r="K8">
            <v>29800</v>
          </cell>
          <cell r="L8">
            <v>29800</v>
          </cell>
          <cell r="M8">
            <v>0.95</v>
          </cell>
        </row>
        <row r="9">
          <cell r="B9">
            <v>7</v>
          </cell>
          <cell r="C9" t="str">
            <v>Coal</v>
          </cell>
          <cell r="I9">
            <v>24700</v>
          </cell>
          <cell r="K9">
            <v>23500</v>
          </cell>
          <cell r="L9">
            <v>29500</v>
          </cell>
          <cell r="M9">
            <v>0.75</v>
          </cell>
        </row>
        <row r="10">
          <cell r="B10">
            <v>8</v>
          </cell>
          <cell r="C10" t="str">
            <v>Crop residues</v>
          </cell>
          <cell r="I10">
            <v>14700</v>
          </cell>
          <cell r="K10">
            <v>13380</v>
          </cell>
          <cell r="L10">
            <v>29500</v>
          </cell>
          <cell r="M10">
            <v>0.5</v>
          </cell>
        </row>
        <row r="11">
          <cell r="B11">
            <v>9</v>
          </cell>
          <cell r="C11" t="str">
            <v>Dung</v>
          </cell>
          <cell r="I11">
            <v>13600</v>
          </cell>
          <cell r="K11">
            <v>12280</v>
          </cell>
          <cell r="L11">
            <v>29500</v>
          </cell>
          <cell r="M11">
            <v>0.5</v>
          </cell>
        </row>
        <row r="12">
          <cell r="B12">
            <v>10</v>
          </cell>
          <cell r="C12" t="str">
            <v>Average Hardwood</v>
          </cell>
          <cell r="D12" t="str">
            <v>Average Hardwood</v>
          </cell>
          <cell r="I12">
            <v>19734</v>
          </cell>
          <cell r="K12">
            <v>18414</v>
          </cell>
          <cell r="L12">
            <v>29500</v>
          </cell>
          <cell r="M12">
            <v>0.5</v>
          </cell>
        </row>
        <row r="13">
          <cell r="B13">
            <v>11</v>
          </cell>
          <cell r="C13" t="str">
            <v>Average Softwood (Conifer)</v>
          </cell>
          <cell r="D13" t="str">
            <v>Average Softwood (conifer)</v>
          </cell>
          <cell r="I13">
            <v>20817</v>
          </cell>
          <cell r="K13">
            <v>19497</v>
          </cell>
          <cell r="L13">
            <v>29500</v>
          </cell>
          <cell r="M13">
            <v>0.5</v>
          </cell>
        </row>
        <row r="14">
          <cell r="B14">
            <v>12</v>
          </cell>
          <cell r="C14" t="str">
            <v>Abies Balsamea (Balsam Fir)</v>
          </cell>
          <cell r="D14" t="str">
            <v>Abies Balsamea</v>
          </cell>
          <cell r="E14" t="str">
            <v>balsam fir</v>
          </cell>
          <cell r="I14">
            <v>18916.150000000001</v>
          </cell>
          <cell r="K14">
            <v>17596.150000000001</v>
          </cell>
          <cell r="L14">
            <v>29500</v>
          </cell>
          <cell r="M14">
            <v>0.5</v>
          </cell>
        </row>
        <row r="15">
          <cell r="B15">
            <v>13</v>
          </cell>
          <cell r="C15" t="str">
            <v>Acacia Auriculiformis (Ear-Leaf Acacia, Ear-Pod Wattle)</v>
          </cell>
          <cell r="D15" t="str">
            <v>Acacia Auriculiformis</v>
          </cell>
          <cell r="E15" t="str">
            <v>ear-leaf acacia, ear-pod wattle</v>
          </cell>
          <cell r="F15">
            <v>4800</v>
          </cell>
          <cell r="G15">
            <v>4900</v>
          </cell>
          <cell r="H15">
            <v>4850</v>
          </cell>
          <cell r="I15">
            <v>20370</v>
          </cell>
          <cell r="K15">
            <v>19050</v>
          </cell>
          <cell r="L15">
            <v>29500</v>
          </cell>
          <cell r="M15">
            <v>0.5</v>
          </cell>
        </row>
        <row r="16">
          <cell r="B16">
            <v>14</v>
          </cell>
          <cell r="C16" t="str">
            <v>Acacia Decurrens  (King Wattle, Green Wattle, Sydney Black Wattle)</v>
          </cell>
          <cell r="D16" t="str">
            <v xml:space="preserve">Acacia Decurrens </v>
          </cell>
          <cell r="E16" t="str">
            <v>king wattle, green wattle, Sydney black wattle</v>
          </cell>
          <cell r="I16">
            <v>18700</v>
          </cell>
          <cell r="K16">
            <v>17380</v>
          </cell>
          <cell r="L16">
            <v>29500</v>
          </cell>
          <cell r="M16">
            <v>0.5</v>
          </cell>
        </row>
        <row r="17">
          <cell r="B17">
            <v>15</v>
          </cell>
          <cell r="C17" t="str">
            <v>Acacia Farnesiana (Sweet Acacia, Sweet Wattle)</v>
          </cell>
          <cell r="D17" t="str">
            <v>Acacia Farnesiana</v>
          </cell>
          <cell r="E17" t="str">
            <v>sweet acacia, sweet wattle</v>
          </cell>
          <cell r="I17">
            <v>19200</v>
          </cell>
          <cell r="K17">
            <v>17880</v>
          </cell>
          <cell r="L17">
            <v>29500</v>
          </cell>
          <cell r="M17">
            <v>0.5</v>
          </cell>
        </row>
        <row r="18">
          <cell r="B18">
            <v>16</v>
          </cell>
          <cell r="C18" t="str">
            <v>Acacia Leucophloea (Kikar, Kuteeera Gum)</v>
          </cell>
          <cell r="D18" t="str">
            <v>Acacia Leucophloea</v>
          </cell>
          <cell r="E18" t="str">
            <v>kikar, kuteeera gum</v>
          </cell>
          <cell r="I18">
            <v>21800</v>
          </cell>
          <cell r="K18">
            <v>20480</v>
          </cell>
          <cell r="L18">
            <v>29500</v>
          </cell>
          <cell r="M18">
            <v>0.5</v>
          </cell>
        </row>
        <row r="19">
          <cell r="B19">
            <v>17</v>
          </cell>
          <cell r="C19" t="str">
            <v>Acacia Mearnsi  (Black Wattle)</v>
          </cell>
          <cell r="D19" t="str">
            <v xml:space="preserve">Acacia Mearnsi </v>
          </cell>
          <cell r="E19" t="str">
            <v>black wattle</v>
          </cell>
          <cell r="F19">
            <v>4650</v>
          </cell>
          <cell r="H19">
            <v>4650</v>
          </cell>
          <cell r="I19">
            <v>19530</v>
          </cell>
          <cell r="K19">
            <v>18210</v>
          </cell>
          <cell r="L19">
            <v>29500</v>
          </cell>
          <cell r="M19">
            <v>0.5</v>
          </cell>
        </row>
        <row r="20">
          <cell r="B20">
            <v>18</v>
          </cell>
          <cell r="C20" t="str">
            <v>Acacia Nilotica (Egyptian Thorn, Babul (India), Babar (Pakistan))</v>
          </cell>
          <cell r="D20" t="str">
            <v>Acacia Nilotica</v>
          </cell>
          <cell r="E20" t="str">
            <v>egyptian thorn, babul (India), babar (Pakistan)</v>
          </cell>
          <cell r="F20">
            <v>4800</v>
          </cell>
          <cell r="G20">
            <v>4950</v>
          </cell>
          <cell r="H20">
            <v>4875</v>
          </cell>
          <cell r="I20">
            <v>20475</v>
          </cell>
          <cell r="K20">
            <v>19155</v>
          </cell>
          <cell r="L20">
            <v>29500</v>
          </cell>
          <cell r="M20">
            <v>0.5</v>
          </cell>
        </row>
        <row r="21">
          <cell r="B21">
            <v>19</v>
          </cell>
          <cell r="C21" t="str">
            <v>Acacia Tortilis (Umbrella Thorn)</v>
          </cell>
          <cell r="D21" t="str">
            <v>Acacia Tortilis</v>
          </cell>
          <cell r="E21" t="str">
            <v>umbrella thorn</v>
          </cell>
          <cell r="F21">
            <v>4400</v>
          </cell>
          <cell r="H21">
            <v>4400</v>
          </cell>
          <cell r="I21">
            <v>18480</v>
          </cell>
          <cell r="K21">
            <v>17160</v>
          </cell>
          <cell r="L21">
            <v>29500</v>
          </cell>
          <cell r="M21">
            <v>0.5</v>
          </cell>
        </row>
        <row r="22">
          <cell r="B22">
            <v>20</v>
          </cell>
          <cell r="C22" t="str">
            <v>Acer Rubrum (Red Maple)</v>
          </cell>
          <cell r="D22" t="str">
            <v>Acer Rubrum</v>
          </cell>
          <cell r="E22" t="str">
            <v>red maple</v>
          </cell>
          <cell r="I22">
            <v>18544.79</v>
          </cell>
          <cell r="J22" t="str">
            <v>dry</v>
          </cell>
          <cell r="K22">
            <v>17224.79</v>
          </cell>
          <cell r="L22">
            <v>29500</v>
          </cell>
          <cell r="M22">
            <v>0.5</v>
          </cell>
        </row>
        <row r="23">
          <cell r="B23">
            <v>21</v>
          </cell>
          <cell r="C23" t="str">
            <v>Albizia Falcataria (Batai, Malucca Albizia, ,Placata)</v>
          </cell>
          <cell r="D23" t="str">
            <v>Albizia Falcataria</v>
          </cell>
          <cell r="E23" t="str">
            <v>batai, malucca albizia, ,placata</v>
          </cell>
          <cell r="I23">
            <v>18100</v>
          </cell>
          <cell r="K23">
            <v>16780</v>
          </cell>
          <cell r="L23">
            <v>29500</v>
          </cell>
          <cell r="M23">
            <v>0.5</v>
          </cell>
        </row>
        <row r="24">
          <cell r="B24">
            <v>22</v>
          </cell>
          <cell r="C24" t="str">
            <v xml:space="preserve">Albizia Lebbek (Lebbek, East Indian Walnut Tree) </v>
          </cell>
          <cell r="D24" t="str">
            <v>Albizia Lebbek</v>
          </cell>
          <cell r="E24" t="str">
            <v xml:space="preserve">lebbek, East Indian walnut tree; </v>
          </cell>
          <cell r="F24">
            <v>5200</v>
          </cell>
          <cell r="H24">
            <v>5200</v>
          </cell>
          <cell r="I24">
            <v>21840</v>
          </cell>
          <cell r="K24">
            <v>20520</v>
          </cell>
          <cell r="L24">
            <v>29500</v>
          </cell>
          <cell r="M24">
            <v>0.5</v>
          </cell>
        </row>
        <row r="25">
          <cell r="B25">
            <v>23</v>
          </cell>
          <cell r="C25" t="str">
            <v>Albizia Procera (Albicia, Silver Bark Rain Tree)</v>
          </cell>
          <cell r="D25" t="str">
            <v>Albizia Procera</v>
          </cell>
          <cell r="E25" t="str">
            <v>albicia, silver bark rain tree</v>
          </cell>
          <cell r="I25">
            <v>19700</v>
          </cell>
          <cell r="K25">
            <v>18380</v>
          </cell>
          <cell r="L25">
            <v>29500</v>
          </cell>
          <cell r="M25">
            <v>0.5</v>
          </cell>
        </row>
        <row r="26">
          <cell r="B26">
            <v>24</v>
          </cell>
          <cell r="C26" t="str">
            <v>Alnus Nepalensis (Nepal Alder)</v>
          </cell>
          <cell r="D26" t="str">
            <v>Alnus Nepalensis</v>
          </cell>
          <cell r="E26" t="str">
            <v>Nepal alder</v>
          </cell>
          <cell r="I26">
            <v>17150</v>
          </cell>
          <cell r="K26">
            <v>15830</v>
          </cell>
          <cell r="L26">
            <v>29500</v>
          </cell>
          <cell r="M26">
            <v>0.5</v>
          </cell>
        </row>
        <row r="27">
          <cell r="B27">
            <v>25</v>
          </cell>
          <cell r="C27" t="str">
            <v>Alnus Rubra (Red Alder)</v>
          </cell>
          <cell r="D27" t="str">
            <v>Alnus Rubra</v>
          </cell>
          <cell r="E27" t="str">
            <v>red alder</v>
          </cell>
          <cell r="F27">
            <v>4600</v>
          </cell>
          <cell r="H27">
            <v>4600</v>
          </cell>
          <cell r="I27">
            <v>19320</v>
          </cell>
          <cell r="K27">
            <v>18000</v>
          </cell>
          <cell r="L27">
            <v>29500</v>
          </cell>
          <cell r="M27">
            <v>0.5</v>
          </cell>
        </row>
        <row r="28">
          <cell r="B28">
            <v>26</v>
          </cell>
          <cell r="C28" t="str">
            <v>Alnus Rubra (Red Alder)</v>
          </cell>
          <cell r="D28" t="str">
            <v>Alnus Rubra</v>
          </cell>
          <cell r="E28" t="str">
            <v>red alder</v>
          </cell>
          <cell r="I28">
            <v>18544.79</v>
          </cell>
          <cell r="K28">
            <v>17224.79</v>
          </cell>
          <cell r="L28">
            <v>29500</v>
          </cell>
          <cell r="M28">
            <v>0.5</v>
          </cell>
        </row>
        <row r="29">
          <cell r="B29">
            <v>27</v>
          </cell>
          <cell r="C29" t="str">
            <v>Alstonia Macrophylla (Devil Tree)</v>
          </cell>
          <cell r="D29" t="str">
            <v>Alstonia Macrophylla</v>
          </cell>
          <cell r="E29" t="str">
            <v xml:space="preserve">devil tree, </v>
          </cell>
          <cell r="I29">
            <v>19200</v>
          </cell>
          <cell r="K29">
            <v>17880</v>
          </cell>
          <cell r="L29">
            <v>29500</v>
          </cell>
          <cell r="M29">
            <v>0.5</v>
          </cell>
        </row>
        <row r="30">
          <cell r="B30">
            <v>28</v>
          </cell>
          <cell r="C30" t="str">
            <v>Anogeissus Latifolia (Axle-Wood Tree, Dhausa (Hindi))</v>
          </cell>
          <cell r="D30" t="str">
            <v>Anogeissus Latifolia</v>
          </cell>
          <cell r="E30" t="str">
            <v xml:space="preserve">axle-wood tree, dhausa (Hindi) </v>
          </cell>
          <cell r="F30">
            <v>4900</v>
          </cell>
          <cell r="H30">
            <v>4900</v>
          </cell>
          <cell r="I30">
            <v>20580</v>
          </cell>
          <cell r="K30">
            <v>19260</v>
          </cell>
          <cell r="L30">
            <v>29500</v>
          </cell>
          <cell r="M30">
            <v>0.5</v>
          </cell>
        </row>
        <row r="31">
          <cell r="B31">
            <v>29</v>
          </cell>
          <cell r="C31" t="str">
            <v>Anthocephalus Cadamba (Labula (Indonesia))</v>
          </cell>
          <cell r="D31" t="str">
            <v>Anthocephalus Cadamba</v>
          </cell>
          <cell r="E31" t="str">
            <v>Labula (Indonesia)</v>
          </cell>
          <cell r="I31">
            <v>19350</v>
          </cell>
          <cell r="K31">
            <v>18030</v>
          </cell>
          <cell r="L31">
            <v>29500</v>
          </cell>
          <cell r="M31">
            <v>0.5</v>
          </cell>
        </row>
        <row r="32">
          <cell r="B32">
            <v>30</v>
          </cell>
          <cell r="C32" t="str">
            <v>Antidesma Ghaessimbilla</v>
          </cell>
          <cell r="D32" t="str">
            <v>Antidesma Ghaessimbilla</v>
          </cell>
          <cell r="I32">
            <v>19100</v>
          </cell>
          <cell r="K32">
            <v>17780</v>
          </cell>
          <cell r="L32">
            <v>29500</v>
          </cell>
          <cell r="M32">
            <v>0.5</v>
          </cell>
        </row>
        <row r="33">
          <cell r="B33">
            <v>31</v>
          </cell>
          <cell r="C33" t="str">
            <v>Avicennia Officinalis (Mangrove, Api-Api Sudu (Philippines))</v>
          </cell>
          <cell r="D33" t="str">
            <v>Avicennia Officinalis</v>
          </cell>
          <cell r="E33" t="str">
            <v>mangrove, api-api sudu (Philippines)</v>
          </cell>
          <cell r="I33">
            <v>18500</v>
          </cell>
          <cell r="K33">
            <v>17180</v>
          </cell>
          <cell r="L33">
            <v>29500</v>
          </cell>
          <cell r="M33">
            <v>0.5</v>
          </cell>
        </row>
        <row r="34">
          <cell r="B34">
            <v>32</v>
          </cell>
          <cell r="C34" t="str">
            <v>Balanites Aegyptiaca (Desert Date, Thorn Tree, Soapberry Tree)</v>
          </cell>
          <cell r="D34" t="str">
            <v>Balanites Aegyptiaca</v>
          </cell>
          <cell r="E34" t="str">
            <v>desert date, thorn tree, soapberry tree</v>
          </cell>
          <cell r="F34">
            <v>4600</v>
          </cell>
          <cell r="H34">
            <v>4600</v>
          </cell>
          <cell r="I34">
            <v>19320</v>
          </cell>
          <cell r="K34">
            <v>18000</v>
          </cell>
          <cell r="L34">
            <v>29500</v>
          </cell>
          <cell r="M34">
            <v>0.5</v>
          </cell>
        </row>
        <row r="35">
          <cell r="B35">
            <v>33</v>
          </cell>
          <cell r="C35" t="str">
            <v>Bruguiera Gymnorrhiza (Black Mangrove, Large-Leafed Mangrove)</v>
          </cell>
          <cell r="D35" t="str">
            <v>Bruguiera Gymnorrhiza</v>
          </cell>
          <cell r="E35" t="str">
            <v>black mangrove, large-leafed mangrove</v>
          </cell>
          <cell r="I35">
            <v>20400</v>
          </cell>
          <cell r="K35">
            <v>19080</v>
          </cell>
          <cell r="L35">
            <v>29500</v>
          </cell>
          <cell r="M35">
            <v>0.5</v>
          </cell>
        </row>
        <row r="36">
          <cell r="B36">
            <v>34</v>
          </cell>
          <cell r="C36" t="str">
            <v>Bruguiera Parviflora (Thua Shale, Slender-Fruited Orange Mangrove)</v>
          </cell>
          <cell r="D36" t="str">
            <v>Bruguiera Parviflora</v>
          </cell>
          <cell r="E36" t="str">
            <v>thua shale, slender-fruited orange mangrove</v>
          </cell>
          <cell r="I36">
            <v>18700</v>
          </cell>
          <cell r="K36">
            <v>17380</v>
          </cell>
          <cell r="L36">
            <v>29500</v>
          </cell>
          <cell r="M36">
            <v>0.5</v>
          </cell>
        </row>
        <row r="37">
          <cell r="B37">
            <v>35</v>
          </cell>
          <cell r="C37" t="str">
            <v>Bruguiera Sexangula (Orange Mangrove)</v>
          </cell>
          <cell r="D37" t="str">
            <v>Bruguiera Sexangula</v>
          </cell>
          <cell r="E37" t="str">
            <v>orange mangrove</v>
          </cell>
          <cell r="I37">
            <v>19400</v>
          </cell>
          <cell r="K37">
            <v>18080</v>
          </cell>
          <cell r="L37">
            <v>29500</v>
          </cell>
          <cell r="M37">
            <v>0.5</v>
          </cell>
        </row>
        <row r="38">
          <cell r="B38">
            <v>36</v>
          </cell>
          <cell r="C38" t="str">
            <v>Calliandra Calothyrsus (Calliandra)</v>
          </cell>
          <cell r="D38" t="str">
            <v>Calliandra Calothyrsus</v>
          </cell>
          <cell r="E38" t="str">
            <v>calliandra</v>
          </cell>
          <cell r="F38">
            <v>4500</v>
          </cell>
          <cell r="G38">
            <v>4750</v>
          </cell>
          <cell r="H38">
            <v>4625</v>
          </cell>
          <cell r="I38">
            <v>19425</v>
          </cell>
          <cell r="K38">
            <v>18105</v>
          </cell>
          <cell r="L38">
            <v>29500</v>
          </cell>
          <cell r="M38">
            <v>0.5</v>
          </cell>
        </row>
        <row r="39">
          <cell r="B39">
            <v>37</v>
          </cell>
          <cell r="C39" t="str">
            <v>Carya Spp (Hickory)</v>
          </cell>
          <cell r="D39" t="str">
            <v>Carya Spp</v>
          </cell>
          <cell r="E39" t="str">
            <v>hickory</v>
          </cell>
          <cell r="I39">
            <v>18684.050000000003</v>
          </cell>
          <cell r="K39">
            <v>17364.050000000003</v>
          </cell>
          <cell r="L39">
            <v>29500</v>
          </cell>
          <cell r="M39">
            <v>0.5</v>
          </cell>
        </row>
        <row r="40">
          <cell r="B40">
            <v>38</v>
          </cell>
          <cell r="C40" t="str">
            <v>Cassia Fistula (Cassia Stick Tree, Guayaba Cimarrona, Canafistula, Golden Shower, Indian Laburnum, Baton ‎Casse, Chacara, Nanban-Saikati, Kachang Kayu (Woody Bean), Kallober, Keyok, Klober)</v>
          </cell>
          <cell r="D40" t="str">
            <v>Cassia Fistula</v>
          </cell>
          <cell r="E40" t="str">
            <v>cassia stick tree, guayaba cimarrona, canafistula, golden shower, Indian laburnum, baton ‎casse, chacara, nanban-saikati, kachang kayu (woody bean), kallober, keyok, klober</v>
          </cell>
          <cell r="I40">
            <v>18400</v>
          </cell>
          <cell r="K40">
            <v>17080</v>
          </cell>
          <cell r="L40">
            <v>29500</v>
          </cell>
          <cell r="M40">
            <v>0.5</v>
          </cell>
        </row>
        <row r="41">
          <cell r="B41">
            <v>39</v>
          </cell>
          <cell r="C41" t="str">
            <v>Cassia Siamea (Siamese Cassia)</v>
          </cell>
          <cell r="D41" t="str">
            <v>Cassia Siamea</v>
          </cell>
          <cell r="E41" t="str">
            <v>siamese cassia</v>
          </cell>
          <cell r="I41">
            <v>18800</v>
          </cell>
          <cell r="K41">
            <v>17480</v>
          </cell>
          <cell r="L41">
            <v>29500</v>
          </cell>
          <cell r="M41">
            <v>0.5</v>
          </cell>
        </row>
        <row r="42">
          <cell r="B42">
            <v>40</v>
          </cell>
          <cell r="C42" t="str">
            <v>Casuarina Equistofolia (Casuarina, She-Oak, Whistling Pine)</v>
          </cell>
          <cell r="D42" t="str">
            <v>Casuarina Equistofolia</v>
          </cell>
          <cell r="E42" t="str">
            <v>casuarina, she-oak, whistling pine</v>
          </cell>
          <cell r="F42">
            <v>4950</v>
          </cell>
          <cell r="H42">
            <v>4950</v>
          </cell>
          <cell r="I42">
            <v>20790</v>
          </cell>
          <cell r="K42">
            <v>19470</v>
          </cell>
          <cell r="L42">
            <v>29500</v>
          </cell>
          <cell r="M42">
            <v>0.5</v>
          </cell>
        </row>
        <row r="43">
          <cell r="B43">
            <v>41</v>
          </cell>
          <cell r="C43" t="str">
            <v>Ceriops Tagal (Tagal Mangrove, Kandal)</v>
          </cell>
          <cell r="D43" t="str">
            <v>Ceriops Tagal</v>
          </cell>
          <cell r="E43" t="str">
            <v>tagal mangrove, kandal</v>
          </cell>
          <cell r="I43">
            <v>19600</v>
          </cell>
          <cell r="K43">
            <v>18280</v>
          </cell>
          <cell r="L43">
            <v>29500</v>
          </cell>
          <cell r="M43">
            <v>0.5</v>
          </cell>
        </row>
        <row r="44">
          <cell r="B44">
            <v>42</v>
          </cell>
          <cell r="C44" t="str">
            <v>Cocus Nucifera (Coconut Palm)</v>
          </cell>
          <cell r="D44" t="str">
            <v>Cocus Nucifera</v>
          </cell>
          <cell r="E44" t="str">
            <v>coconut palm</v>
          </cell>
          <cell r="I44">
            <v>19000</v>
          </cell>
          <cell r="K44">
            <v>17680</v>
          </cell>
          <cell r="L44">
            <v>29500</v>
          </cell>
          <cell r="M44">
            <v>0.5</v>
          </cell>
        </row>
        <row r="45">
          <cell r="B45">
            <v>43</v>
          </cell>
          <cell r="C45" t="str">
            <v>Cordia Dichotoma (Anunang (Philippines), Bird Lime Tree)</v>
          </cell>
          <cell r="D45" t="str">
            <v>Cordia Dichotoma</v>
          </cell>
          <cell r="E45" t="str">
            <v>anunang (Philippines), bird lime tree</v>
          </cell>
          <cell r="I45">
            <v>18400</v>
          </cell>
          <cell r="K45">
            <v>17080</v>
          </cell>
          <cell r="L45">
            <v>29500</v>
          </cell>
          <cell r="M45">
            <v>0.5</v>
          </cell>
        </row>
        <row r="46">
          <cell r="B46">
            <v>44</v>
          </cell>
          <cell r="C46" t="str">
            <v>Dalbergia Latifolia (East Indian Rosewood, Malabar Rosewood, Sitsal, Beete, Shisham)</v>
          </cell>
          <cell r="D46" t="str">
            <v>Dalbergia Latifolia</v>
          </cell>
          <cell r="E46" t="str">
            <v>East Indian rosewood, Malabar rosewood, sitsal, beete, shisham</v>
          </cell>
          <cell r="I46">
            <v>19800</v>
          </cell>
          <cell r="K46">
            <v>18480</v>
          </cell>
          <cell r="L46">
            <v>29500</v>
          </cell>
          <cell r="M46">
            <v>0.5</v>
          </cell>
        </row>
        <row r="47">
          <cell r="B47">
            <v>45</v>
          </cell>
          <cell r="C47" t="str">
            <v>Dalbergia Sissoo (Sissoo, Shisham, Karra, Shewa)</v>
          </cell>
          <cell r="D47" t="str">
            <v>Dalbergia Sissoo</v>
          </cell>
          <cell r="E47" t="str">
            <v>sissoo, shisham, karra, shewa</v>
          </cell>
          <cell r="F47">
            <v>4900</v>
          </cell>
          <cell r="G47">
            <v>5200</v>
          </cell>
          <cell r="H47">
            <v>5050</v>
          </cell>
          <cell r="I47">
            <v>21210</v>
          </cell>
          <cell r="K47">
            <v>19890</v>
          </cell>
          <cell r="L47">
            <v>29500</v>
          </cell>
          <cell r="M47">
            <v>0.5</v>
          </cell>
        </row>
        <row r="48">
          <cell r="B48">
            <v>46</v>
          </cell>
          <cell r="C48" t="str">
            <v>Derris Indica (India: Pongam, Ponga, Kona, Kanji, Karanja, Karanda; English: Indian Beech)</v>
          </cell>
          <cell r="D48" t="str">
            <v>Derris Indica</v>
          </cell>
          <cell r="E48" t="str">
            <v>India: pongam, ponga, kona, kanji, karanja, karanda; English: Indian beech</v>
          </cell>
          <cell r="F48">
            <v>4600</v>
          </cell>
          <cell r="H48">
            <v>4600</v>
          </cell>
          <cell r="I48">
            <v>19320</v>
          </cell>
          <cell r="K48">
            <v>18000</v>
          </cell>
          <cell r="L48">
            <v>29500</v>
          </cell>
          <cell r="M48">
            <v>0.5</v>
          </cell>
        </row>
        <row r="49">
          <cell r="B49">
            <v>47</v>
          </cell>
          <cell r="C49" t="str">
            <v>Diospyros Philippinensis (Kamagong (Philippines))</v>
          </cell>
          <cell r="D49" t="str">
            <v>Diospyros Philippinensis</v>
          </cell>
          <cell r="E49" t="str">
            <v>kamagong (Philippines)</v>
          </cell>
          <cell r="I49">
            <v>18600</v>
          </cell>
          <cell r="K49">
            <v>17280</v>
          </cell>
          <cell r="L49">
            <v>29500</v>
          </cell>
          <cell r="M49">
            <v>0.5</v>
          </cell>
        </row>
        <row r="50">
          <cell r="B50">
            <v>48</v>
          </cell>
          <cell r="C50" t="str">
            <v>Diospyros Philosanthera (Bolong-Eta (Philippines))</v>
          </cell>
          <cell r="D50" t="str">
            <v>Diospyros Philosanthera</v>
          </cell>
          <cell r="E50" t="str">
            <v>bolong-eta (Philippines)</v>
          </cell>
          <cell r="I50">
            <v>18100</v>
          </cell>
          <cell r="K50">
            <v>16780</v>
          </cell>
          <cell r="L50">
            <v>29500</v>
          </cell>
          <cell r="M50">
            <v>0.5</v>
          </cell>
        </row>
        <row r="51">
          <cell r="B51">
            <v>49</v>
          </cell>
          <cell r="C51" t="str">
            <v>Emblica Ofiicinalis (Madre De Cacao, Kakauati (Philippines), Mexican Lilac, Madera Negra)</v>
          </cell>
          <cell r="D51" t="str">
            <v>Emblica Ofiicinalis</v>
          </cell>
          <cell r="E51" t="str">
            <v>Madre de cacao, kakauati (Philippines), Mexican lilac, madera negra</v>
          </cell>
          <cell r="F51">
            <v>5200</v>
          </cell>
          <cell r="H51">
            <v>5200</v>
          </cell>
          <cell r="I51">
            <v>21840</v>
          </cell>
          <cell r="J51" t="str">
            <v>air dry</v>
          </cell>
          <cell r="K51">
            <v>20520</v>
          </cell>
          <cell r="L51">
            <v>29500</v>
          </cell>
          <cell r="M51">
            <v>0.5</v>
          </cell>
        </row>
        <row r="52">
          <cell r="B52">
            <v>50</v>
          </cell>
          <cell r="C52" t="str">
            <v>Eucalyptus Camaldulensis (Red River Gum, Red Gum)</v>
          </cell>
          <cell r="D52" t="str">
            <v>Eucalyptus Camaldulensis</v>
          </cell>
          <cell r="E52" t="str">
            <v>red river gum, red gum</v>
          </cell>
          <cell r="F52">
            <v>4800</v>
          </cell>
          <cell r="H52">
            <v>4800</v>
          </cell>
          <cell r="I52">
            <v>20160</v>
          </cell>
          <cell r="K52">
            <v>18840</v>
          </cell>
          <cell r="L52">
            <v>29500</v>
          </cell>
          <cell r="M52">
            <v>0.5</v>
          </cell>
        </row>
        <row r="53">
          <cell r="B53">
            <v>51</v>
          </cell>
          <cell r="C53" t="str">
            <v>Eucalyptus Deglupta (Rainbow Gum Tree)</v>
          </cell>
          <cell r="D53" t="str">
            <v>Eucalyptus Deglupta</v>
          </cell>
          <cell r="E53" t="str">
            <v>rainbow gum tree</v>
          </cell>
          <cell r="I53">
            <v>18700</v>
          </cell>
          <cell r="K53">
            <v>17380</v>
          </cell>
          <cell r="L53">
            <v>29500</v>
          </cell>
          <cell r="M53">
            <v>0.5</v>
          </cell>
        </row>
        <row r="54">
          <cell r="B54">
            <v>52</v>
          </cell>
          <cell r="C54" t="str">
            <v>Eucalyptus Globulus (Southern Blue Gum, Fever Tree)</v>
          </cell>
          <cell r="D54" t="str">
            <v>Eucalyptus Globulus</v>
          </cell>
          <cell r="E54" t="str">
            <v>southern blue gum, fever tree</v>
          </cell>
          <cell r="F54">
            <v>4800</v>
          </cell>
          <cell r="H54">
            <v>4800</v>
          </cell>
          <cell r="I54">
            <v>20160</v>
          </cell>
          <cell r="K54">
            <v>18840</v>
          </cell>
          <cell r="L54">
            <v>29500</v>
          </cell>
          <cell r="M54">
            <v>0.5</v>
          </cell>
        </row>
        <row r="55">
          <cell r="B55">
            <v>53</v>
          </cell>
          <cell r="C55" t="str">
            <v>Eucalyptus Grandis (Rose Gum, Grand Eucalyptus)</v>
          </cell>
          <cell r="D55" t="str">
            <v>Eucalyptus Grandis</v>
          </cell>
          <cell r="E55" t="str">
            <v>rose gum, grand eucalyptus</v>
          </cell>
          <cell r="I55">
            <v>19750</v>
          </cell>
          <cell r="K55">
            <v>18430</v>
          </cell>
          <cell r="L55">
            <v>29500</v>
          </cell>
          <cell r="M55">
            <v>0.5</v>
          </cell>
        </row>
        <row r="56">
          <cell r="B56">
            <v>54</v>
          </cell>
          <cell r="C56" t="str">
            <v>Fagus Spp (Beech)</v>
          </cell>
          <cell r="D56" t="str">
            <v>Fagus Spp</v>
          </cell>
          <cell r="E56" t="str">
            <v>beech</v>
          </cell>
          <cell r="I56">
            <v>18916.150000000001</v>
          </cell>
          <cell r="K56">
            <v>17596.150000000001</v>
          </cell>
          <cell r="L56">
            <v>29500</v>
          </cell>
          <cell r="M56">
            <v>0.5</v>
          </cell>
        </row>
        <row r="57">
          <cell r="B57">
            <v>55</v>
          </cell>
          <cell r="C57" t="str">
            <v>Gigantochloa Apus (Pring Tali, Tabasheer Bamboo)</v>
          </cell>
          <cell r="D57" t="str">
            <v>Gigantochloa Apus</v>
          </cell>
          <cell r="E57" t="str">
            <v>pring tali, tabasheer bamboo</v>
          </cell>
          <cell r="I57">
            <v>18400</v>
          </cell>
          <cell r="K57">
            <v>17080</v>
          </cell>
          <cell r="L57">
            <v>29500</v>
          </cell>
          <cell r="M57">
            <v>0.5</v>
          </cell>
        </row>
        <row r="58">
          <cell r="B58">
            <v>56</v>
          </cell>
          <cell r="C58" t="str">
            <v>Gliricidia Sepium</v>
          </cell>
          <cell r="D58" t="str">
            <v>Gliricidia Sepium</v>
          </cell>
          <cell r="E58" t="str">
            <v>cacahuananche, madre de cacao</v>
          </cell>
          <cell r="F58">
            <v>4900</v>
          </cell>
          <cell r="H58">
            <v>4900</v>
          </cell>
          <cell r="I58">
            <v>20580</v>
          </cell>
          <cell r="K58">
            <v>19260</v>
          </cell>
          <cell r="L58">
            <v>29500</v>
          </cell>
          <cell r="M58">
            <v>0.5</v>
          </cell>
        </row>
        <row r="59">
          <cell r="B59">
            <v>57</v>
          </cell>
          <cell r="C59" t="str">
            <v>Gmelina Arborea (Gmelina, Gumhar (India))</v>
          </cell>
          <cell r="D59" t="str">
            <v>Gmelina Arborea</v>
          </cell>
          <cell r="E59" t="str">
            <v>gmelina, gumhar (India)</v>
          </cell>
          <cell r="F59">
            <v>4800</v>
          </cell>
          <cell r="H59">
            <v>4800</v>
          </cell>
          <cell r="I59">
            <v>20160</v>
          </cell>
          <cell r="K59">
            <v>18840</v>
          </cell>
          <cell r="L59">
            <v>29500</v>
          </cell>
          <cell r="M59">
            <v>0.5</v>
          </cell>
        </row>
        <row r="60">
          <cell r="B60">
            <v>58</v>
          </cell>
          <cell r="C60" t="str">
            <v>Lagerstroemia Speciosa (Queen's Crape Myrtle, Giant Crape Myrtle)</v>
          </cell>
          <cell r="D60" t="str">
            <v>Lagerstroemia Speciosa</v>
          </cell>
          <cell r="E60" t="str">
            <v>queen's crape myrtle, giant crape myrtle</v>
          </cell>
          <cell r="I60">
            <v>19300</v>
          </cell>
          <cell r="K60">
            <v>17980</v>
          </cell>
          <cell r="L60">
            <v>29500</v>
          </cell>
          <cell r="M60">
            <v>0.5</v>
          </cell>
        </row>
        <row r="61">
          <cell r="B61">
            <v>59</v>
          </cell>
          <cell r="C61" t="str">
            <v>Leucaena Leucocephala (Leucaena, Ipil-Ipil (Philippines), Uaxin (Latin America), Lamtora (Indonesia), Lead Tree)</v>
          </cell>
          <cell r="D61" t="str">
            <v>Leucaena Leucocephala</v>
          </cell>
          <cell r="E61" t="str">
            <v>leucaena, ipil-ipil (Philippines), uaxin (Latin America), lamtora (Indonesia), lead tree</v>
          </cell>
          <cell r="F61">
            <v>4200</v>
          </cell>
          <cell r="G61">
            <v>4600</v>
          </cell>
          <cell r="H61">
            <v>4400</v>
          </cell>
          <cell r="I61">
            <v>18480</v>
          </cell>
          <cell r="K61">
            <v>17160</v>
          </cell>
          <cell r="L61">
            <v>29500</v>
          </cell>
          <cell r="M61">
            <v>0.5</v>
          </cell>
        </row>
        <row r="62">
          <cell r="B62">
            <v>60</v>
          </cell>
          <cell r="C62" t="str">
            <v>Melia Azedarach (China Berry, Persian Lilac, Bead Tree, Cape Lilac)</v>
          </cell>
          <cell r="D62" t="str">
            <v>Melia Azedarach</v>
          </cell>
          <cell r="E62" t="str">
            <v>China berry, Persian lilac, bead tree, cape lilac</v>
          </cell>
          <cell r="F62">
            <v>5043</v>
          </cell>
          <cell r="G62">
            <v>5176</v>
          </cell>
          <cell r="H62">
            <v>5109.5</v>
          </cell>
          <cell r="I62">
            <v>21459.9</v>
          </cell>
          <cell r="K62">
            <v>20139.900000000001</v>
          </cell>
          <cell r="L62">
            <v>29500</v>
          </cell>
          <cell r="M62">
            <v>0.5</v>
          </cell>
        </row>
        <row r="63">
          <cell r="B63">
            <v>61</v>
          </cell>
          <cell r="C63" t="str">
            <v>Pinus Elliotii (Southern Pine)</v>
          </cell>
          <cell r="D63" t="str">
            <v>Pinus Elliotii</v>
          </cell>
          <cell r="E63" t="str">
            <v>southern pine</v>
          </cell>
          <cell r="I63">
            <v>19960.600000000002</v>
          </cell>
          <cell r="K63">
            <v>18640.600000000002</v>
          </cell>
          <cell r="L63">
            <v>29500</v>
          </cell>
          <cell r="M63">
            <v>0.5</v>
          </cell>
        </row>
        <row r="64">
          <cell r="B64">
            <v>62</v>
          </cell>
          <cell r="C64" t="str">
            <v>Pinus Ponderosa (Ponderosa Pine)</v>
          </cell>
          <cell r="D64" t="str">
            <v>Pinus Ponderosa</v>
          </cell>
          <cell r="E64" t="str">
            <v>ponderosa pine</v>
          </cell>
          <cell r="I64">
            <v>18684.050000000003</v>
          </cell>
          <cell r="K64">
            <v>17364.050000000003</v>
          </cell>
          <cell r="L64">
            <v>29500</v>
          </cell>
          <cell r="M64">
            <v>0.5</v>
          </cell>
        </row>
        <row r="65">
          <cell r="B65">
            <v>63</v>
          </cell>
          <cell r="C65" t="str">
            <v>Pithecellobium Dulce (Quamachil, Guamuchil (Mexico), Manila Tamarind)</v>
          </cell>
          <cell r="D65" t="str">
            <v>Pithecellobium Dulce</v>
          </cell>
          <cell r="E65" t="str">
            <v>quamachil, guamuchil (Mexico), Manila tamarind</v>
          </cell>
          <cell r="F65">
            <v>5200</v>
          </cell>
          <cell r="G65">
            <v>5600</v>
          </cell>
          <cell r="H65">
            <v>5400</v>
          </cell>
          <cell r="I65">
            <v>22680</v>
          </cell>
          <cell r="K65">
            <v>21360</v>
          </cell>
          <cell r="L65">
            <v>29500</v>
          </cell>
          <cell r="M65">
            <v>0.5</v>
          </cell>
        </row>
        <row r="66">
          <cell r="B66">
            <v>64</v>
          </cell>
          <cell r="C66" t="str">
            <v>Platanus Occidentalis (Sycamore)</v>
          </cell>
          <cell r="D66" t="str">
            <v>Platanus Occidentalis</v>
          </cell>
          <cell r="E66" t="str">
            <v>sycamore</v>
          </cell>
          <cell r="I66">
            <v>18544.79</v>
          </cell>
          <cell r="K66">
            <v>17224.79</v>
          </cell>
          <cell r="L66">
            <v>29500</v>
          </cell>
          <cell r="M66">
            <v>0.5</v>
          </cell>
        </row>
        <row r="67">
          <cell r="B67">
            <v>65</v>
          </cell>
          <cell r="C67" t="str">
            <v>Populus Euphratica (Euphrates Poplar, Saf-Saf, Indian Poplar)</v>
          </cell>
          <cell r="D67" t="str">
            <v>Populus Euphratica</v>
          </cell>
          <cell r="E67" t="str">
            <v>Euphrates poplar, saf-saf, Indian poplar</v>
          </cell>
          <cell r="F67">
            <v>5008</v>
          </cell>
          <cell r="G67">
            <v>5019</v>
          </cell>
          <cell r="H67">
            <v>5013.5</v>
          </cell>
          <cell r="I67">
            <v>21056.7</v>
          </cell>
          <cell r="K67">
            <v>19736.7</v>
          </cell>
          <cell r="L67">
            <v>29500</v>
          </cell>
          <cell r="M67">
            <v>0.5</v>
          </cell>
        </row>
        <row r="68">
          <cell r="B68">
            <v>66</v>
          </cell>
          <cell r="C68" t="str">
            <v>Populus Trichocarpa (Black Cottonwood)</v>
          </cell>
          <cell r="D68" t="str">
            <v>Populus Trichocarpa</v>
          </cell>
          <cell r="E68" t="str">
            <v>black cottonwood</v>
          </cell>
          <cell r="I68">
            <v>20424.800000000003</v>
          </cell>
          <cell r="K68">
            <v>19104.800000000003</v>
          </cell>
          <cell r="L68">
            <v>29500</v>
          </cell>
          <cell r="M68">
            <v>0.5</v>
          </cell>
        </row>
        <row r="69">
          <cell r="B69">
            <v>67</v>
          </cell>
          <cell r="C69" t="str">
            <v>Prosopis Cineraria (Jand, Khejri (India))</v>
          </cell>
          <cell r="D69" t="str">
            <v>Prosopis Cineraria</v>
          </cell>
          <cell r="E69" t="str">
            <v>jand, khejri (India)</v>
          </cell>
          <cell r="F69">
            <v>5000</v>
          </cell>
          <cell r="H69">
            <v>5000</v>
          </cell>
          <cell r="I69">
            <v>21000</v>
          </cell>
          <cell r="J69" t="str">
            <v>dry</v>
          </cell>
          <cell r="K69">
            <v>19680</v>
          </cell>
          <cell r="L69">
            <v>29500</v>
          </cell>
          <cell r="M69">
            <v>0.5</v>
          </cell>
        </row>
        <row r="70">
          <cell r="B70">
            <v>68</v>
          </cell>
          <cell r="C70" t="str">
            <v>Prosopis Pallida (Kiawe)</v>
          </cell>
          <cell r="D70" t="str">
            <v>Prosopis Pallida</v>
          </cell>
          <cell r="E70" t="str">
            <v xml:space="preserve">kiawe </v>
          </cell>
          <cell r="I70">
            <v>19750</v>
          </cell>
          <cell r="K70">
            <v>18430</v>
          </cell>
          <cell r="L70">
            <v>29500</v>
          </cell>
          <cell r="M70">
            <v>0.5</v>
          </cell>
        </row>
        <row r="71">
          <cell r="B71">
            <v>69</v>
          </cell>
          <cell r="C71" t="str">
            <v>Pseudotsuga Menziesii (Douglas Fir)</v>
          </cell>
          <cell r="D71" t="str">
            <v>Pseudotsuga Menziesii</v>
          </cell>
          <cell r="E71" t="str">
            <v>douglas fir</v>
          </cell>
          <cell r="I71">
            <v>20633.689999999999</v>
          </cell>
          <cell r="K71">
            <v>19313.689999999999</v>
          </cell>
          <cell r="L71">
            <v>29500</v>
          </cell>
          <cell r="M71">
            <v>0.5</v>
          </cell>
        </row>
        <row r="72">
          <cell r="B72">
            <v>70</v>
          </cell>
          <cell r="C72" t="str">
            <v>Psidium Guajava  (Guava, Guayaba)</v>
          </cell>
          <cell r="D72" t="str">
            <v xml:space="preserve">Psidium Guajava </v>
          </cell>
          <cell r="E72" t="str">
            <v>guava, guayaba</v>
          </cell>
          <cell r="F72">
            <v>4792</v>
          </cell>
          <cell r="H72">
            <v>4792</v>
          </cell>
          <cell r="I72">
            <v>20126.400000000001</v>
          </cell>
          <cell r="K72">
            <v>18806.400000000001</v>
          </cell>
          <cell r="L72">
            <v>29500</v>
          </cell>
          <cell r="M72">
            <v>0.5</v>
          </cell>
        </row>
        <row r="73">
          <cell r="B73">
            <v>71</v>
          </cell>
          <cell r="C73" t="str">
            <v>Quercus Bicolor (White Oak)</v>
          </cell>
          <cell r="D73" t="str">
            <v>Quercus Bicolor</v>
          </cell>
          <cell r="E73" t="str">
            <v xml:space="preserve">white oak </v>
          </cell>
          <cell r="I73">
            <v>18916.150000000001</v>
          </cell>
          <cell r="K73">
            <v>17596.150000000001</v>
          </cell>
          <cell r="L73">
            <v>29500</v>
          </cell>
          <cell r="M73">
            <v>0.5</v>
          </cell>
        </row>
        <row r="74">
          <cell r="B74">
            <v>72</v>
          </cell>
          <cell r="C74" t="str">
            <v>Quercus Rubra  (Red Oak)</v>
          </cell>
          <cell r="D74" t="str">
            <v xml:space="preserve">Quercus Rubra </v>
          </cell>
          <cell r="E74" t="str">
            <v>red oak</v>
          </cell>
          <cell r="I74">
            <v>18684.050000000003</v>
          </cell>
          <cell r="K74">
            <v>17364.050000000003</v>
          </cell>
          <cell r="L74">
            <v>29500</v>
          </cell>
          <cell r="M74">
            <v>0.5</v>
          </cell>
        </row>
        <row r="75">
          <cell r="B75">
            <v>73</v>
          </cell>
          <cell r="C75" t="str">
            <v>Rhizophera Spp (Mangrove Spp (Also Avicennia Spp))</v>
          </cell>
          <cell r="D75" t="str">
            <v>Rhizophera Spp</v>
          </cell>
          <cell r="E75" t="str">
            <v>mangrove spp (also avicennia spp)</v>
          </cell>
          <cell r="F75">
            <v>4000</v>
          </cell>
          <cell r="G75">
            <v>4300</v>
          </cell>
          <cell r="H75">
            <v>4150</v>
          </cell>
          <cell r="I75">
            <v>17430</v>
          </cell>
          <cell r="K75">
            <v>16110</v>
          </cell>
          <cell r="L75">
            <v>29500</v>
          </cell>
          <cell r="M75">
            <v>0.5</v>
          </cell>
        </row>
        <row r="76">
          <cell r="B76">
            <v>74</v>
          </cell>
          <cell r="C76" t="str">
            <v>Sapium Sebiferum (Chinese Tallow Tree, Soap Tree, Tarchabi (Pahari) Shishum (India))</v>
          </cell>
          <cell r="D76" t="str">
            <v>Sapium Sebiferum</v>
          </cell>
          <cell r="E76" t="str">
            <v>Chinese tallow tree, soap tree, tarchabi (pahari) shishum (India)</v>
          </cell>
          <cell r="F76">
            <v>4134</v>
          </cell>
          <cell r="G76">
            <v>4277</v>
          </cell>
          <cell r="H76">
            <v>4205.5</v>
          </cell>
          <cell r="I76">
            <v>17663.100000000002</v>
          </cell>
          <cell r="K76">
            <v>16343.100000000002</v>
          </cell>
          <cell r="L76">
            <v>29500</v>
          </cell>
          <cell r="M76">
            <v>0.5</v>
          </cell>
        </row>
        <row r="77">
          <cell r="B77">
            <v>75</v>
          </cell>
          <cell r="C77" t="str">
            <v>Schima Noronhae</v>
          </cell>
          <cell r="D77" t="str">
            <v>Schima Noronhae</v>
          </cell>
          <cell r="I77">
            <v>20000</v>
          </cell>
          <cell r="K77">
            <v>18680</v>
          </cell>
          <cell r="L77">
            <v>29500</v>
          </cell>
          <cell r="M77">
            <v>0.5</v>
          </cell>
        </row>
        <row r="78">
          <cell r="B78">
            <v>76</v>
          </cell>
          <cell r="C78" t="str">
            <v>Schleichera Oleosa (Kosambi (Indonesia), Lac Tree)</v>
          </cell>
          <cell r="D78" t="str">
            <v>Schleichera Oleosa</v>
          </cell>
          <cell r="E78" t="str">
            <v>kosambi (Indonesia), lac tree</v>
          </cell>
          <cell r="I78">
            <v>18700</v>
          </cell>
          <cell r="K78">
            <v>17380</v>
          </cell>
          <cell r="L78">
            <v>29500</v>
          </cell>
          <cell r="M78">
            <v>0.5</v>
          </cell>
        </row>
        <row r="79">
          <cell r="B79">
            <v>77</v>
          </cell>
          <cell r="C79" t="str">
            <v>Sesbania Grandiflora (Scarlet Wisteria Tree, Agati, Corkwood Tree, West Indian Pea)</v>
          </cell>
          <cell r="D79" t="str">
            <v>Sesbania Grandiflora</v>
          </cell>
          <cell r="E79" t="str">
            <v>scarlet wisteria tree, agati, corkwood tree, West Indian pea</v>
          </cell>
          <cell r="I79">
            <v>19300</v>
          </cell>
          <cell r="K79">
            <v>17980</v>
          </cell>
          <cell r="L79">
            <v>29500</v>
          </cell>
          <cell r="M79">
            <v>0.5</v>
          </cell>
        </row>
        <row r="80">
          <cell r="B80">
            <v>78</v>
          </cell>
          <cell r="C80" t="str">
            <v>Swietenia Macrophylla (Brazilian Mahogany, Caoba, Honduras Mahogany, Big Leaf Mahogany)</v>
          </cell>
          <cell r="D80" t="str">
            <v>Swietenia Macrophylla</v>
          </cell>
          <cell r="E80" t="str">
            <v>Brazilian mahogany, caoba, Honduras mahogany, bigleaf mahogany</v>
          </cell>
          <cell r="I80">
            <v>20700</v>
          </cell>
          <cell r="K80">
            <v>19380</v>
          </cell>
          <cell r="L80">
            <v>29500</v>
          </cell>
          <cell r="M80">
            <v>0.5</v>
          </cell>
        </row>
        <row r="81">
          <cell r="B81">
            <v>79</v>
          </cell>
          <cell r="C81" t="str">
            <v>Syzygium Cumini (Jambolan, Java Plum)</v>
          </cell>
          <cell r="D81" t="str">
            <v>Syzygium Cumini</v>
          </cell>
          <cell r="E81" t="str">
            <v>jambolan, Java plum</v>
          </cell>
          <cell r="F81">
            <v>4800</v>
          </cell>
          <cell r="H81">
            <v>4800</v>
          </cell>
          <cell r="I81">
            <v>20160</v>
          </cell>
          <cell r="K81">
            <v>18840</v>
          </cell>
          <cell r="L81">
            <v>29500</v>
          </cell>
          <cell r="M81">
            <v>0.5</v>
          </cell>
        </row>
        <row r="82">
          <cell r="B82">
            <v>80</v>
          </cell>
          <cell r="C82" t="str">
            <v>Thuja Plicata (Western Red Cedar)</v>
          </cell>
          <cell r="D82" t="str">
            <v>Thuja Plicata</v>
          </cell>
          <cell r="E82" t="str">
            <v>western red cedar</v>
          </cell>
          <cell r="I82">
            <v>22513.7</v>
          </cell>
          <cell r="K82">
            <v>21193.7</v>
          </cell>
          <cell r="L82">
            <v>29500</v>
          </cell>
          <cell r="M82">
            <v>0.5</v>
          </cell>
        </row>
        <row r="83">
          <cell r="B83">
            <v>81</v>
          </cell>
          <cell r="C83" t="str">
            <v>Trema Spp</v>
          </cell>
          <cell r="D83" t="str">
            <v>Trema Spp</v>
          </cell>
          <cell r="F83">
            <v>4500</v>
          </cell>
          <cell r="H83">
            <v>4500</v>
          </cell>
          <cell r="I83">
            <v>18900</v>
          </cell>
          <cell r="K83">
            <v>17580</v>
          </cell>
          <cell r="L83">
            <v>29500</v>
          </cell>
          <cell r="M83">
            <v>0.5</v>
          </cell>
        </row>
        <row r="84">
          <cell r="B84">
            <v>82</v>
          </cell>
          <cell r="C84" t="str">
            <v>Tsuga Canadensis (Eastern Hemlock)</v>
          </cell>
          <cell r="D84" t="str">
            <v>Tsuga Canadensis</v>
          </cell>
          <cell r="E84" t="str">
            <v>eastern hemlock</v>
          </cell>
          <cell r="I84">
            <v>19519.61</v>
          </cell>
          <cell r="K84">
            <v>18199.61</v>
          </cell>
          <cell r="L84">
            <v>29500</v>
          </cell>
          <cell r="M84">
            <v>0.5</v>
          </cell>
        </row>
        <row r="85">
          <cell r="B85">
            <v>83</v>
          </cell>
          <cell r="C85" t="str">
            <v>Tsuga Heterophylla (Western Hemlock)</v>
          </cell>
          <cell r="D85" t="str">
            <v>Tsuga Heterophylla</v>
          </cell>
          <cell r="E85" t="str">
            <v>western hemlock</v>
          </cell>
          <cell r="I85">
            <v>19519.61</v>
          </cell>
          <cell r="K85">
            <v>18199.61</v>
          </cell>
          <cell r="L85">
            <v>29500</v>
          </cell>
          <cell r="M85">
            <v>0.5</v>
          </cell>
        </row>
        <row r="86">
          <cell r="B86">
            <v>84</v>
          </cell>
          <cell r="C86" t="str">
            <v>Ulmus Spp (Elm)</v>
          </cell>
          <cell r="D86" t="str">
            <v>Ulmus Spp</v>
          </cell>
          <cell r="E86" t="str">
            <v>elm</v>
          </cell>
          <cell r="I86">
            <v>18962.570000000003</v>
          </cell>
          <cell r="K86">
            <v>17642.570000000003</v>
          </cell>
          <cell r="L86">
            <v>29500</v>
          </cell>
          <cell r="M86">
            <v>0.5</v>
          </cell>
        </row>
        <row r="87">
          <cell r="B87">
            <v>85</v>
          </cell>
          <cell r="C87" t="str">
            <v>Xylocarpus Granatum (Cannonball Mangrove, Cedar Mangrove)</v>
          </cell>
          <cell r="D87" t="str">
            <v>Xylocarpus Granatum</v>
          </cell>
          <cell r="E87" t="str">
            <v>cannonball mangrove, cedar mangrove</v>
          </cell>
          <cell r="I87">
            <v>16300</v>
          </cell>
          <cell r="K87">
            <v>14980</v>
          </cell>
          <cell r="L87">
            <v>29500</v>
          </cell>
          <cell r="M87">
            <v>0.5</v>
          </cell>
        </row>
        <row r="88">
          <cell r="B88">
            <v>86</v>
          </cell>
          <cell r="C88" t="str">
            <v>Xylocarpus Moluccensis (Cedar Mangrove)</v>
          </cell>
          <cell r="D88" t="str">
            <v>Xylocarpus Moluccensis</v>
          </cell>
          <cell r="E88" t="str">
            <v>cedar mangrove</v>
          </cell>
          <cell r="I88">
            <v>15400</v>
          </cell>
          <cell r="K88">
            <v>14080</v>
          </cell>
          <cell r="L88">
            <v>29500</v>
          </cell>
          <cell r="M88">
            <v>0.5</v>
          </cell>
        </row>
        <row r="89">
          <cell r="B89">
            <v>87</v>
          </cell>
          <cell r="C89" t="str">
            <v>Zizyphus Mauritania (Indian Jujube, Indian Plum)</v>
          </cell>
          <cell r="D89" t="str">
            <v>Zizyphus Mauritania</v>
          </cell>
          <cell r="E89" t="str">
            <v>Indian jujube, Indian plum</v>
          </cell>
          <cell r="F89">
            <v>4900</v>
          </cell>
          <cell r="H89">
            <v>4900</v>
          </cell>
          <cell r="I89">
            <v>20580</v>
          </cell>
          <cell r="K89">
            <v>19260</v>
          </cell>
          <cell r="L89">
            <v>29500</v>
          </cell>
          <cell r="M89">
            <v>0.5</v>
          </cell>
        </row>
        <row r="90">
          <cell r="B90">
            <v>88</v>
          </cell>
          <cell r="C90" t="str">
            <v>Zizyphus Talanai</v>
          </cell>
          <cell r="D90" t="str">
            <v>Zizyphus Talanai</v>
          </cell>
          <cell r="I90">
            <v>18300</v>
          </cell>
          <cell r="K90">
            <v>16980</v>
          </cell>
          <cell r="L90">
            <v>29500</v>
          </cell>
          <cell r="M90">
            <v>0.5</v>
          </cell>
        </row>
      </sheetData>
      <sheetData sheetId="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ampling"/>
    </sheetNames>
    <sheetDataSet>
      <sheetData sheetId="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R per ICS"/>
      <sheetName val="De-bundling"/>
      <sheetName val="Calc per CPA"/>
    </sheetNames>
    <sheetDataSet>
      <sheetData sheetId="0"/>
      <sheetData sheetId="1">
        <row r="19">
          <cell r="C19">
            <v>0.2</v>
          </cell>
        </row>
      </sheetData>
      <sheetData sheetId="2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"/>
  <sheetViews>
    <sheetView workbookViewId="0">
      <selection activeCell="B15" sqref="B15"/>
    </sheetView>
  </sheetViews>
  <sheetFormatPr defaultColWidth="8.85546875" defaultRowHeight="15"/>
  <cols>
    <col min="1" max="1" width="43.28515625" customWidth="1"/>
    <col min="2" max="2" width="38.28515625" customWidth="1"/>
    <col min="3" max="3" width="49.140625" customWidth="1"/>
  </cols>
  <sheetData>
    <row r="1" spans="1:4" ht="15.75" thickBot="1"/>
    <row r="2" spans="1:4" ht="15" customHeight="1">
      <c r="A2" s="6" t="s">
        <v>4</v>
      </c>
      <c r="B2" s="371" t="s">
        <v>120</v>
      </c>
      <c r="C2" s="372"/>
      <c r="D2" s="3"/>
    </row>
    <row r="3" spans="1:4">
      <c r="A3" s="7" t="s">
        <v>0</v>
      </c>
      <c r="B3" s="373" t="s">
        <v>121</v>
      </c>
      <c r="C3" s="374"/>
    </row>
    <row r="4" spans="1:4" ht="15.75">
      <c r="A4" s="7" t="s">
        <v>3</v>
      </c>
      <c r="B4" s="375" t="s">
        <v>119</v>
      </c>
      <c r="C4" s="376"/>
      <c r="D4" s="4"/>
    </row>
    <row r="5" spans="1:4">
      <c r="A5" s="7" t="s">
        <v>2</v>
      </c>
      <c r="B5" s="381" t="s">
        <v>118</v>
      </c>
      <c r="C5" s="382"/>
    </row>
    <row r="6" spans="1:4">
      <c r="A6" s="7" t="s">
        <v>15</v>
      </c>
      <c r="B6" s="383" t="s">
        <v>122</v>
      </c>
      <c r="C6" s="384"/>
    </row>
    <row r="7" spans="1:4">
      <c r="A7" s="7" t="s">
        <v>1</v>
      </c>
      <c r="B7" s="379">
        <v>2</v>
      </c>
      <c r="C7" s="380"/>
    </row>
    <row r="8" spans="1:4" ht="15.75" thickBot="1">
      <c r="A8" s="8" t="s">
        <v>29</v>
      </c>
      <c r="B8" s="377" t="s">
        <v>619</v>
      </c>
      <c r="C8" s="378"/>
    </row>
    <row r="9" spans="1:4">
      <c r="A9" s="1"/>
      <c r="B9" s="2"/>
      <c r="C9" s="2"/>
    </row>
  </sheetData>
  <mergeCells count="7">
    <mergeCell ref="B2:C2"/>
    <mergeCell ref="B3:C3"/>
    <mergeCell ref="B4:C4"/>
    <mergeCell ref="B8:C8"/>
    <mergeCell ref="B7:C7"/>
    <mergeCell ref="B5:C5"/>
    <mergeCell ref="B6:C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80"/>
  <sheetViews>
    <sheetView tabSelected="1" topLeftCell="E1" zoomScale="85" zoomScaleNormal="85" workbookViewId="0">
      <selection activeCell="M14" sqref="M14"/>
    </sheetView>
  </sheetViews>
  <sheetFormatPr defaultRowHeight="15"/>
  <cols>
    <col min="1" max="1" width="33.5703125" customWidth="1"/>
    <col min="2" max="2" width="32" customWidth="1"/>
    <col min="3" max="4" width="16.28515625" customWidth="1"/>
    <col min="5" max="5" width="19.140625" customWidth="1"/>
    <col min="6" max="6" width="17" customWidth="1"/>
    <col min="7" max="7" width="19.28515625" customWidth="1"/>
    <col min="8" max="8" width="13.140625" style="339" customWidth="1"/>
    <col min="9" max="12" width="15.5703125" customWidth="1"/>
    <col min="13" max="13" width="22.42578125" customWidth="1"/>
    <col min="15" max="15" width="14.5703125" customWidth="1"/>
  </cols>
  <sheetData>
    <row r="1" spans="1:23" ht="33">
      <c r="A1" s="38" t="s">
        <v>5</v>
      </c>
      <c r="B1" s="39" t="s">
        <v>6</v>
      </c>
      <c r="C1" s="37"/>
      <c r="D1" s="37"/>
      <c r="G1" s="37"/>
      <c r="H1" s="320" t="s">
        <v>268</v>
      </c>
      <c r="I1" s="314" t="s">
        <v>616</v>
      </c>
      <c r="J1" s="314" t="s">
        <v>615</v>
      </c>
      <c r="K1" s="314" t="s">
        <v>177</v>
      </c>
      <c r="L1" s="315" t="s">
        <v>178</v>
      </c>
      <c r="M1" s="315" t="s">
        <v>257</v>
      </c>
      <c r="N1" s="37"/>
      <c r="O1" s="37"/>
      <c r="P1" s="37"/>
      <c r="Q1" s="37"/>
      <c r="R1" s="37"/>
      <c r="S1" s="37"/>
      <c r="T1" s="37"/>
      <c r="U1" s="37"/>
      <c r="V1" s="37"/>
      <c r="W1" s="37"/>
    </row>
    <row r="2" spans="1:23" ht="15.75" customHeight="1">
      <c r="A2" s="413" t="s">
        <v>52</v>
      </c>
      <c r="B2" s="415">
        <v>44568</v>
      </c>
      <c r="C2" s="37"/>
      <c r="D2" s="37"/>
      <c r="G2" s="37"/>
      <c r="H2" s="412" t="s">
        <v>259</v>
      </c>
      <c r="I2" s="316" t="s">
        <v>179</v>
      </c>
      <c r="J2" s="316" t="s">
        <v>148</v>
      </c>
      <c r="K2" s="322">
        <v>10000</v>
      </c>
      <c r="L2" s="317">
        <f>K2/$C$16</f>
        <v>4.1506348395987165E-2</v>
      </c>
      <c r="M2" s="318">
        <f>ROUNDUP(L2*$E$45,0)</f>
        <v>1</v>
      </c>
      <c r="N2" s="37"/>
      <c r="O2" s="37"/>
      <c r="P2" s="37"/>
      <c r="Q2" s="37"/>
      <c r="R2" s="37"/>
      <c r="S2" s="37"/>
      <c r="T2" s="37"/>
      <c r="U2" s="37"/>
      <c r="V2" s="37"/>
      <c r="W2" s="37"/>
    </row>
    <row r="3" spans="1:23" ht="18" customHeight="1">
      <c r="A3" s="414"/>
      <c r="B3" s="416"/>
      <c r="C3" s="41"/>
      <c r="D3" s="37"/>
      <c r="G3" s="37"/>
      <c r="H3" s="412"/>
      <c r="I3" s="316" t="s">
        <v>182</v>
      </c>
      <c r="J3" s="316" t="s">
        <v>148</v>
      </c>
      <c r="K3" s="322">
        <v>5000</v>
      </c>
      <c r="L3" s="317">
        <f t="shared" ref="L3:L19" si="0">K3/$C$16</f>
        <v>2.0753174197993583E-2</v>
      </c>
      <c r="M3" s="318">
        <f>ROUNDDOWN(L3*$E$45,0)</f>
        <v>0</v>
      </c>
      <c r="N3" s="37"/>
      <c r="O3" s="37"/>
      <c r="P3" s="37"/>
      <c r="Q3" s="37"/>
      <c r="R3" s="37"/>
      <c r="S3" s="37"/>
      <c r="T3" s="37"/>
      <c r="U3" s="37"/>
      <c r="V3" s="37"/>
      <c r="W3" s="37"/>
    </row>
    <row r="4" spans="1:23" ht="15" customHeight="1">
      <c r="A4" s="5" t="s">
        <v>53</v>
      </c>
      <c r="B4" s="40">
        <v>44895</v>
      </c>
      <c r="C4" s="41"/>
      <c r="D4" s="37"/>
      <c r="G4" s="37"/>
      <c r="H4" s="412" t="s">
        <v>260</v>
      </c>
      <c r="I4" s="316" t="s">
        <v>180</v>
      </c>
      <c r="J4" s="316" t="s">
        <v>148</v>
      </c>
      <c r="K4" s="322">
        <v>10000</v>
      </c>
      <c r="L4" s="317">
        <f t="shared" si="0"/>
        <v>4.1506348395987165E-2</v>
      </c>
      <c r="M4" s="318">
        <f>ROUNDUP(L4*$E$45,0)</f>
        <v>1</v>
      </c>
      <c r="N4" s="37"/>
      <c r="O4" s="37"/>
      <c r="P4" s="37"/>
      <c r="Q4" s="37"/>
      <c r="R4" s="37"/>
      <c r="S4" s="37"/>
      <c r="T4" s="37"/>
      <c r="U4" s="37"/>
      <c r="V4" s="37"/>
      <c r="W4" s="37"/>
    </row>
    <row r="5" spans="1:23" ht="33.75" customHeight="1">
      <c r="A5" s="42" t="s">
        <v>51</v>
      </c>
      <c r="B5" s="43">
        <f>(B4-B2+1)/365</f>
        <v>0.89863013698630134</v>
      </c>
      <c r="C5" s="37"/>
      <c r="D5" s="37"/>
      <c r="G5" s="37"/>
      <c r="H5" s="412"/>
      <c r="I5" s="316" t="s">
        <v>181</v>
      </c>
      <c r="J5" s="316" t="s">
        <v>148</v>
      </c>
      <c r="K5" s="322">
        <v>10000</v>
      </c>
      <c r="L5" s="317">
        <f t="shared" si="0"/>
        <v>4.1506348395987165E-2</v>
      </c>
      <c r="M5" s="318">
        <f>ROUNDUP(L5*$E$45,0)</f>
        <v>1</v>
      </c>
      <c r="N5" s="37"/>
      <c r="O5" s="37"/>
      <c r="P5" s="37"/>
      <c r="Q5" s="37"/>
      <c r="R5" s="37"/>
      <c r="S5" s="37"/>
      <c r="T5" s="37"/>
      <c r="U5" s="37"/>
      <c r="V5" s="37"/>
      <c r="W5" s="37"/>
    </row>
    <row r="6" spans="1:23" ht="18.75" customHeight="1">
      <c r="A6" s="42" t="s">
        <v>7</v>
      </c>
      <c r="B6" s="44" t="s">
        <v>54</v>
      </c>
      <c r="C6" s="37"/>
      <c r="D6" s="37"/>
      <c r="G6" s="37"/>
      <c r="H6" s="412" t="s">
        <v>261</v>
      </c>
      <c r="I6" s="316" t="s">
        <v>183</v>
      </c>
      <c r="J6" s="316" t="s">
        <v>148</v>
      </c>
      <c r="K6" s="322">
        <v>10000</v>
      </c>
      <c r="L6" s="317">
        <f t="shared" si="0"/>
        <v>4.1506348395987165E-2</v>
      </c>
      <c r="M6" s="318">
        <f>ROUNDUP(L6*$E$45,0)</f>
        <v>1</v>
      </c>
      <c r="N6" s="37"/>
      <c r="O6" s="37"/>
      <c r="P6" s="37"/>
      <c r="Q6" s="37"/>
      <c r="R6" s="37"/>
      <c r="S6" s="37"/>
      <c r="T6" s="37"/>
      <c r="U6" s="37"/>
      <c r="V6" s="37"/>
      <c r="W6" s="37"/>
    </row>
    <row r="7" spans="1:23" ht="18.75" customHeight="1">
      <c r="A7" s="42" t="s">
        <v>8</v>
      </c>
      <c r="B7" s="45">
        <f>IF(B6="PoA",0.95,IF(B5=1,0.9,0.95))</f>
        <v>0.95</v>
      </c>
      <c r="C7" s="37"/>
      <c r="D7" s="37"/>
      <c r="G7" s="37"/>
      <c r="H7" s="412"/>
      <c r="I7" s="316" t="s">
        <v>184</v>
      </c>
      <c r="J7" s="316" t="s">
        <v>148</v>
      </c>
      <c r="K7" s="322">
        <v>10000</v>
      </c>
      <c r="L7" s="317">
        <f t="shared" si="0"/>
        <v>4.1506348395987165E-2</v>
      </c>
      <c r="M7" s="318">
        <f>ROUNDUP(L7*$E$45,0)</f>
        <v>1</v>
      </c>
      <c r="N7" s="37"/>
      <c r="O7" s="37"/>
      <c r="P7" s="37"/>
      <c r="Q7" s="37"/>
      <c r="R7" s="37"/>
      <c r="S7" s="37"/>
      <c r="T7" s="37"/>
      <c r="U7" s="37"/>
      <c r="V7" s="37"/>
      <c r="W7" s="37"/>
    </row>
    <row r="8" spans="1:23" ht="16.5" customHeight="1">
      <c r="A8" s="42" t="s">
        <v>9</v>
      </c>
      <c r="B8" s="46">
        <v>0.1</v>
      </c>
      <c r="C8" s="37"/>
      <c r="D8" s="37"/>
      <c r="G8" s="37"/>
      <c r="H8" s="412"/>
      <c r="I8" s="319" t="s">
        <v>185</v>
      </c>
      <c r="J8" s="316" t="s">
        <v>148</v>
      </c>
      <c r="K8" s="322">
        <v>10000</v>
      </c>
      <c r="L8" s="317">
        <f t="shared" si="0"/>
        <v>4.1506348395987165E-2</v>
      </c>
      <c r="M8" s="318">
        <f>ROUNDUP(L8*$E$45,0)</f>
        <v>1</v>
      </c>
      <c r="N8" s="37"/>
      <c r="O8" s="37"/>
      <c r="P8" s="37"/>
      <c r="Q8" s="37"/>
      <c r="R8" s="37"/>
      <c r="S8" s="37"/>
      <c r="T8" s="37"/>
      <c r="U8" s="37"/>
      <c r="V8" s="37"/>
      <c r="W8" s="37"/>
    </row>
    <row r="9" spans="1:23">
      <c r="A9" s="42" t="s">
        <v>10</v>
      </c>
      <c r="B9" s="43">
        <f>NORMSINV(0.975)</f>
        <v>1.9599639845400536</v>
      </c>
      <c r="C9" s="37"/>
      <c r="D9" s="37"/>
      <c r="E9" s="37"/>
      <c r="F9" s="37"/>
      <c r="G9" s="37"/>
      <c r="H9" s="412"/>
      <c r="I9" s="319" t="s">
        <v>186</v>
      </c>
      <c r="J9" s="316" t="s">
        <v>148</v>
      </c>
      <c r="K9" s="322">
        <v>4000</v>
      </c>
      <c r="L9" s="317">
        <f t="shared" si="0"/>
        <v>1.6602539358394865E-2</v>
      </c>
      <c r="M9" s="318">
        <f>ROUNDDOWN(L9*$E$45,0)</f>
        <v>0</v>
      </c>
      <c r="N9" s="37"/>
      <c r="O9" s="37"/>
      <c r="P9" s="37"/>
      <c r="Q9" s="37"/>
      <c r="R9" s="37"/>
      <c r="S9" s="37"/>
      <c r="T9" s="37"/>
      <c r="U9" s="37"/>
      <c r="V9" s="37"/>
      <c r="W9" s="37"/>
    </row>
    <row r="10" spans="1:23">
      <c r="A10" s="37"/>
      <c r="B10" s="47"/>
      <c r="C10" s="37"/>
      <c r="D10" s="37"/>
      <c r="E10" s="37"/>
      <c r="F10" s="37"/>
      <c r="G10" s="37"/>
      <c r="H10" s="412" t="s">
        <v>262</v>
      </c>
      <c r="I10" s="319" t="s">
        <v>187</v>
      </c>
      <c r="J10" s="316" t="s">
        <v>148</v>
      </c>
      <c r="K10" s="322">
        <v>10000</v>
      </c>
      <c r="L10" s="317">
        <f t="shared" si="0"/>
        <v>4.1506348395987165E-2</v>
      </c>
      <c r="M10" s="318">
        <f>ROUNDUP(L10*$E$45,0)</f>
        <v>1</v>
      </c>
      <c r="N10" s="37"/>
      <c r="O10" s="37"/>
      <c r="P10" s="37"/>
      <c r="Q10" s="37"/>
      <c r="R10" s="37"/>
      <c r="S10" s="37"/>
      <c r="T10" s="37"/>
      <c r="U10" s="37"/>
      <c r="V10" s="37"/>
      <c r="W10" s="37"/>
    </row>
    <row r="11" spans="1:23" ht="32.25" customHeight="1">
      <c r="A11" s="401" t="s">
        <v>39</v>
      </c>
      <c r="B11" s="402"/>
      <c r="C11" s="403" t="s">
        <v>46</v>
      </c>
      <c r="D11" s="404"/>
      <c r="E11" s="404"/>
      <c r="F11" s="87"/>
      <c r="G11" s="37"/>
      <c r="H11" s="412"/>
      <c r="I11" s="319" t="s">
        <v>188</v>
      </c>
      <c r="J11" s="316" t="s">
        <v>148</v>
      </c>
      <c r="K11" s="322">
        <v>5000</v>
      </c>
      <c r="L11" s="317">
        <f t="shared" si="0"/>
        <v>2.0753174197993583E-2</v>
      </c>
      <c r="M11" s="318">
        <f>ROUNDDOWN(L11*$E$45,0)</f>
        <v>0</v>
      </c>
      <c r="N11" s="37"/>
      <c r="O11" s="37"/>
      <c r="P11" s="37"/>
      <c r="Q11" s="37"/>
      <c r="R11" s="37"/>
      <c r="S11" s="37"/>
      <c r="T11" s="37"/>
      <c r="U11" s="37"/>
      <c r="V11" s="37"/>
      <c r="W11" s="37"/>
    </row>
    <row r="12" spans="1:23" ht="24" customHeight="1">
      <c r="A12" s="405" t="s">
        <v>11</v>
      </c>
      <c r="B12" s="406"/>
      <c r="C12" s="407" t="s">
        <v>40</v>
      </c>
      <c r="D12" s="408"/>
      <c r="E12" s="408"/>
      <c r="F12" s="86"/>
      <c r="G12" s="37"/>
      <c r="H12" s="316" t="s">
        <v>592</v>
      </c>
      <c r="I12" s="319" t="s">
        <v>189</v>
      </c>
      <c r="J12" s="316" t="s">
        <v>148</v>
      </c>
      <c r="K12" s="322">
        <v>5036</v>
      </c>
      <c r="L12" s="317">
        <f t="shared" si="0"/>
        <v>2.0902597052219137E-2</v>
      </c>
      <c r="M12" s="318">
        <f>ROUNDDOWN(L12*$E$45,0)</f>
        <v>0</v>
      </c>
      <c r="N12" s="37"/>
      <c r="O12" s="37"/>
      <c r="P12" s="37"/>
      <c r="Q12" s="37"/>
      <c r="R12" s="37"/>
      <c r="S12" s="37"/>
      <c r="T12" s="37"/>
      <c r="U12" s="37"/>
      <c r="V12" s="37"/>
      <c r="W12" s="37"/>
    </row>
    <row r="13" spans="1:23" ht="27.75" customHeight="1">
      <c r="A13" s="405" t="s">
        <v>14</v>
      </c>
      <c r="B13" s="406"/>
      <c r="C13" s="409" t="s">
        <v>41</v>
      </c>
      <c r="D13" s="410"/>
      <c r="E13" s="410"/>
      <c r="F13" s="86"/>
      <c r="G13" s="37"/>
      <c r="H13" s="316" t="s">
        <v>593</v>
      </c>
      <c r="I13" s="319" t="s">
        <v>190</v>
      </c>
      <c r="J13" s="316" t="s">
        <v>148</v>
      </c>
      <c r="K13" s="322">
        <v>2860</v>
      </c>
      <c r="L13" s="317">
        <f t="shared" si="0"/>
        <v>1.1870815641252329E-2</v>
      </c>
      <c r="M13" s="318">
        <f>ROUNDDOWN(L13*$E$45,0)</f>
        <v>0</v>
      </c>
      <c r="N13" s="37"/>
      <c r="O13" s="37"/>
      <c r="P13" s="37"/>
      <c r="Q13" s="37"/>
      <c r="R13" s="37"/>
      <c r="S13" s="37"/>
      <c r="T13" s="37"/>
      <c r="U13" s="37"/>
      <c r="V13" s="37"/>
      <c r="W13" s="37"/>
    </row>
    <row r="14" spans="1:23" ht="50.25" customHeight="1">
      <c r="A14" s="81" t="s">
        <v>42</v>
      </c>
      <c r="B14" s="85" t="s">
        <v>43</v>
      </c>
      <c r="C14" s="85" t="s">
        <v>13</v>
      </c>
      <c r="D14" s="85" t="s">
        <v>258</v>
      </c>
      <c r="E14" s="92" t="s">
        <v>12</v>
      </c>
      <c r="F14" s="85" t="s">
        <v>48</v>
      </c>
      <c r="G14" s="37"/>
      <c r="H14" s="412" t="s">
        <v>263</v>
      </c>
      <c r="I14" s="319" t="s">
        <v>191</v>
      </c>
      <c r="J14" s="316" t="s">
        <v>148</v>
      </c>
      <c r="K14" s="322">
        <v>10000</v>
      </c>
      <c r="L14" s="317">
        <f t="shared" si="0"/>
        <v>4.1506348395987165E-2</v>
      </c>
      <c r="M14" s="318">
        <f>ROUNDUP(L14*$E$45,0)</f>
        <v>1</v>
      </c>
      <c r="N14" s="37"/>
      <c r="O14" s="37"/>
      <c r="P14" s="37"/>
      <c r="Q14" s="37"/>
      <c r="R14" s="37"/>
      <c r="S14" s="37"/>
      <c r="T14" s="37"/>
      <c r="U14" s="37"/>
      <c r="V14" s="37"/>
      <c r="W14" s="37"/>
    </row>
    <row r="15" spans="1:23" ht="22.5" customHeight="1">
      <c r="A15" s="221" t="s">
        <v>55</v>
      </c>
      <c r="B15" s="222">
        <v>1</v>
      </c>
      <c r="C15" s="220">
        <v>430035</v>
      </c>
      <c r="D15" s="88">
        <v>0.9</v>
      </c>
      <c r="E15" s="93">
        <f>$E$20*C15/SUM($C$15:$C$16)</f>
        <v>27.559690414658355</v>
      </c>
      <c r="F15" s="240">
        <f>ROUNDUP(E15/0.8,0)</f>
        <v>35</v>
      </c>
      <c r="G15" s="37"/>
      <c r="H15" s="412"/>
      <c r="I15" s="319" t="s">
        <v>192</v>
      </c>
      <c r="J15" s="316" t="s">
        <v>148</v>
      </c>
      <c r="K15" s="322">
        <v>10000</v>
      </c>
      <c r="L15" s="317">
        <f t="shared" si="0"/>
        <v>4.1506348395987165E-2</v>
      </c>
      <c r="M15" s="318">
        <f>ROUNDUP(L15*$E$45,0)</f>
        <v>1</v>
      </c>
      <c r="N15" s="37"/>
      <c r="O15" s="37"/>
      <c r="P15" s="37"/>
      <c r="Q15" s="37"/>
      <c r="R15" s="37"/>
      <c r="S15" s="37"/>
      <c r="T15" s="37"/>
      <c r="U15" s="37"/>
      <c r="V15" s="37"/>
      <c r="W15" s="37"/>
    </row>
    <row r="16" spans="1:23" ht="21.75" customHeight="1">
      <c r="A16" s="221" t="s">
        <v>47</v>
      </c>
      <c r="B16" s="222">
        <v>1</v>
      </c>
      <c r="C16" s="220">
        <v>240927</v>
      </c>
      <c r="D16" s="88">
        <v>0.9</v>
      </c>
      <c r="E16" s="93">
        <f>$E$20*C16/SUM($C$15:$C$16)</f>
        <v>15.440309585341645</v>
      </c>
      <c r="F16" s="240">
        <f>E16/0.8</f>
        <v>19.300386981677054</v>
      </c>
      <c r="G16" s="37"/>
      <c r="H16" s="412"/>
      <c r="I16" s="319" t="s">
        <v>193</v>
      </c>
      <c r="J16" s="316" t="s">
        <v>148</v>
      </c>
      <c r="K16" s="322">
        <v>3515</v>
      </c>
      <c r="L16" s="317">
        <f t="shared" si="0"/>
        <v>1.4589481461189489E-2</v>
      </c>
      <c r="M16" s="318">
        <f>ROUNDDOWN(L16*$E$45,0)</f>
        <v>0</v>
      </c>
      <c r="N16" s="37"/>
      <c r="O16" s="37"/>
      <c r="P16" s="37"/>
      <c r="Q16" s="37"/>
      <c r="R16" s="37"/>
      <c r="S16" s="37"/>
      <c r="T16" s="37"/>
      <c r="U16" s="37"/>
      <c r="V16" s="37"/>
      <c r="W16" s="37"/>
    </row>
    <row r="17" spans="1:23">
      <c r="A17" s="411" t="s">
        <v>44</v>
      </c>
      <c r="B17" s="411"/>
      <c r="C17" s="411"/>
      <c r="D17" s="411"/>
      <c r="E17" s="411"/>
      <c r="F17" s="94"/>
      <c r="G17" s="37"/>
      <c r="H17" s="316" t="s">
        <v>594</v>
      </c>
      <c r="I17" s="319" t="s">
        <v>194</v>
      </c>
      <c r="J17" s="316" t="s">
        <v>148</v>
      </c>
      <c r="K17" s="322">
        <v>5000</v>
      </c>
      <c r="L17" s="317">
        <f t="shared" si="0"/>
        <v>2.0753174197993583E-2</v>
      </c>
      <c r="M17" s="318">
        <f>ROUNDDOWN(L17*$E$45,0)</f>
        <v>0</v>
      </c>
      <c r="N17" s="37"/>
      <c r="O17" s="37"/>
      <c r="P17" s="37"/>
      <c r="Q17" s="37"/>
      <c r="R17" s="37"/>
      <c r="S17" s="37"/>
      <c r="T17" s="37"/>
      <c r="U17" s="37"/>
      <c r="V17" s="37"/>
      <c r="W17" s="37"/>
    </row>
    <row r="18" spans="1:23">
      <c r="A18" s="397" t="s">
        <v>49</v>
      </c>
      <c r="B18" s="397"/>
      <c r="C18" s="397"/>
      <c r="D18" s="397"/>
      <c r="E18" s="82">
        <f>SUMPRODUCT($C$15:$C$16,$D$15:$D$16)/SUM($C$15:$C$16)</f>
        <v>0.9</v>
      </c>
      <c r="F18" s="94"/>
      <c r="G18" s="37"/>
      <c r="H18" s="412" t="s">
        <v>345</v>
      </c>
      <c r="I18" s="316" t="s">
        <v>195</v>
      </c>
      <c r="J18" s="316" t="s">
        <v>148</v>
      </c>
      <c r="K18" s="322">
        <v>10000</v>
      </c>
      <c r="L18" s="317">
        <f t="shared" si="0"/>
        <v>4.1506348395987165E-2</v>
      </c>
      <c r="M18" s="318">
        <f>ROUNDUP(L18*$E$45,0)</f>
        <v>1</v>
      </c>
      <c r="N18" s="37"/>
      <c r="O18" s="37"/>
      <c r="P18" s="37"/>
      <c r="Q18" s="37"/>
      <c r="R18" s="37"/>
      <c r="S18" s="37"/>
      <c r="T18" s="37"/>
      <c r="U18" s="37"/>
      <c r="V18" s="37"/>
      <c r="W18" s="37"/>
    </row>
    <row r="19" spans="1:23" ht="21.75" customHeight="1">
      <c r="A19" s="397" t="s">
        <v>50</v>
      </c>
      <c r="B19" s="397"/>
      <c r="C19" s="397"/>
      <c r="D19" s="397"/>
      <c r="E19" s="83">
        <f>E18*(1-E18)/E18^2</f>
        <v>0.11111111111111108</v>
      </c>
      <c r="F19" s="37"/>
      <c r="G19" s="37"/>
      <c r="H19" s="412"/>
      <c r="I19" s="316" t="s">
        <v>196</v>
      </c>
      <c r="J19" s="316" t="s">
        <v>148</v>
      </c>
      <c r="K19" s="322">
        <v>7581</v>
      </c>
      <c r="L19" s="317">
        <f t="shared" si="0"/>
        <v>3.1465962718997868E-2</v>
      </c>
      <c r="M19" s="318">
        <f>ROUNDDOWN(L19*$E$45,0)</f>
        <v>0</v>
      </c>
      <c r="N19" s="37"/>
      <c r="O19" s="37"/>
      <c r="P19" s="37"/>
      <c r="Q19" s="37"/>
      <c r="R19" s="37"/>
      <c r="S19" s="37"/>
      <c r="T19" s="37"/>
      <c r="U19" s="37"/>
      <c r="V19" s="37"/>
      <c r="W19" s="37"/>
    </row>
    <row r="20" spans="1:23" ht="21" customHeight="1">
      <c r="A20" s="397" t="s">
        <v>45</v>
      </c>
      <c r="B20" s="397"/>
      <c r="C20" s="397"/>
      <c r="D20" s="397"/>
      <c r="E20" s="84">
        <f>ROUNDUP(($B$9^2*SUM(C15:C16)*E19)/(((SUM(C15:C16)-1)*$B$8^2)+($B$9^2*E19)),0)</f>
        <v>43</v>
      </c>
      <c r="F20" s="37"/>
      <c r="G20" s="37"/>
      <c r="H20" s="412" t="s">
        <v>352</v>
      </c>
      <c r="I20" s="316" t="s">
        <v>197</v>
      </c>
      <c r="J20" s="316" t="s">
        <v>147</v>
      </c>
      <c r="K20" s="322">
        <v>10000</v>
      </c>
      <c r="L20" s="317">
        <f>K20/$C$15</f>
        <v>2.3253921192461079E-2</v>
      </c>
      <c r="M20" s="318">
        <f>ROUNDUP(L20*$E$44,0)</f>
        <v>1</v>
      </c>
      <c r="N20" s="37"/>
      <c r="O20" s="37"/>
      <c r="P20" s="37"/>
      <c r="Q20" s="37"/>
      <c r="R20" s="37"/>
      <c r="S20" s="37"/>
      <c r="T20" s="37"/>
      <c r="U20" s="37"/>
      <c r="V20" s="37"/>
      <c r="W20" s="37"/>
    </row>
    <row r="21" spans="1:23">
      <c r="A21" s="37"/>
      <c r="B21" s="37"/>
      <c r="C21" s="37"/>
      <c r="D21" s="37"/>
      <c r="E21" s="37"/>
      <c r="F21" s="37"/>
      <c r="G21" s="37"/>
      <c r="H21" s="412"/>
      <c r="I21" s="316" t="s">
        <v>198</v>
      </c>
      <c r="J21" s="316" t="s">
        <v>147</v>
      </c>
      <c r="K21" s="322">
        <v>10000</v>
      </c>
      <c r="L21" s="317">
        <f t="shared" ref="L21:L44" si="1">K21/$C$15</f>
        <v>2.3253921192461079E-2</v>
      </c>
      <c r="M21" s="318">
        <f t="shared" ref="M21:M29" si="2">ROUNDUP(L21*$E$44,0)</f>
        <v>1</v>
      </c>
      <c r="N21" s="37"/>
      <c r="O21" s="37"/>
      <c r="P21" s="37"/>
      <c r="Q21" s="37"/>
      <c r="R21" s="37"/>
      <c r="S21" s="37"/>
      <c r="T21" s="37"/>
      <c r="U21" s="37"/>
      <c r="V21" s="37"/>
      <c r="W21" s="37"/>
    </row>
    <row r="22" spans="1:23" ht="24" customHeight="1">
      <c r="H22" s="412"/>
      <c r="I22" s="316" t="s">
        <v>199</v>
      </c>
      <c r="J22" s="316" t="s">
        <v>147</v>
      </c>
      <c r="K22" s="322">
        <v>10000</v>
      </c>
      <c r="L22" s="317">
        <f t="shared" si="1"/>
        <v>2.3253921192461079E-2</v>
      </c>
      <c r="M22" s="318">
        <f t="shared" si="2"/>
        <v>1</v>
      </c>
      <c r="N22" s="37"/>
      <c r="O22" s="37"/>
      <c r="P22" s="37"/>
      <c r="Q22" s="37"/>
      <c r="R22" s="37"/>
      <c r="S22" s="37"/>
      <c r="T22" s="37"/>
      <c r="U22" s="37"/>
      <c r="V22" s="37"/>
      <c r="W22" s="37"/>
    </row>
    <row r="23" spans="1:23" ht="27" customHeight="1">
      <c r="H23" s="412" t="s">
        <v>264</v>
      </c>
      <c r="I23" s="316" t="s">
        <v>200</v>
      </c>
      <c r="J23" s="316" t="s">
        <v>147</v>
      </c>
      <c r="K23" s="322">
        <v>10000</v>
      </c>
      <c r="L23" s="317">
        <f t="shared" si="1"/>
        <v>2.3253921192461079E-2</v>
      </c>
      <c r="M23" s="318">
        <f t="shared" si="2"/>
        <v>1</v>
      </c>
      <c r="N23" s="37"/>
      <c r="O23" s="37"/>
      <c r="P23" s="37"/>
      <c r="Q23" s="37"/>
      <c r="R23" s="37"/>
      <c r="S23" s="37"/>
      <c r="T23" s="37"/>
      <c r="U23" s="37"/>
      <c r="V23" s="37"/>
      <c r="W23" s="37"/>
    </row>
    <row r="24" spans="1:23" ht="35.25" customHeight="1">
      <c r="A24" s="223" t="s">
        <v>123</v>
      </c>
      <c r="B24" s="398" t="s">
        <v>143</v>
      </c>
      <c r="C24" s="398"/>
      <c r="D24" s="398"/>
      <c r="E24" s="398"/>
      <c r="H24" s="412"/>
      <c r="I24" s="316" t="s">
        <v>201</v>
      </c>
      <c r="J24" s="316" t="s">
        <v>147</v>
      </c>
      <c r="K24" s="322">
        <v>10000</v>
      </c>
      <c r="L24" s="317">
        <f t="shared" si="1"/>
        <v>2.3253921192461079E-2</v>
      </c>
      <c r="M24" s="318">
        <f t="shared" si="2"/>
        <v>1</v>
      </c>
      <c r="N24" s="37"/>
      <c r="O24" s="37"/>
      <c r="P24" s="37"/>
      <c r="Q24" s="37"/>
      <c r="R24" s="37"/>
      <c r="S24" s="37"/>
      <c r="T24" s="37"/>
      <c r="U24" s="37"/>
      <c r="V24" s="37"/>
      <c r="W24" s="37"/>
    </row>
    <row r="25" spans="1:23" ht="30" customHeight="1">
      <c r="A25" s="224" t="s">
        <v>142</v>
      </c>
      <c r="B25" s="399" t="s">
        <v>124</v>
      </c>
      <c r="C25" s="399"/>
      <c r="D25" s="399"/>
      <c r="E25" s="399"/>
      <c r="H25" s="412"/>
      <c r="I25" s="316" t="s">
        <v>202</v>
      </c>
      <c r="J25" s="316" t="s">
        <v>147</v>
      </c>
      <c r="K25" s="322">
        <v>10000</v>
      </c>
      <c r="L25" s="317">
        <f t="shared" si="1"/>
        <v>2.3253921192461079E-2</v>
      </c>
      <c r="M25" s="318">
        <f t="shared" si="2"/>
        <v>1</v>
      </c>
      <c r="N25" s="37"/>
      <c r="O25" s="37"/>
      <c r="P25" s="37"/>
      <c r="Q25" s="37"/>
      <c r="R25" s="37"/>
      <c r="S25" s="37"/>
      <c r="T25" s="37"/>
      <c r="U25" s="37"/>
      <c r="V25" s="37"/>
      <c r="W25" s="37"/>
    </row>
    <row r="26" spans="1:23">
      <c r="A26" s="224" t="s">
        <v>14</v>
      </c>
      <c r="B26" s="400" t="s">
        <v>125</v>
      </c>
      <c r="C26" s="400"/>
      <c r="D26" s="400"/>
      <c r="E26" s="400"/>
      <c r="H26" s="412" t="s">
        <v>389</v>
      </c>
      <c r="I26" s="316" t="s">
        <v>203</v>
      </c>
      <c r="J26" s="316" t="s">
        <v>147</v>
      </c>
      <c r="K26" s="322">
        <v>10000</v>
      </c>
      <c r="L26" s="317">
        <f t="shared" si="1"/>
        <v>2.3253921192461079E-2</v>
      </c>
      <c r="M26" s="318">
        <f t="shared" si="2"/>
        <v>1</v>
      </c>
      <c r="N26" s="37"/>
      <c r="O26" s="37"/>
      <c r="P26" s="37"/>
      <c r="Q26" s="37"/>
      <c r="R26" s="37"/>
      <c r="S26" s="37"/>
      <c r="T26" s="37"/>
      <c r="U26" s="37"/>
      <c r="V26" s="37"/>
      <c r="W26" s="37"/>
    </row>
    <row r="27" spans="1:23" ht="30">
      <c r="A27" s="225" t="s">
        <v>126</v>
      </c>
      <c r="B27" s="225" t="s">
        <v>127</v>
      </c>
      <c r="C27" s="226" t="s">
        <v>150</v>
      </c>
      <c r="D27" s="226" t="s">
        <v>128</v>
      </c>
      <c r="E27" s="226" t="s">
        <v>129</v>
      </c>
      <c r="F27" s="85" t="s">
        <v>48</v>
      </c>
      <c r="H27" s="412"/>
      <c r="I27" s="316" t="s">
        <v>204</v>
      </c>
      <c r="J27" s="316" t="s">
        <v>147</v>
      </c>
      <c r="K27" s="322">
        <v>10000</v>
      </c>
      <c r="L27" s="317">
        <f t="shared" si="1"/>
        <v>2.3253921192461079E-2</v>
      </c>
      <c r="M27" s="318">
        <f t="shared" si="2"/>
        <v>1</v>
      </c>
      <c r="N27" s="37"/>
      <c r="O27" s="37"/>
      <c r="P27" s="37"/>
      <c r="Q27" s="37"/>
      <c r="R27" s="37"/>
      <c r="S27" s="37"/>
      <c r="T27" s="37"/>
      <c r="U27" s="37"/>
      <c r="V27" s="37"/>
      <c r="W27" s="37"/>
    </row>
    <row r="28" spans="1:23">
      <c r="A28" s="227" t="s">
        <v>144</v>
      </c>
      <c r="B28" s="235">
        <v>430035</v>
      </c>
      <c r="C28" s="228">
        <v>0.38440000000000002</v>
      </c>
      <c r="D28" s="228">
        <v>3.8440000000000002E-2</v>
      </c>
      <c r="E28" s="229">
        <f>MAX(ROUNDUP((($E$39)*B28/SUM($B$28:$B$29)),0),2)</f>
        <v>5</v>
      </c>
      <c r="F28" s="241">
        <f>ROUNDUP(E28/0.8,0)</f>
        <v>7</v>
      </c>
      <c r="H28" s="412"/>
      <c r="I28" s="316" t="s">
        <v>205</v>
      </c>
      <c r="J28" s="316" t="s">
        <v>147</v>
      </c>
      <c r="K28" s="322">
        <v>10000</v>
      </c>
      <c r="L28" s="317">
        <f t="shared" si="1"/>
        <v>2.3253921192461079E-2</v>
      </c>
      <c r="M28" s="318">
        <f t="shared" si="2"/>
        <v>1</v>
      </c>
      <c r="N28" s="37"/>
      <c r="O28" s="37"/>
      <c r="P28" s="37"/>
      <c r="Q28" s="37"/>
      <c r="R28" s="37"/>
      <c r="S28" s="37"/>
      <c r="T28" s="37"/>
      <c r="U28" s="37"/>
      <c r="V28" s="37"/>
      <c r="W28" s="37"/>
    </row>
    <row r="29" spans="1:23" ht="15.75" customHeight="1">
      <c r="A29" s="227" t="s">
        <v>145</v>
      </c>
      <c r="B29" s="235">
        <v>240927</v>
      </c>
      <c r="C29" s="228">
        <v>0.30249999999999999</v>
      </c>
      <c r="D29" s="228">
        <v>3.0249999999999999E-2</v>
      </c>
      <c r="E29" s="229">
        <f>MAX(ROUNDUP((($E$39)*B29/SUM($B$28:$B$29)),0),2)</f>
        <v>3</v>
      </c>
      <c r="F29" s="241">
        <f>ROUNDUP(E29/0.8,0)</f>
        <v>4</v>
      </c>
      <c r="H29" s="412"/>
      <c r="I29" s="316" t="s">
        <v>206</v>
      </c>
      <c r="J29" s="316" t="s">
        <v>147</v>
      </c>
      <c r="K29" s="322">
        <v>10000</v>
      </c>
      <c r="L29" s="317">
        <f t="shared" si="1"/>
        <v>2.3253921192461079E-2</v>
      </c>
      <c r="M29" s="318">
        <f t="shared" si="2"/>
        <v>1</v>
      </c>
      <c r="N29" s="37"/>
      <c r="O29" s="37"/>
      <c r="P29" s="37"/>
      <c r="Q29" s="37"/>
      <c r="R29" s="37"/>
      <c r="S29" s="37"/>
      <c r="T29" s="37"/>
      <c r="U29" s="37"/>
      <c r="V29" s="37"/>
      <c r="W29" s="37"/>
    </row>
    <row r="30" spans="1:23" ht="15" customHeight="1">
      <c r="A30" s="391" t="s">
        <v>44</v>
      </c>
      <c r="B30" s="392"/>
      <c r="C30" s="392"/>
      <c r="D30" s="392"/>
      <c r="E30" s="393"/>
      <c r="H30" s="412"/>
      <c r="I30" s="316" t="s">
        <v>207</v>
      </c>
      <c r="J30" s="316" t="s">
        <v>147</v>
      </c>
      <c r="K30" s="322">
        <v>5000</v>
      </c>
      <c r="L30" s="317">
        <f t="shared" si="1"/>
        <v>1.1626960596230539E-2</v>
      </c>
      <c r="M30" s="318">
        <f>ROUNDDOWN(L30*$E$44,0)</f>
        <v>0</v>
      </c>
      <c r="N30" s="37"/>
      <c r="O30" s="37"/>
      <c r="P30" s="37"/>
      <c r="Q30" s="37"/>
      <c r="R30" s="37"/>
      <c r="S30" s="37"/>
      <c r="T30" s="37"/>
      <c r="U30" s="37"/>
      <c r="V30" s="37"/>
      <c r="W30" s="37"/>
    </row>
    <row r="31" spans="1:23">
      <c r="A31" s="394" t="s">
        <v>130</v>
      </c>
      <c r="B31" s="395"/>
      <c r="C31" s="395"/>
      <c r="D31" s="396"/>
      <c r="E31" s="230">
        <f>SUMPRODUCT(B28:B29,C28:C29)/SUM(B28:B29)</f>
        <v>0.35499159639443068</v>
      </c>
      <c r="H31" s="412" t="s">
        <v>404</v>
      </c>
      <c r="I31" s="316" t="s">
        <v>208</v>
      </c>
      <c r="J31" s="316" t="s">
        <v>147</v>
      </c>
      <c r="K31" s="322">
        <v>10000</v>
      </c>
      <c r="L31" s="317">
        <f t="shared" si="1"/>
        <v>2.3253921192461079E-2</v>
      </c>
      <c r="M31" s="318">
        <f>ROUNDUP(L31*$E$44,0)</f>
        <v>1</v>
      </c>
      <c r="N31" s="48"/>
      <c r="O31" s="48"/>
      <c r="P31" s="48"/>
      <c r="Q31" s="48"/>
      <c r="R31" s="48"/>
      <c r="S31" s="37"/>
      <c r="T31" s="37"/>
      <c r="U31" s="37"/>
      <c r="V31" s="37"/>
      <c r="W31" s="37"/>
    </row>
    <row r="32" spans="1:23" ht="15" customHeight="1">
      <c r="A32" s="394" t="s">
        <v>131</v>
      </c>
      <c r="B32" s="395"/>
      <c r="C32" s="395"/>
      <c r="D32" s="396"/>
      <c r="E32" s="231">
        <f>SQRT(SUMPRODUCT((D28:D29)^2,B28:B29)/SUM(B28:B29))</f>
        <v>3.571592467840283E-2</v>
      </c>
      <c r="H32" s="412"/>
      <c r="I32" s="316" t="s">
        <v>209</v>
      </c>
      <c r="J32" s="316" t="s">
        <v>147</v>
      </c>
      <c r="K32" s="322">
        <v>20</v>
      </c>
      <c r="L32" s="317">
        <f t="shared" si="1"/>
        <v>4.650784238492216E-5</v>
      </c>
      <c r="M32" s="318">
        <f>ROUNDDOWN(L32*$E$44,0)</f>
        <v>0</v>
      </c>
    </row>
    <row r="33" spans="1:23" ht="45" customHeight="1">
      <c r="A33" s="394" t="s">
        <v>132</v>
      </c>
      <c r="B33" s="395"/>
      <c r="C33" s="395"/>
      <c r="D33" s="396"/>
      <c r="E33" s="231">
        <f>(E32/E31)^2</f>
        <v>1.0122496896672151E-2</v>
      </c>
      <c r="H33" s="316" t="s">
        <v>595</v>
      </c>
      <c r="I33" s="316" t="s">
        <v>210</v>
      </c>
      <c r="J33" s="316" t="s">
        <v>147</v>
      </c>
      <c r="K33" s="322">
        <v>6800</v>
      </c>
      <c r="L33" s="317">
        <f t="shared" si="1"/>
        <v>1.5812666410873533E-2</v>
      </c>
      <c r="M33" s="318">
        <f>ROUNDDOWN(L33*$E$44,0)</f>
        <v>0</v>
      </c>
    </row>
    <row r="34" spans="1:23">
      <c r="A34" s="394" t="s">
        <v>133</v>
      </c>
      <c r="B34" s="395"/>
      <c r="C34" s="395"/>
      <c r="D34" s="396"/>
      <c r="E34" s="232">
        <f>ROUNDUP(($B$9^2*SUM(B28:B29)*E33)/(((SUM(B28:B29)-1)*$B$8^2)+($B$9^2*E33)),0)</f>
        <v>4</v>
      </c>
      <c r="H34" s="412" t="s">
        <v>416</v>
      </c>
      <c r="I34" s="316" t="s">
        <v>211</v>
      </c>
      <c r="J34" s="316" t="s">
        <v>147</v>
      </c>
      <c r="K34" s="322">
        <v>10000</v>
      </c>
      <c r="L34" s="317">
        <f t="shared" si="1"/>
        <v>2.3253921192461079E-2</v>
      </c>
      <c r="M34" s="318">
        <f>ROUNDUP(L34*$E$44,0)</f>
        <v>1</v>
      </c>
    </row>
    <row r="35" spans="1:23">
      <c r="A35" s="385" t="s">
        <v>134</v>
      </c>
      <c r="B35" s="386"/>
      <c r="C35" s="386"/>
      <c r="D35" s="233" t="s">
        <v>135</v>
      </c>
      <c r="E35" s="232">
        <f t="shared" ref="E35:E41" si="3">ROUNDUP(((TINV(1-$B$7,E34-1)^2)*SUM($B$28:$B$29)*(($E$32/$E$31)^2))/((((SUM($B$28:$B$29)-1)*($B$8^2))+((TINV(1-$B$7,E34-1)^2)*(($E$32/$E$31)^2)))),0)</f>
        <v>11</v>
      </c>
      <c r="H35" s="412"/>
      <c r="I35" s="316" t="s">
        <v>212</v>
      </c>
      <c r="J35" s="316" t="s">
        <v>147</v>
      </c>
      <c r="K35" s="322">
        <v>10000</v>
      </c>
      <c r="L35" s="317">
        <f t="shared" si="1"/>
        <v>2.3253921192461079E-2</v>
      </c>
      <c r="M35" s="318">
        <f t="shared" ref="M35:M39" si="4">ROUNDUP(L35*$E$44,0)</f>
        <v>1</v>
      </c>
    </row>
    <row r="36" spans="1:23">
      <c r="A36" s="387"/>
      <c r="B36" s="388"/>
      <c r="C36" s="388"/>
      <c r="D36" s="234" t="s">
        <v>136</v>
      </c>
      <c r="E36" s="232">
        <f t="shared" si="3"/>
        <v>6</v>
      </c>
      <c r="H36" s="412"/>
      <c r="I36" s="316" t="s">
        <v>213</v>
      </c>
      <c r="J36" s="316" t="s">
        <v>147</v>
      </c>
      <c r="K36" s="322">
        <v>10000</v>
      </c>
      <c r="L36" s="317">
        <f t="shared" si="1"/>
        <v>2.3253921192461079E-2</v>
      </c>
      <c r="M36" s="318">
        <f t="shared" si="4"/>
        <v>1</v>
      </c>
    </row>
    <row r="37" spans="1:23">
      <c r="A37" s="387"/>
      <c r="B37" s="388"/>
      <c r="C37" s="388"/>
      <c r="D37" s="234" t="s">
        <v>137</v>
      </c>
      <c r="E37" s="232">
        <f t="shared" si="3"/>
        <v>7</v>
      </c>
      <c r="H37" s="412"/>
      <c r="I37" s="316" t="s">
        <v>214</v>
      </c>
      <c r="J37" s="316" t="s">
        <v>147</v>
      </c>
      <c r="K37" s="322">
        <v>10000</v>
      </c>
      <c r="L37" s="317">
        <f t="shared" si="1"/>
        <v>2.3253921192461079E-2</v>
      </c>
      <c r="M37" s="318">
        <f t="shared" si="4"/>
        <v>1</v>
      </c>
    </row>
    <row r="38" spans="1:23">
      <c r="A38" s="387"/>
      <c r="B38" s="388"/>
      <c r="C38" s="388"/>
      <c r="D38" s="234" t="s">
        <v>138</v>
      </c>
      <c r="E38" s="232">
        <f t="shared" si="3"/>
        <v>7</v>
      </c>
      <c r="H38" s="412"/>
      <c r="I38" s="316" t="s">
        <v>215</v>
      </c>
      <c r="J38" s="316" t="s">
        <v>147</v>
      </c>
      <c r="K38" s="322">
        <v>10000</v>
      </c>
      <c r="L38" s="317">
        <f t="shared" si="1"/>
        <v>2.3253921192461079E-2</v>
      </c>
      <c r="M38" s="318">
        <f t="shared" si="4"/>
        <v>1</v>
      </c>
    </row>
    <row r="39" spans="1:23">
      <c r="A39" s="387"/>
      <c r="B39" s="388"/>
      <c r="C39" s="388"/>
      <c r="D39" s="234" t="s">
        <v>139</v>
      </c>
      <c r="E39" s="232">
        <f t="shared" si="3"/>
        <v>7</v>
      </c>
      <c r="H39" s="412"/>
      <c r="I39" s="316" t="s">
        <v>216</v>
      </c>
      <c r="J39" s="316" t="s">
        <v>147</v>
      </c>
      <c r="K39" s="323">
        <v>10000</v>
      </c>
      <c r="L39" s="317">
        <f t="shared" si="1"/>
        <v>2.3253921192461079E-2</v>
      </c>
      <c r="M39" s="318">
        <f t="shared" si="4"/>
        <v>1</v>
      </c>
    </row>
    <row r="40" spans="1:23">
      <c r="A40" s="387"/>
      <c r="B40" s="388"/>
      <c r="C40" s="388"/>
      <c r="D40" s="234" t="s">
        <v>140</v>
      </c>
      <c r="E40" s="232">
        <f t="shared" si="3"/>
        <v>7</v>
      </c>
      <c r="F40" s="37"/>
      <c r="G40" s="37"/>
      <c r="H40" s="412"/>
      <c r="I40" s="316" t="s">
        <v>217</v>
      </c>
      <c r="J40" s="316" t="s">
        <v>147</v>
      </c>
      <c r="K40" s="323">
        <v>10000</v>
      </c>
      <c r="L40" s="317">
        <f t="shared" si="1"/>
        <v>2.3253921192461079E-2</v>
      </c>
      <c r="M40" s="318">
        <f>ROUNDDOWN(L40*$E$44,0)</f>
        <v>0</v>
      </c>
      <c r="N40" s="37"/>
      <c r="O40" s="37"/>
      <c r="P40" s="37"/>
      <c r="Q40" s="37"/>
      <c r="R40" s="37"/>
      <c r="S40" s="37"/>
      <c r="T40" s="37"/>
      <c r="U40" s="37"/>
      <c r="V40" s="37"/>
      <c r="W40" s="37"/>
    </row>
    <row r="41" spans="1:23">
      <c r="A41" s="389"/>
      <c r="B41" s="390"/>
      <c r="C41" s="390"/>
      <c r="D41" s="234" t="s">
        <v>141</v>
      </c>
      <c r="E41" s="232">
        <f t="shared" si="3"/>
        <v>7</v>
      </c>
      <c r="F41" s="37"/>
      <c r="G41" s="37"/>
      <c r="H41" s="412"/>
      <c r="I41" s="316" t="s">
        <v>218</v>
      </c>
      <c r="J41" s="316" t="s">
        <v>147</v>
      </c>
      <c r="K41" s="324">
        <v>2861</v>
      </c>
      <c r="L41" s="317">
        <f t="shared" si="1"/>
        <v>6.6529468531631147E-3</v>
      </c>
      <c r="M41" s="318">
        <f>ROUNDDOWN(L41*$E$44,0)</f>
        <v>0</v>
      </c>
      <c r="N41" s="37"/>
      <c r="O41" s="37"/>
      <c r="P41" s="37"/>
      <c r="Q41" s="37"/>
      <c r="R41" s="37"/>
      <c r="S41" s="37"/>
      <c r="T41" s="37"/>
      <c r="U41" s="37"/>
      <c r="V41" s="37"/>
      <c r="W41" s="37"/>
    </row>
    <row r="42" spans="1:23">
      <c r="H42" s="412" t="s">
        <v>446</v>
      </c>
      <c r="I42" s="316" t="s">
        <v>219</v>
      </c>
      <c r="J42" s="316" t="s">
        <v>147</v>
      </c>
      <c r="K42" s="325">
        <v>10000</v>
      </c>
      <c r="L42" s="317">
        <f t="shared" si="1"/>
        <v>2.3253921192461079E-2</v>
      </c>
      <c r="M42" s="318">
        <f>ROUNDUP(L42*$E$44,0)</f>
        <v>1</v>
      </c>
    </row>
    <row r="43" spans="1:23">
      <c r="H43" s="412"/>
      <c r="I43" s="316" t="s">
        <v>220</v>
      </c>
      <c r="J43" s="316" t="s">
        <v>147</v>
      </c>
      <c r="K43" s="326">
        <v>10000</v>
      </c>
      <c r="L43" s="317">
        <f t="shared" si="1"/>
        <v>2.3253921192461079E-2</v>
      </c>
      <c r="M43" s="318">
        <f>ROUNDUP(L43*$E$44,0)</f>
        <v>1</v>
      </c>
    </row>
    <row r="44" spans="1:23" ht="19.5" customHeight="1">
      <c r="A44" s="238" t="s">
        <v>149</v>
      </c>
      <c r="B44" s="242"/>
      <c r="C44" s="236"/>
      <c r="D44" s="237" t="s">
        <v>147</v>
      </c>
      <c r="E44" s="239">
        <f>MAX(F15,F28)</f>
        <v>35</v>
      </c>
      <c r="H44" s="412"/>
      <c r="I44" s="316" t="s">
        <v>221</v>
      </c>
      <c r="J44" s="316" t="s">
        <v>147</v>
      </c>
      <c r="K44" s="326">
        <v>10000</v>
      </c>
      <c r="L44" s="317">
        <f t="shared" si="1"/>
        <v>2.3253921192461079E-2</v>
      </c>
      <c r="M44" s="318">
        <f>ROUNDUP(L44*$E$44,0)</f>
        <v>1</v>
      </c>
    </row>
    <row r="45" spans="1:23">
      <c r="A45" s="236"/>
      <c r="C45" s="236"/>
      <c r="D45" s="237" t="s">
        <v>148</v>
      </c>
      <c r="E45" s="239">
        <f>MAX(F16,F29)</f>
        <v>19.300386981677054</v>
      </c>
      <c r="F45" t="s">
        <v>146</v>
      </c>
      <c r="H45" s="316" t="s">
        <v>458</v>
      </c>
      <c r="I45" s="316" t="s">
        <v>222</v>
      </c>
      <c r="J45" s="316" t="s">
        <v>148</v>
      </c>
      <c r="K45" s="324">
        <v>10000</v>
      </c>
      <c r="L45" s="317">
        <f>K45/$C$16</f>
        <v>4.1506348395987165E-2</v>
      </c>
      <c r="M45" s="318">
        <f>ROUNDUP(L45*$E$45,0)</f>
        <v>1</v>
      </c>
    </row>
    <row r="46" spans="1:23">
      <c r="H46" s="412"/>
      <c r="I46" s="316" t="s">
        <v>223</v>
      </c>
      <c r="J46" s="316" t="s">
        <v>148</v>
      </c>
      <c r="K46" s="324">
        <v>9980</v>
      </c>
      <c r="L46" s="317">
        <f t="shared" ref="L46:L57" si="5">K46/$C$16</f>
        <v>4.1423335699195193E-2</v>
      </c>
      <c r="M46" s="318">
        <f>ROUNDDOWN(L46*$E$45,0)</f>
        <v>0</v>
      </c>
    </row>
    <row r="47" spans="1:23">
      <c r="H47" s="412"/>
      <c r="I47" s="316" t="s">
        <v>256</v>
      </c>
      <c r="J47" s="316" t="s">
        <v>148</v>
      </c>
      <c r="K47" s="324">
        <v>1020</v>
      </c>
      <c r="L47" s="317">
        <f t="shared" si="5"/>
        <v>4.2336475363906906E-3</v>
      </c>
      <c r="M47" s="318">
        <f>ROUNDDOWN(L47*$E$45,0)</f>
        <v>0</v>
      </c>
    </row>
    <row r="48" spans="1:23">
      <c r="H48" s="412" t="s">
        <v>463</v>
      </c>
      <c r="I48" s="316" t="s">
        <v>224</v>
      </c>
      <c r="J48" s="316" t="s">
        <v>148</v>
      </c>
      <c r="K48" s="324">
        <v>7000</v>
      </c>
      <c r="L48" s="317">
        <f t="shared" si="5"/>
        <v>2.9054443877191017E-2</v>
      </c>
      <c r="M48" s="318">
        <f>ROUNDUP(L48*$E$45,0)</f>
        <v>1</v>
      </c>
    </row>
    <row r="49" spans="8:13">
      <c r="H49" s="412"/>
      <c r="I49" s="316" t="s">
        <v>225</v>
      </c>
      <c r="J49" s="316" t="s">
        <v>148</v>
      </c>
      <c r="K49" s="324">
        <v>10000</v>
      </c>
      <c r="L49" s="317">
        <f t="shared" si="5"/>
        <v>4.1506348395987165E-2</v>
      </c>
      <c r="M49" s="318">
        <f>ROUNDDOWN(L49*$E$45,0)</f>
        <v>0</v>
      </c>
    </row>
    <row r="50" spans="8:13">
      <c r="H50" s="316" t="s">
        <v>474</v>
      </c>
      <c r="I50" s="316" t="s">
        <v>226</v>
      </c>
      <c r="J50" s="316" t="s">
        <v>148</v>
      </c>
      <c r="K50" s="324">
        <v>10000</v>
      </c>
      <c r="L50" s="317">
        <f t="shared" si="5"/>
        <v>4.1506348395987165E-2</v>
      </c>
      <c r="M50" s="318">
        <f>ROUNDUP(L50*$E$45,0)</f>
        <v>1</v>
      </c>
    </row>
    <row r="51" spans="8:13">
      <c r="H51" s="412" t="s">
        <v>479</v>
      </c>
      <c r="I51" s="316" t="s">
        <v>227</v>
      </c>
      <c r="J51" s="316" t="s">
        <v>148</v>
      </c>
      <c r="K51" s="324">
        <v>10000</v>
      </c>
      <c r="L51" s="317">
        <f t="shared" si="5"/>
        <v>4.1506348395987165E-2</v>
      </c>
      <c r="M51" s="318">
        <f>ROUNDUP(L51*$E$45,0)</f>
        <v>1</v>
      </c>
    </row>
    <row r="52" spans="8:13">
      <c r="H52" s="412"/>
      <c r="I52" s="316" t="s">
        <v>228</v>
      </c>
      <c r="J52" s="316" t="s">
        <v>148</v>
      </c>
      <c r="K52" s="324">
        <v>5010</v>
      </c>
      <c r="L52" s="317">
        <f t="shared" si="5"/>
        <v>2.0794680546389572E-2</v>
      </c>
      <c r="M52" s="318">
        <f>ROUNDDOWN(L52*$E$45,0)</f>
        <v>0</v>
      </c>
    </row>
    <row r="53" spans="8:13">
      <c r="H53" s="412"/>
      <c r="I53" s="316" t="s">
        <v>229</v>
      </c>
      <c r="J53" s="316" t="s">
        <v>148</v>
      </c>
      <c r="K53" s="324">
        <v>10000</v>
      </c>
      <c r="L53" s="317">
        <f t="shared" si="5"/>
        <v>4.1506348395987165E-2</v>
      </c>
      <c r="M53" s="318">
        <f>ROUNDUP(L53*$E$45,0)</f>
        <v>1</v>
      </c>
    </row>
    <row r="54" spans="8:13">
      <c r="H54" s="412" t="s">
        <v>493</v>
      </c>
      <c r="I54" s="316" t="s">
        <v>230</v>
      </c>
      <c r="J54" s="316" t="s">
        <v>148</v>
      </c>
      <c r="K54" s="324">
        <v>10000</v>
      </c>
      <c r="L54" s="317">
        <f t="shared" si="5"/>
        <v>4.1506348395987165E-2</v>
      </c>
      <c r="M54" s="318">
        <f>ROUNDUP(L54*$E$45,0)</f>
        <v>1</v>
      </c>
    </row>
    <row r="55" spans="8:13">
      <c r="H55" s="412"/>
      <c r="I55" s="316" t="s">
        <v>231</v>
      </c>
      <c r="J55" s="316" t="s">
        <v>148</v>
      </c>
      <c r="K55" s="324">
        <v>9725</v>
      </c>
      <c r="L55" s="317">
        <f t="shared" si="5"/>
        <v>4.0364923815097521E-2</v>
      </c>
      <c r="M55" s="318">
        <f>ROUNDUP(L55*$E$45,0)</f>
        <v>1</v>
      </c>
    </row>
    <row r="56" spans="8:13">
      <c r="H56" s="412"/>
      <c r="I56" s="316" t="s">
        <v>232</v>
      </c>
      <c r="J56" s="316" t="s">
        <v>148</v>
      </c>
      <c r="K56" s="324">
        <v>200</v>
      </c>
      <c r="L56" s="317">
        <f t="shared" si="5"/>
        <v>8.3012696791974331E-4</v>
      </c>
      <c r="M56" s="318">
        <f>ROUNDDOWN(L56*$E$45,0)</f>
        <v>0</v>
      </c>
    </row>
    <row r="57" spans="8:13">
      <c r="H57" s="316" t="s">
        <v>596</v>
      </c>
      <c r="I57" s="316" t="s">
        <v>233</v>
      </c>
      <c r="J57" s="316" t="s">
        <v>148</v>
      </c>
      <c r="K57" s="324">
        <v>10000</v>
      </c>
      <c r="L57" s="317">
        <f t="shared" si="5"/>
        <v>4.1506348395987165E-2</v>
      </c>
      <c r="M57" s="318">
        <f>ROUNDDOWN(L57*$E$45,0)</f>
        <v>0</v>
      </c>
    </row>
    <row r="58" spans="8:13">
      <c r="H58" s="412" t="s">
        <v>265</v>
      </c>
      <c r="I58" s="316" t="s">
        <v>234</v>
      </c>
      <c r="J58" s="316" t="s">
        <v>147</v>
      </c>
      <c r="K58" s="324">
        <v>10000</v>
      </c>
      <c r="L58" s="317">
        <f>K58/$C$15</f>
        <v>2.3253921192461079E-2</v>
      </c>
      <c r="M58" s="318">
        <f>ROUNDUP(L58*$E$44,0)</f>
        <v>1</v>
      </c>
    </row>
    <row r="59" spans="8:13">
      <c r="H59" s="412"/>
      <c r="I59" s="316" t="s">
        <v>235</v>
      </c>
      <c r="J59" s="316" t="s">
        <v>147</v>
      </c>
      <c r="K59" s="324">
        <v>10000</v>
      </c>
      <c r="L59" s="317">
        <f t="shared" ref="L59:L79" si="6">K59/$C$15</f>
        <v>2.3253921192461079E-2</v>
      </c>
      <c r="M59" s="318">
        <f t="shared" ref="M59:M67" si="7">ROUNDUP(L59*$E$44,0)</f>
        <v>1</v>
      </c>
    </row>
    <row r="60" spans="8:13">
      <c r="H60" s="412"/>
      <c r="I60" s="316" t="s">
        <v>236</v>
      </c>
      <c r="J60" s="316" t="s">
        <v>147</v>
      </c>
      <c r="K60" s="324">
        <v>10000</v>
      </c>
      <c r="L60" s="317">
        <f t="shared" si="6"/>
        <v>2.3253921192461079E-2</v>
      </c>
      <c r="M60" s="318">
        <f>ROUNDUP(L60*$E$44,0)</f>
        <v>1</v>
      </c>
    </row>
    <row r="61" spans="8:13">
      <c r="H61" s="412"/>
      <c r="I61" s="316" t="s">
        <v>237</v>
      </c>
      <c r="J61" s="316" t="s">
        <v>147</v>
      </c>
      <c r="K61" s="324">
        <v>10000</v>
      </c>
      <c r="L61" s="317">
        <f t="shared" si="6"/>
        <v>2.3253921192461079E-2</v>
      </c>
      <c r="M61" s="318">
        <f t="shared" si="7"/>
        <v>1</v>
      </c>
    </row>
    <row r="62" spans="8:13">
      <c r="H62" s="412" t="s">
        <v>530</v>
      </c>
      <c r="I62" s="316" t="s">
        <v>238</v>
      </c>
      <c r="J62" s="316" t="s">
        <v>147</v>
      </c>
      <c r="K62" s="324">
        <v>10000</v>
      </c>
      <c r="L62" s="317">
        <f t="shared" si="6"/>
        <v>2.3253921192461079E-2</v>
      </c>
      <c r="M62" s="318">
        <f>ROUNDDOWN(L62*$E$44,0)</f>
        <v>0</v>
      </c>
    </row>
    <row r="63" spans="8:13">
      <c r="H63" s="412"/>
      <c r="I63" s="316" t="s">
        <v>239</v>
      </c>
      <c r="J63" s="316" t="s">
        <v>147</v>
      </c>
      <c r="K63" s="324">
        <v>10000</v>
      </c>
      <c r="L63" s="317">
        <f t="shared" si="6"/>
        <v>2.3253921192461079E-2</v>
      </c>
      <c r="M63" s="318">
        <f t="shared" si="7"/>
        <v>1</v>
      </c>
    </row>
    <row r="64" spans="8:13">
      <c r="H64" s="412"/>
      <c r="I64" s="316" t="s">
        <v>240</v>
      </c>
      <c r="J64" s="316" t="s">
        <v>147</v>
      </c>
      <c r="K64" s="324">
        <v>10000</v>
      </c>
      <c r="L64" s="317">
        <f t="shared" si="6"/>
        <v>2.3253921192461079E-2</v>
      </c>
      <c r="M64" s="318">
        <f t="shared" si="7"/>
        <v>1</v>
      </c>
    </row>
    <row r="65" spans="8:13">
      <c r="H65" s="412"/>
      <c r="I65" s="316" t="s">
        <v>241</v>
      </c>
      <c r="J65" s="316" t="s">
        <v>147</v>
      </c>
      <c r="K65" s="324">
        <v>10000</v>
      </c>
      <c r="L65" s="317">
        <f t="shared" si="6"/>
        <v>2.3253921192461079E-2</v>
      </c>
      <c r="M65" s="318">
        <f t="shared" si="7"/>
        <v>1</v>
      </c>
    </row>
    <row r="66" spans="8:13">
      <c r="H66" s="412"/>
      <c r="I66" s="316" t="s">
        <v>242</v>
      </c>
      <c r="J66" s="316" t="s">
        <v>147</v>
      </c>
      <c r="K66" s="324">
        <v>10000</v>
      </c>
      <c r="L66" s="317">
        <f t="shared" si="6"/>
        <v>2.3253921192461079E-2</v>
      </c>
      <c r="M66" s="318">
        <f t="shared" si="7"/>
        <v>1</v>
      </c>
    </row>
    <row r="67" spans="8:13">
      <c r="H67" s="412"/>
      <c r="I67" s="316" t="s">
        <v>243</v>
      </c>
      <c r="J67" s="316" t="s">
        <v>147</v>
      </c>
      <c r="K67" s="324">
        <v>10000</v>
      </c>
      <c r="L67" s="317">
        <f t="shared" si="6"/>
        <v>2.3253921192461079E-2</v>
      </c>
      <c r="M67" s="318">
        <f t="shared" si="7"/>
        <v>1</v>
      </c>
    </row>
    <row r="68" spans="8:13">
      <c r="H68" s="412"/>
      <c r="I68" s="316" t="s">
        <v>244</v>
      </c>
      <c r="J68" s="316" t="s">
        <v>147</v>
      </c>
      <c r="K68" s="324">
        <v>8376</v>
      </c>
      <c r="L68" s="317">
        <f t="shared" si="6"/>
        <v>1.9477484390805398E-2</v>
      </c>
      <c r="M68" s="318">
        <f>ROUNDDOWN(L68*$E$44,0)</f>
        <v>0</v>
      </c>
    </row>
    <row r="69" spans="8:13">
      <c r="H69" s="412" t="s">
        <v>560</v>
      </c>
      <c r="I69" s="316" t="s">
        <v>245</v>
      </c>
      <c r="J69" s="316" t="s">
        <v>147</v>
      </c>
      <c r="K69" s="324">
        <v>10000</v>
      </c>
      <c r="L69" s="317">
        <f t="shared" si="6"/>
        <v>2.3253921192461079E-2</v>
      </c>
      <c r="M69" s="318">
        <f>ROUNDUP(L69*$E$44,0)</f>
        <v>1</v>
      </c>
    </row>
    <row r="70" spans="8:13">
      <c r="H70" s="412"/>
      <c r="I70" s="316" t="s">
        <v>246</v>
      </c>
      <c r="J70" s="316" t="s">
        <v>147</v>
      </c>
      <c r="K70" s="324">
        <v>10000</v>
      </c>
      <c r="L70" s="317">
        <f t="shared" si="6"/>
        <v>2.3253921192461079E-2</v>
      </c>
      <c r="M70" s="318">
        <f>ROUNDUP(L70*$E$44,0)</f>
        <v>1</v>
      </c>
    </row>
    <row r="71" spans="8:13">
      <c r="H71" s="316" t="s">
        <v>266</v>
      </c>
      <c r="I71" s="316" t="s">
        <v>247</v>
      </c>
      <c r="J71" s="316" t="s">
        <v>147</v>
      </c>
      <c r="K71" s="324">
        <v>528</v>
      </c>
      <c r="L71" s="317">
        <f t="shared" si="6"/>
        <v>1.227807038961945E-3</v>
      </c>
      <c r="M71" s="318">
        <f>ROUNDDOWN(L71*$E$44,0)</f>
        <v>0</v>
      </c>
    </row>
    <row r="72" spans="8:13">
      <c r="H72" s="412" t="s">
        <v>267</v>
      </c>
      <c r="I72" s="316" t="s">
        <v>248</v>
      </c>
      <c r="J72" s="316" t="s">
        <v>147</v>
      </c>
      <c r="K72" s="324">
        <v>10000</v>
      </c>
      <c r="L72" s="317">
        <f t="shared" si="6"/>
        <v>2.3253921192461079E-2</v>
      </c>
      <c r="M72" s="318">
        <f>ROUNDUP(L72*$E$44,0)</f>
        <v>1</v>
      </c>
    </row>
    <row r="73" spans="8:13">
      <c r="H73" s="412"/>
      <c r="I73" s="316" t="s">
        <v>249</v>
      </c>
      <c r="J73" s="316" t="s">
        <v>147</v>
      </c>
      <c r="K73" s="324">
        <v>10000</v>
      </c>
      <c r="L73" s="317">
        <f t="shared" si="6"/>
        <v>2.3253921192461079E-2</v>
      </c>
      <c r="M73" s="318">
        <f>ROUNDUP(L73*$E$44,0)</f>
        <v>1</v>
      </c>
    </row>
    <row r="74" spans="8:13">
      <c r="H74" s="412"/>
      <c r="I74" s="316" t="s">
        <v>250</v>
      </c>
      <c r="J74" s="316" t="s">
        <v>147</v>
      </c>
      <c r="K74" s="324">
        <v>10000</v>
      </c>
      <c r="L74" s="317">
        <f t="shared" si="6"/>
        <v>2.3253921192461079E-2</v>
      </c>
      <c r="M74" s="318">
        <f>ROUNDUP(L74*$E$44,0)</f>
        <v>1</v>
      </c>
    </row>
    <row r="75" spans="8:13">
      <c r="H75" s="316" t="s">
        <v>597</v>
      </c>
      <c r="I75" s="316" t="s">
        <v>251</v>
      </c>
      <c r="J75" s="316" t="s">
        <v>147</v>
      </c>
      <c r="K75" s="324">
        <v>8200</v>
      </c>
      <c r="L75" s="317">
        <f t="shared" si="6"/>
        <v>1.9068215377818085E-2</v>
      </c>
      <c r="M75" s="318">
        <f>ROUNDDOWN(L75*$E$44,0)</f>
        <v>0</v>
      </c>
    </row>
    <row r="76" spans="8:13">
      <c r="H76" s="316" t="s">
        <v>598</v>
      </c>
      <c r="I76" s="316" t="s">
        <v>252</v>
      </c>
      <c r="J76" s="316" t="s">
        <v>147</v>
      </c>
      <c r="K76" s="324">
        <v>8250</v>
      </c>
      <c r="L76" s="317">
        <f t="shared" si="6"/>
        <v>1.9184484983780389E-2</v>
      </c>
      <c r="M76" s="318">
        <f>ROUNDDOWN(L76*$E$44,0)</f>
        <v>0</v>
      </c>
    </row>
    <row r="77" spans="8:13">
      <c r="H77" s="412" t="s">
        <v>578</v>
      </c>
      <c r="I77" s="316" t="s">
        <v>253</v>
      </c>
      <c r="J77" s="316" t="s">
        <v>147</v>
      </c>
      <c r="K77" s="324">
        <v>10000</v>
      </c>
      <c r="L77" s="317">
        <f t="shared" si="6"/>
        <v>2.3253921192461079E-2</v>
      </c>
      <c r="M77" s="318">
        <f>ROUNDUP(L77*$E$44,0)</f>
        <v>1</v>
      </c>
    </row>
    <row r="78" spans="8:13">
      <c r="H78" s="412"/>
      <c r="I78" s="316" t="s">
        <v>254</v>
      </c>
      <c r="J78" s="316" t="s">
        <v>147</v>
      </c>
      <c r="K78" s="324">
        <v>10000</v>
      </c>
      <c r="L78" s="317">
        <f t="shared" si="6"/>
        <v>2.3253921192461079E-2</v>
      </c>
      <c r="M78" s="318">
        <f>ROUNDUP(L78*$E$44,0)</f>
        <v>1</v>
      </c>
    </row>
    <row r="79" spans="8:13">
      <c r="H79" s="412"/>
      <c r="I79" s="316" t="s">
        <v>255</v>
      </c>
      <c r="J79" s="316" t="s">
        <v>147</v>
      </c>
      <c r="K79" s="324">
        <v>10000</v>
      </c>
      <c r="L79" s="317">
        <f t="shared" si="6"/>
        <v>2.3253921192461079E-2</v>
      </c>
      <c r="M79" s="318">
        <f>ROUNDUP(L79*$E$44,0)</f>
        <v>1</v>
      </c>
    </row>
    <row r="80" spans="8:13">
      <c r="H80" s="316"/>
      <c r="I80" s="320" t="s">
        <v>31</v>
      </c>
      <c r="J80" s="320"/>
      <c r="K80" s="327">
        <f>SUM(K2:K79)</f>
        <v>670962</v>
      </c>
      <c r="L80" s="320"/>
      <c r="M80" s="321">
        <f>SUM(M2:M79)</f>
        <v>54</v>
      </c>
    </row>
  </sheetData>
  <mergeCells count="42">
    <mergeCell ref="H69:H70"/>
    <mergeCell ref="H72:H74"/>
    <mergeCell ref="H77:H79"/>
    <mergeCell ref="H48:H49"/>
    <mergeCell ref="H51:H53"/>
    <mergeCell ref="H54:H56"/>
    <mergeCell ref="H58:H61"/>
    <mergeCell ref="H62:H68"/>
    <mergeCell ref="H26:H30"/>
    <mergeCell ref="H31:H32"/>
    <mergeCell ref="H34:H41"/>
    <mergeCell ref="H42:H44"/>
    <mergeCell ref="H46:H47"/>
    <mergeCell ref="H10:H11"/>
    <mergeCell ref="H14:H16"/>
    <mergeCell ref="H18:H19"/>
    <mergeCell ref="H20:H22"/>
    <mergeCell ref="H23:H25"/>
    <mergeCell ref="H2:H3"/>
    <mergeCell ref="H4:H5"/>
    <mergeCell ref="H6:H9"/>
    <mergeCell ref="A2:A3"/>
    <mergeCell ref="B2:B3"/>
    <mergeCell ref="A20:D20"/>
    <mergeCell ref="B24:E24"/>
    <mergeCell ref="B25:E25"/>
    <mergeCell ref="B26:E26"/>
    <mergeCell ref="A11:B11"/>
    <mergeCell ref="C11:E11"/>
    <mergeCell ref="A12:B12"/>
    <mergeCell ref="C12:E12"/>
    <mergeCell ref="A13:B13"/>
    <mergeCell ref="C13:E13"/>
    <mergeCell ref="A17:E17"/>
    <mergeCell ref="A18:D18"/>
    <mergeCell ref="A19:D19"/>
    <mergeCell ref="A35:C41"/>
    <mergeCell ref="A30:E30"/>
    <mergeCell ref="A31:D31"/>
    <mergeCell ref="A32:D32"/>
    <mergeCell ref="A33:D33"/>
    <mergeCell ref="A34:D34"/>
  </mergeCells>
  <pageMargins left="0.7" right="0.7" top="0.75" bottom="0.75" header="0.3" footer="0.3"/>
  <pageSetup orientation="portrait" r:id="rId1"/>
  <ignoredErrors>
    <ignoredError sqref="M18 M10 M3 M31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56"/>
  <sheetViews>
    <sheetView topLeftCell="E10" zoomScale="70" zoomScaleNormal="70" workbookViewId="0">
      <selection activeCell="G1" sqref="G1"/>
    </sheetView>
  </sheetViews>
  <sheetFormatPr defaultRowHeight="15"/>
  <cols>
    <col min="1" max="1" width="7.28515625" customWidth="1"/>
    <col min="2" max="2" width="17.28515625" customWidth="1"/>
    <col min="3" max="3" width="13.42578125" customWidth="1"/>
    <col min="4" max="4" width="13" customWidth="1"/>
    <col min="5" max="5" width="20.7109375" customWidth="1"/>
    <col min="6" max="6" width="8" customWidth="1"/>
    <col min="7" max="7" width="20.85546875" customWidth="1"/>
    <col min="8" max="8" width="18.5703125" customWidth="1"/>
    <col min="9" max="9" width="16.85546875" customWidth="1"/>
    <col min="10" max="10" width="14" customWidth="1"/>
    <col min="11" max="11" width="15.85546875" customWidth="1"/>
    <col min="12" max="12" width="15.5703125" customWidth="1"/>
    <col min="13" max="13" width="13.5703125" customWidth="1"/>
    <col min="14" max="14" width="11.5703125" customWidth="1"/>
    <col min="15" max="15" width="14.42578125" customWidth="1"/>
    <col min="16" max="17" width="13.42578125" customWidth="1"/>
    <col min="18" max="18" width="14.28515625" customWidth="1"/>
    <col min="19" max="19" width="13.140625" customWidth="1"/>
    <col min="20" max="20" width="12.7109375" customWidth="1"/>
    <col min="21" max="22" width="14.42578125" customWidth="1"/>
    <col min="23" max="25" width="13.5703125" customWidth="1"/>
    <col min="31" max="31" width="22" customWidth="1"/>
  </cols>
  <sheetData>
    <row r="1" spans="1:31" ht="90.75" customHeight="1" thickBot="1">
      <c r="A1" s="328" t="s">
        <v>269</v>
      </c>
      <c r="B1" s="329" t="s">
        <v>270</v>
      </c>
      <c r="C1" s="329" t="s">
        <v>271</v>
      </c>
      <c r="D1" s="329" t="s">
        <v>272</v>
      </c>
      <c r="E1" s="329" t="s">
        <v>275</v>
      </c>
      <c r="F1" s="329" t="s">
        <v>273</v>
      </c>
      <c r="G1" s="329" t="s">
        <v>274</v>
      </c>
      <c r="H1" s="329" t="s">
        <v>321</v>
      </c>
      <c r="I1" s="329" t="s">
        <v>322</v>
      </c>
      <c r="J1" s="329" t="s">
        <v>276</v>
      </c>
      <c r="K1" s="329" t="s">
        <v>268</v>
      </c>
      <c r="L1" s="329" t="s">
        <v>277</v>
      </c>
      <c r="M1" s="329" t="s">
        <v>278</v>
      </c>
      <c r="N1" s="329" t="s">
        <v>279</v>
      </c>
      <c r="O1" s="329" t="s">
        <v>280</v>
      </c>
      <c r="P1" s="329" t="s">
        <v>281</v>
      </c>
      <c r="Q1" s="329" t="s">
        <v>282</v>
      </c>
      <c r="R1" s="329" t="s">
        <v>614</v>
      </c>
      <c r="S1" s="329" t="s">
        <v>283</v>
      </c>
      <c r="T1" s="329" t="s">
        <v>284</v>
      </c>
      <c r="U1" s="329" t="s">
        <v>285</v>
      </c>
      <c r="V1" s="330" t="s">
        <v>599</v>
      </c>
      <c r="W1" s="330" t="s">
        <v>589</v>
      </c>
      <c r="X1" s="330" t="s">
        <v>591</v>
      </c>
      <c r="Y1" s="330" t="s">
        <v>590</v>
      </c>
    </row>
    <row r="2" spans="1:31">
      <c r="A2" s="331">
        <v>1</v>
      </c>
      <c r="B2" s="332" t="s">
        <v>294</v>
      </c>
      <c r="C2" s="333">
        <v>44672</v>
      </c>
      <c r="D2" s="309" t="s">
        <v>148</v>
      </c>
      <c r="E2" s="309" t="s">
        <v>286</v>
      </c>
      <c r="F2" s="309">
        <v>1</v>
      </c>
      <c r="G2" s="332" t="s">
        <v>290</v>
      </c>
      <c r="H2" s="332" t="s">
        <v>291</v>
      </c>
      <c r="I2" s="332" t="s">
        <v>292</v>
      </c>
      <c r="J2" s="332" t="s">
        <v>293</v>
      </c>
      <c r="K2" s="332" t="s">
        <v>259</v>
      </c>
      <c r="L2" s="332"/>
      <c r="M2" s="334" t="s">
        <v>287</v>
      </c>
      <c r="N2" s="310" t="s">
        <v>287</v>
      </c>
      <c r="O2" s="310" t="s">
        <v>287</v>
      </c>
      <c r="P2" s="310" t="s">
        <v>287</v>
      </c>
      <c r="Q2" s="310">
        <f t="shared" ref="Q2:Q9" si="0">IF(N2="Yes",1)</f>
        <v>1</v>
      </c>
      <c r="R2" s="310" t="s">
        <v>288</v>
      </c>
      <c r="S2" s="310"/>
      <c r="T2" s="310">
        <v>7</v>
      </c>
      <c r="U2" s="310">
        <v>0</v>
      </c>
      <c r="V2" s="310"/>
      <c r="W2" s="310" t="s">
        <v>288</v>
      </c>
      <c r="X2" s="310">
        <v>0</v>
      </c>
      <c r="Y2" s="335">
        <v>2.85</v>
      </c>
      <c r="AB2" s="420" t="s">
        <v>600</v>
      </c>
      <c r="AC2" s="421"/>
      <c r="AD2" s="421"/>
      <c r="AE2" s="422"/>
    </row>
    <row r="3" spans="1:31">
      <c r="A3" s="331">
        <f>A2+1</f>
        <v>2</v>
      </c>
      <c r="B3" s="332" t="s">
        <v>305</v>
      </c>
      <c r="C3" s="333">
        <v>44776</v>
      </c>
      <c r="D3" s="309" t="s">
        <v>148</v>
      </c>
      <c r="E3" s="309" t="s">
        <v>286</v>
      </c>
      <c r="F3" s="309">
        <v>1</v>
      </c>
      <c r="G3" s="332" t="s">
        <v>295</v>
      </c>
      <c r="H3" s="332" t="s">
        <v>296</v>
      </c>
      <c r="I3" s="332" t="s">
        <v>297</v>
      </c>
      <c r="J3" s="332" t="s">
        <v>298</v>
      </c>
      <c r="K3" s="332" t="s">
        <v>260</v>
      </c>
      <c r="L3" s="332" t="s">
        <v>299</v>
      </c>
      <c r="M3" s="334" t="s">
        <v>287</v>
      </c>
      <c r="N3" s="310" t="s">
        <v>287</v>
      </c>
      <c r="O3" s="310" t="s">
        <v>287</v>
      </c>
      <c r="P3" s="310" t="s">
        <v>287</v>
      </c>
      <c r="Q3" s="310">
        <f t="shared" si="0"/>
        <v>1</v>
      </c>
      <c r="R3" s="310" t="s">
        <v>288</v>
      </c>
      <c r="S3" s="334"/>
      <c r="T3" s="310">
        <v>7</v>
      </c>
      <c r="U3" s="310">
        <v>0</v>
      </c>
      <c r="V3" s="310"/>
      <c r="W3" s="310" t="s">
        <v>288</v>
      </c>
      <c r="X3" s="310">
        <v>0</v>
      </c>
      <c r="Y3" s="335">
        <v>3.14</v>
      </c>
      <c r="AB3" s="423" t="s">
        <v>601</v>
      </c>
      <c r="AC3" s="395"/>
      <c r="AD3" s="396"/>
      <c r="AE3" s="345">
        <f>COUNT(Y2:Y55)</f>
        <v>54</v>
      </c>
    </row>
    <row r="4" spans="1:31" ht="25.5" customHeight="1">
      <c r="A4" s="331">
        <f t="shared" ref="A4:A55" si="1">A3+1</f>
        <v>3</v>
      </c>
      <c r="B4" s="332" t="s">
        <v>306</v>
      </c>
      <c r="C4" s="333">
        <v>44776</v>
      </c>
      <c r="D4" s="309" t="s">
        <v>148</v>
      </c>
      <c r="E4" s="309" t="s">
        <v>286</v>
      </c>
      <c r="F4" s="309">
        <v>1</v>
      </c>
      <c r="G4" s="332" t="s">
        <v>300</v>
      </c>
      <c r="H4" s="332" t="s">
        <v>301</v>
      </c>
      <c r="I4" s="332" t="s">
        <v>302</v>
      </c>
      <c r="J4" s="332" t="s">
        <v>303</v>
      </c>
      <c r="K4" s="332" t="s">
        <v>260</v>
      </c>
      <c r="L4" s="332" t="s">
        <v>304</v>
      </c>
      <c r="M4" s="334" t="s">
        <v>287</v>
      </c>
      <c r="N4" s="310" t="s">
        <v>287</v>
      </c>
      <c r="O4" s="310" t="s">
        <v>287</v>
      </c>
      <c r="P4" s="310" t="s">
        <v>287</v>
      </c>
      <c r="Q4" s="310">
        <f t="shared" si="0"/>
        <v>1</v>
      </c>
      <c r="R4" s="310" t="s">
        <v>287</v>
      </c>
      <c r="S4" s="310" t="s">
        <v>287</v>
      </c>
      <c r="T4" s="310">
        <v>7</v>
      </c>
      <c r="U4" s="310">
        <v>0</v>
      </c>
      <c r="V4" s="310">
        <v>2</v>
      </c>
      <c r="W4" s="310" t="s">
        <v>288</v>
      </c>
      <c r="X4" s="310">
        <v>1.35</v>
      </c>
      <c r="Y4" s="335">
        <v>4.0199999999999996</v>
      </c>
      <c r="AB4" s="423" t="s">
        <v>602</v>
      </c>
      <c r="AC4" s="395"/>
      <c r="AD4" s="396"/>
      <c r="AE4" s="346">
        <f>Q56</f>
        <v>1</v>
      </c>
    </row>
    <row r="5" spans="1:31" ht="33" customHeight="1">
      <c r="A5" s="331">
        <f>A4+1</f>
        <v>4</v>
      </c>
      <c r="B5" s="332" t="s">
        <v>311</v>
      </c>
      <c r="C5" s="333">
        <v>44670</v>
      </c>
      <c r="D5" s="309" t="s">
        <v>148</v>
      </c>
      <c r="E5" s="309" t="s">
        <v>286</v>
      </c>
      <c r="F5" s="309">
        <v>1</v>
      </c>
      <c r="G5" s="332" t="s">
        <v>307</v>
      </c>
      <c r="H5" s="332" t="s">
        <v>308</v>
      </c>
      <c r="I5" s="332" t="s">
        <v>309</v>
      </c>
      <c r="J5" s="332" t="s">
        <v>310</v>
      </c>
      <c r="K5" s="332" t="s">
        <v>261</v>
      </c>
      <c r="L5" s="332"/>
      <c r="M5" s="334" t="s">
        <v>287</v>
      </c>
      <c r="N5" s="310" t="s">
        <v>287</v>
      </c>
      <c r="O5" s="310" t="s">
        <v>287</v>
      </c>
      <c r="P5" s="310" t="s">
        <v>287</v>
      </c>
      <c r="Q5" s="310">
        <f t="shared" si="0"/>
        <v>1</v>
      </c>
      <c r="R5" s="310" t="s">
        <v>288</v>
      </c>
      <c r="S5" s="310"/>
      <c r="T5" s="310">
        <v>7</v>
      </c>
      <c r="U5" s="310">
        <v>0</v>
      </c>
      <c r="V5" s="310"/>
      <c r="W5" s="310" t="s">
        <v>288</v>
      </c>
      <c r="X5" s="310">
        <v>0</v>
      </c>
      <c r="Y5" s="335">
        <v>2.65</v>
      </c>
      <c r="AB5" s="417" t="s">
        <v>603</v>
      </c>
      <c r="AC5" s="418"/>
      <c r="AD5" s="419"/>
      <c r="AE5" s="346">
        <f>SQRT((1-(AE3/'sample size calculation'!K80))*(AE4*(1-AE4)/AE3))</f>
        <v>0</v>
      </c>
    </row>
    <row r="6" spans="1:31">
      <c r="A6" s="331">
        <f t="shared" si="1"/>
        <v>5</v>
      </c>
      <c r="B6" s="332" t="s">
        <v>312</v>
      </c>
      <c r="C6" s="333">
        <v>44704</v>
      </c>
      <c r="D6" s="309" t="s">
        <v>148</v>
      </c>
      <c r="E6" s="309" t="s">
        <v>286</v>
      </c>
      <c r="F6" s="309">
        <v>1</v>
      </c>
      <c r="G6" s="332" t="s">
        <v>314</v>
      </c>
      <c r="H6" s="332" t="s">
        <v>315</v>
      </c>
      <c r="I6" s="332" t="s">
        <v>316</v>
      </c>
      <c r="J6" s="332" t="s">
        <v>317</v>
      </c>
      <c r="K6" s="332" t="s">
        <v>261</v>
      </c>
      <c r="L6" s="332"/>
      <c r="M6" s="334" t="s">
        <v>287</v>
      </c>
      <c r="N6" s="310" t="s">
        <v>287</v>
      </c>
      <c r="O6" s="310" t="s">
        <v>287</v>
      </c>
      <c r="P6" s="310" t="s">
        <v>287</v>
      </c>
      <c r="Q6" s="310">
        <f t="shared" si="0"/>
        <v>1</v>
      </c>
      <c r="R6" s="310" t="s">
        <v>288</v>
      </c>
      <c r="S6" s="310"/>
      <c r="T6" s="310">
        <v>7</v>
      </c>
      <c r="U6" s="310">
        <v>0</v>
      </c>
      <c r="V6" s="310"/>
      <c r="W6" s="310" t="s">
        <v>288</v>
      </c>
      <c r="X6" s="310">
        <v>0</v>
      </c>
      <c r="Y6" s="335">
        <v>3.84</v>
      </c>
      <c r="AB6" s="417" t="s">
        <v>604</v>
      </c>
      <c r="AC6" s="418"/>
      <c r="AD6" s="419"/>
      <c r="AE6" s="350">
        <f>AE4+('sample size calculation'!B9*SQRT(1-AE3/'sample size calculation'!K80)*SQRT(AE4*(1-AE4)/AE3))</f>
        <v>1</v>
      </c>
    </row>
    <row r="7" spans="1:31">
      <c r="A7" s="331">
        <f t="shared" si="1"/>
        <v>6</v>
      </c>
      <c r="B7" s="332" t="s">
        <v>313</v>
      </c>
      <c r="C7" s="333">
        <v>44881</v>
      </c>
      <c r="D7" s="309" t="s">
        <v>148</v>
      </c>
      <c r="E7" s="309" t="s">
        <v>286</v>
      </c>
      <c r="F7" s="309">
        <v>1</v>
      </c>
      <c r="G7" s="332" t="s">
        <v>318</v>
      </c>
      <c r="H7" s="332" t="s">
        <v>319</v>
      </c>
      <c r="I7" s="332" t="s">
        <v>320</v>
      </c>
      <c r="J7" s="332" t="s">
        <v>261</v>
      </c>
      <c r="K7" s="332" t="s">
        <v>261</v>
      </c>
      <c r="L7" s="332">
        <v>344673722</v>
      </c>
      <c r="M7" s="334" t="s">
        <v>287</v>
      </c>
      <c r="N7" s="310" t="s">
        <v>287</v>
      </c>
      <c r="O7" s="310" t="s">
        <v>287</v>
      </c>
      <c r="P7" s="310" t="s">
        <v>287</v>
      </c>
      <c r="Q7" s="310">
        <f t="shared" si="0"/>
        <v>1</v>
      </c>
      <c r="R7" s="310" t="s">
        <v>288</v>
      </c>
      <c r="S7" s="310"/>
      <c r="T7" s="310">
        <v>7</v>
      </c>
      <c r="U7" s="310">
        <v>0</v>
      </c>
      <c r="V7" s="310"/>
      <c r="W7" s="310" t="s">
        <v>288</v>
      </c>
      <c r="X7" s="310">
        <v>0</v>
      </c>
      <c r="Y7" s="335">
        <v>3.51</v>
      </c>
      <c r="AB7" s="417" t="s">
        <v>605</v>
      </c>
      <c r="AC7" s="418"/>
      <c r="AD7" s="419"/>
      <c r="AE7" s="347">
        <f>AE4-('sample size calculation'!B9*SQRT(1-(AE3/'sample size calculation'!K80))*SQRT(AE4*(1-AE4)/AE3))</f>
        <v>1</v>
      </c>
    </row>
    <row r="8" spans="1:31" ht="30" customHeight="1">
      <c r="A8" s="331">
        <f t="shared" si="1"/>
        <v>7</v>
      </c>
      <c r="B8" s="332" t="s">
        <v>323</v>
      </c>
      <c r="C8" s="333">
        <v>44727</v>
      </c>
      <c r="D8" s="309" t="s">
        <v>148</v>
      </c>
      <c r="E8" s="309" t="s">
        <v>286</v>
      </c>
      <c r="F8" s="309">
        <v>1</v>
      </c>
      <c r="G8" s="332" t="s">
        <v>326</v>
      </c>
      <c r="H8" s="332" t="s">
        <v>327</v>
      </c>
      <c r="I8" s="332" t="s">
        <v>328</v>
      </c>
      <c r="J8" s="332" t="s">
        <v>329</v>
      </c>
      <c r="K8" s="332" t="s">
        <v>262</v>
      </c>
      <c r="L8" s="332" t="s">
        <v>330</v>
      </c>
      <c r="M8" s="334" t="s">
        <v>287</v>
      </c>
      <c r="N8" s="310" t="s">
        <v>287</v>
      </c>
      <c r="O8" s="310" t="s">
        <v>287</v>
      </c>
      <c r="P8" s="310" t="s">
        <v>287</v>
      </c>
      <c r="Q8" s="310">
        <f>IF(N8="Yes",1)</f>
        <v>1</v>
      </c>
      <c r="R8" s="310" t="s">
        <v>288</v>
      </c>
      <c r="S8" s="310"/>
      <c r="T8" s="310">
        <v>7</v>
      </c>
      <c r="U8" s="310">
        <v>0</v>
      </c>
      <c r="V8" s="310"/>
      <c r="W8" s="310" t="s">
        <v>288</v>
      </c>
      <c r="X8" s="310">
        <v>0</v>
      </c>
      <c r="Y8" s="335">
        <v>4.21</v>
      </c>
      <c r="AB8" s="423" t="s">
        <v>606</v>
      </c>
      <c r="AC8" s="395"/>
      <c r="AD8" s="396"/>
      <c r="AE8" s="348">
        <f>('sample size calculation'!B9*AE5)/AE6</f>
        <v>0</v>
      </c>
    </row>
    <row r="9" spans="1:31">
      <c r="A9" s="331">
        <f t="shared" si="1"/>
        <v>8</v>
      </c>
      <c r="B9" s="332" t="s">
        <v>324</v>
      </c>
      <c r="C9" s="333">
        <v>44687</v>
      </c>
      <c r="D9" s="309" t="s">
        <v>148</v>
      </c>
      <c r="E9" s="309" t="s">
        <v>286</v>
      </c>
      <c r="F9" s="309">
        <v>1</v>
      </c>
      <c r="G9" s="332" t="s">
        <v>331</v>
      </c>
      <c r="H9" s="332" t="s">
        <v>332</v>
      </c>
      <c r="I9" s="332" t="s">
        <v>333</v>
      </c>
      <c r="J9" s="332" t="s">
        <v>334</v>
      </c>
      <c r="K9" s="332" t="s">
        <v>263</v>
      </c>
      <c r="L9" s="332" t="s">
        <v>335</v>
      </c>
      <c r="M9" s="334" t="s">
        <v>287</v>
      </c>
      <c r="N9" s="310" t="s">
        <v>287</v>
      </c>
      <c r="O9" s="310" t="s">
        <v>287</v>
      </c>
      <c r="P9" s="310" t="s">
        <v>287</v>
      </c>
      <c r="Q9" s="310">
        <f t="shared" si="0"/>
        <v>1</v>
      </c>
      <c r="R9" s="310" t="s">
        <v>288</v>
      </c>
      <c r="S9" s="310"/>
      <c r="T9" s="310">
        <v>7</v>
      </c>
      <c r="U9" s="310">
        <v>0</v>
      </c>
      <c r="V9" s="310"/>
      <c r="W9" s="310" t="s">
        <v>288</v>
      </c>
      <c r="X9" s="310">
        <v>0</v>
      </c>
      <c r="Y9" s="335">
        <v>3.65</v>
      </c>
      <c r="AB9" s="423" t="s">
        <v>607</v>
      </c>
      <c r="AC9" s="395"/>
      <c r="AD9" s="396"/>
      <c r="AE9" s="348">
        <f>(AE4-AE7)/AE4</f>
        <v>0</v>
      </c>
    </row>
    <row r="10" spans="1:31" ht="24.75" customHeight="1">
      <c r="A10" s="331">
        <f t="shared" si="1"/>
        <v>9</v>
      </c>
      <c r="B10" s="332" t="s">
        <v>325</v>
      </c>
      <c r="C10" s="333">
        <v>44756</v>
      </c>
      <c r="D10" s="309" t="s">
        <v>148</v>
      </c>
      <c r="E10" s="309" t="s">
        <v>286</v>
      </c>
      <c r="F10" s="309">
        <v>1</v>
      </c>
      <c r="G10" s="332" t="s">
        <v>336</v>
      </c>
      <c r="H10" s="332" t="s">
        <v>337</v>
      </c>
      <c r="I10" s="332" t="s">
        <v>338</v>
      </c>
      <c r="J10" s="332" t="s">
        <v>339</v>
      </c>
      <c r="K10" s="332" t="s">
        <v>263</v>
      </c>
      <c r="L10" s="332" t="s">
        <v>340</v>
      </c>
      <c r="M10" s="334" t="s">
        <v>287</v>
      </c>
      <c r="N10" s="310" t="s">
        <v>287</v>
      </c>
      <c r="O10" s="310" t="s">
        <v>287</v>
      </c>
      <c r="P10" s="310" t="s">
        <v>287</v>
      </c>
      <c r="Q10" s="310">
        <f>IF(N10="Yes",1)</f>
        <v>1</v>
      </c>
      <c r="R10" s="310" t="s">
        <v>288</v>
      </c>
      <c r="S10" s="310"/>
      <c r="T10" s="310">
        <v>7</v>
      </c>
      <c r="U10" s="310">
        <v>0</v>
      </c>
      <c r="V10" s="310"/>
      <c r="W10" s="310" t="s">
        <v>288</v>
      </c>
      <c r="X10" s="310">
        <v>0</v>
      </c>
      <c r="Y10" s="335">
        <v>2.2400000000000002</v>
      </c>
      <c r="AB10" s="423" t="s">
        <v>608</v>
      </c>
      <c r="AC10" s="395"/>
      <c r="AD10" s="396"/>
      <c r="AE10" s="351" t="str">
        <f>IF(AE8&lt;='sample size calculation'!B8,"Ok, reliability level met","Use Lower Bound Value")</f>
        <v>Ok, reliability level met</v>
      </c>
    </row>
    <row r="11" spans="1:31" ht="30.75" customHeight="1" thickBot="1">
      <c r="A11" s="331">
        <f t="shared" si="1"/>
        <v>10</v>
      </c>
      <c r="B11" s="332" t="s">
        <v>347</v>
      </c>
      <c r="C11" s="333">
        <v>44750</v>
      </c>
      <c r="D11" s="309" t="s">
        <v>148</v>
      </c>
      <c r="E11" s="309" t="s">
        <v>286</v>
      </c>
      <c r="F11" s="309">
        <v>1</v>
      </c>
      <c r="G11" s="332" t="s">
        <v>341</v>
      </c>
      <c r="H11" s="332" t="s">
        <v>342</v>
      </c>
      <c r="I11" s="332" t="s">
        <v>343</v>
      </c>
      <c r="J11" s="332" t="s">
        <v>344</v>
      </c>
      <c r="K11" s="332" t="s">
        <v>345</v>
      </c>
      <c r="L11" s="332" t="s">
        <v>346</v>
      </c>
      <c r="M11" s="334" t="s">
        <v>287</v>
      </c>
      <c r="N11" s="310" t="s">
        <v>287</v>
      </c>
      <c r="O11" s="310" t="s">
        <v>287</v>
      </c>
      <c r="P11" s="310" t="s">
        <v>287</v>
      </c>
      <c r="Q11" s="310">
        <f>IF(N11="Yes",1)</f>
        <v>1</v>
      </c>
      <c r="R11" s="310" t="s">
        <v>288</v>
      </c>
      <c r="S11" s="310"/>
      <c r="T11" s="310">
        <v>7</v>
      </c>
      <c r="U11" s="310">
        <v>0</v>
      </c>
      <c r="V11" s="310"/>
      <c r="W11" s="310" t="s">
        <v>288</v>
      </c>
      <c r="X11" s="310">
        <v>0</v>
      </c>
      <c r="Y11" s="335">
        <v>2.87</v>
      </c>
      <c r="AB11" s="424" t="s">
        <v>609</v>
      </c>
      <c r="AC11" s="425"/>
      <c r="AD11" s="426"/>
      <c r="AE11" s="349" t="s">
        <v>610</v>
      </c>
    </row>
    <row r="12" spans="1:31">
      <c r="A12" s="331">
        <f>A11+1</f>
        <v>11</v>
      </c>
      <c r="B12" s="332" t="s">
        <v>353</v>
      </c>
      <c r="C12" s="333">
        <v>44717</v>
      </c>
      <c r="D12" s="309" t="s">
        <v>147</v>
      </c>
      <c r="E12" s="309" t="s">
        <v>286</v>
      </c>
      <c r="F12" s="309">
        <v>1</v>
      </c>
      <c r="G12" s="332" t="s">
        <v>348</v>
      </c>
      <c r="H12" s="332" t="s">
        <v>349</v>
      </c>
      <c r="I12" s="332" t="s">
        <v>350</v>
      </c>
      <c r="J12" s="332" t="s">
        <v>351</v>
      </c>
      <c r="K12" s="332" t="s">
        <v>352</v>
      </c>
      <c r="L12" s="332"/>
      <c r="M12" s="334" t="s">
        <v>287</v>
      </c>
      <c r="N12" s="310" t="s">
        <v>287</v>
      </c>
      <c r="O12" s="310" t="s">
        <v>287</v>
      </c>
      <c r="P12" s="310" t="s">
        <v>287</v>
      </c>
      <c r="Q12" s="310">
        <f>IF(N12="Yes",1)</f>
        <v>1</v>
      </c>
      <c r="R12" s="310" t="s">
        <v>288</v>
      </c>
      <c r="S12" s="310"/>
      <c r="T12" s="310">
        <v>7</v>
      </c>
      <c r="U12" s="310">
        <v>0</v>
      </c>
      <c r="V12" s="310"/>
      <c r="W12" s="310" t="s">
        <v>288</v>
      </c>
      <c r="X12" s="310">
        <v>0</v>
      </c>
      <c r="Y12" s="335">
        <v>3.79</v>
      </c>
    </row>
    <row r="13" spans="1:31">
      <c r="A13" s="331">
        <f t="shared" si="1"/>
        <v>12</v>
      </c>
      <c r="B13" s="332" t="s">
        <v>359</v>
      </c>
      <c r="C13" s="333">
        <v>44751</v>
      </c>
      <c r="D13" s="309" t="s">
        <v>147</v>
      </c>
      <c r="E13" s="309" t="s">
        <v>286</v>
      </c>
      <c r="F13" s="309">
        <v>1</v>
      </c>
      <c r="G13" s="332" t="s">
        <v>354</v>
      </c>
      <c r="H13" s="332" t="s">
        <v>355</v>
      </c>
      <c r="I13" s="332" t="s">
        <v>356</v>
      </c>
      <c r="J13" s="332" t="s">
        <v>357</v>
      </c>
      <c r="K13" s="332" t="s">
        <v>352</v>
      </c>
      <c r="L13" s="332" t="s">
        <v>358</v>
      </c>
      <c r="M13" s="334" t="s">
        <v>287</v>
      </c>
      <c r="N13" s="310" t="s">
        <v>287</v>
      </c>
      <c r="O13" s="310" t="s">
        <v>287</v>
      </c>
      <c r="P13" s="310" t="s">
        <v>287</v>
      </c>
      <c r="Q13" s="310">
        <f>IF(N13="Yes",1)</f>
        <v>1</v>
      </c>
      <c r="R13" s="310" t="s">
        <v>288</v>
      </c>
      <c r="S13" s="310"/>
      <c r="T13" s="310">
        <v>7</v>
      </c>
      <c r="U13" s="310">
        <v>0</v>
      </c>
      <c r="V13" s="310"/>
      <c r="W13" s="310" t="s">
        <v>288</v>
      </c>
      <c r="X13" s="310">
        <v>0</v>
      </c>
      <c r="Y13" s="335">
        <v>3.26</v>
      </c>
    </row>
    <row r="14" spans="1:31">
      <c r="A14" s="331">
        <f t="shared" si="1"/>
        <v>13</v>
      </c>
      <c r="B14" s="332" t="s">
        <v>364</v>
      </c>
      <c r="C14" s="333">
        <v>44766</v>
      </c>
      <c r="D14" s="309" t="s">
        <v>147</v>
      </c>
      <c r="E14" s="309" t="s">
        <v>286</v>
      </c>
      <c r="F14" s="309">
        <v>1</v>
      </c>
      <c r="G14" s="332" t="s">
        <v>360</v>
      </c>
      <c r="H14" s="332" t="s">
        <v>361</v>
      </c>
      <c r="I14" s="332" t="s">
        <v>362</v>
      </c>
      <c r="J14" s="332" t="s">
        <v>363</v>
      </c>
      <c r="K14" s="332" t="s">
        <v>352</v>
      </c>
      <c r="L14" s="332"/>
      <c r="M14" s="334" t="s">
        <v>287</v>
      </c>
      <c r="N14" s="310" t="s">
        <v>287</v>
      </c>
      <c r="O14" s="310" t="s">
        <v>287</v>
      </c>
      <c r="P14" s="310" t="s">
        <v>287</v>
      </c>
      <c r="Q14" s="310">
        <f>IF(N14="Yes",1)</f>
        <v>1</v>
      </c>
      <c r="R14" s="310" t="s">
        <v>288</v>
      </c>
      <c r="S14" s="310"/>
      <c r="T14" s="310">
        <v>7</v>
      </c>
      <c r="U14" s="310">
        <v>0</v>
      </c>
      <c r="V14" s="310"/>
      <c r="W14" s="310" t="s">
        <v>288</v>
      </c>
      <c r="X14" s="310">
        <v>0</v>
      </c>
      <c r="Y14" s="335">
        <v>4.1500000000000004</v>
      </c>
    </row>
    <row r="15" spans="1:31" ht="15.75" thickBot="1">
      <c r="A15" s="331">
        <f t="shared" si="1"/>
        <v>14</v>
      </c>
      <c r="B15" s="332" t="s">
        <v>365</v>
      </c>
      <c r="C15" s="333">
        <v>44723</v>
      </c>
      <c r="D15" s="309" t="s">
        <v>147</v>
      </c>
      <c r="E15" s="309" t="s">
        <v>286</v>
      </c>
      <c r="F15" s="309">
        <v>1</v>
      </c>
      <c r="G15" s="332" t="s">
        <v>368</v>
      </c>
      <c r="H15" s="332" t="s">
        <v>369</v>
      </c>
      <c r="I15" s="332" t="s">
        <v>370</v>
      </c>
      <c r="J15" s="332" t="s">
        <v>371</v>
      </c>
      <c r="K15" s="332" t="s">
        <v>264</v>
      </c>
      <c r="L15" s="332" t="s">
        <v>372</v>
      </c>
      <c r="M15" s="336" t="s">
        <v>287</v>
      </c>
      <c r="N15" s="337" t="s">
        <v>287</v>
      </c>
      <c r="O15" s="337" t="s">
        <v>287</v>
      </c>
      <c r="P15" s="337" t="s">
        <v>287</v>
      </c>
      <c r="Q15" s="310">
        <f t="shared" ref="Q15:Q50" si="2">IF(N15="Yes",1)</f>
        <v>1</v>
      </c>
      <c r="R15" s="337" t="s">
        <v>288</v>
      </c>
      <c r="S15" s="337"/>
      <c r="T15" s="337">
        <v>7</v>
      </c>
      <c r="U15" s="337">
        <v>0</v>
      </c>
      <c r="V15" s="337"/>
      <c r="W15" s="310" t="s">
        <v>288</v>
      </c>
      <c r="X15" s="310">
        <v>0</v>
      </c>
      <c r="Y15" s="335">
        <v>3.65</v>
      </c>
    </row>
    <row r="16" spans="1:31">
      <c r="A16" s="331">
        <f t="shared" si="1"/>
        <v>15</v>
      </c>
      <c r="B16" s="332" t="s">
        <v>366</v>
      </c>
      <c r="C16" s="338">
        <v>44777</v>
      </c>
      <c r="D16" s="309" t="s">
        <v>147</v>
      </c>
      <c r="E16" s="309" t="s">
        <v>286</v>
      </c>
      <c r="F16" s="309">
        <v>1</v>
      </c>
      <c r="G16" s="332" t="s">
        <v>373</v>
      </c>
      <c r="H16" s="332" t="s">
        <v>374</v>
      </c>
      <c r="I16" s="332" t="s">
        <v>375</v>
      </c>
      <c r="J16" s="332" t="s">
        <v>371</v>
      </c>
      <c r="K16" s="332" t="s">
        <v>264</v>
      </c>
      <c r="L16" s="332" t="s">
        <v>376</v>
      </c>
      <c r="M16" s="336" t="s">
        <v>287</v>
      </c>
      <c r="N16" s="337" t="s">
        <v>287</v>
      </c>
      <c r="O16" s="337" t="s">
        <v>287</v>
      </c>
      <c r="P16" s="337" t="s">
        <v>287</v>
      </c>
      <c r="Q16" s="310">
        <f t="shared" si="2"/>
        <v>1</v>
      </c>
      <c r="R16" s="337" t="s">
        <v>288</v>
      </c>
      <c r="S16" s="337"/>
      <c r="T16" s="337">
        <v>7</v>
      </c>
      <c r="U16" s="337">
        <v>0</v>
      </c>
      <c r="V16" s="337"/>
      <c r="W16" s="310" t="s">
        <v>288</v>
      </c>
      <c r="X16" s="310">
        <v>0</v>
      </c>
      <c r="Y16" s="335">
        <v>3.21</v>
      </c>
      <c r="AB16" s="427" t="s">
        <v>611</v>
      </c>
      <c r="AC16" s="428"/>
      <c r="AD16" s="428"/>
      <c r="AE16" s="429"/>
    </row>
    <row r="17" spans="1:31">
      <c r="A17" s="331">
        <f t="shared" si="1"/>
        <v>16</v>
      </c>
      <c r="B17" s="332" t="s">
        <v>367</v>
      </c>
      <c r="C17" s="338">
        <v>44788</v>
      </c>
      <c r="D17" s="309" t="s">
        <v>147</v>
      </c>
      <c r="E17" s="309" t="s">
        <v>286</v>
      </c>
      <c r="F17" s="309">
        <v>1</v>
      </c>
      <c r="G17" s="332" t="s">
        <v>377</v>
      </c>
      <c r="H17" s="332" t="s">
        <v>378</v>
      </c>
      <c r="I17" s="332" t="s">
        <v>379</v>
      </c>
      <c r="J17" s="332" t="s">
        <v>380</v>
      </c>
      <c r="K17" s="332" t="s">
        <v>264</v>
      </c>
      <c r="L17" s="332"/>
      <c r="M17" s="336" t="s">
        <v>287</v>
      </c>
      <c r="N17" s="337" t="s">
        <v>287</v>
      </c>
      <c r="O17" s="337" t="s">
        <v>287</v>
      </c>
      <c r="P17" s="337" t="s">
        <v>287</v>
      </c>
      <c r="Q17" s="310">
        <f t="shared" si="2"/>
        <v>1</v>
      </c>
      <c r="R17" s="337" t="s">
        <v>288</v>
      </c>
      <c r="S17" s="337"/>
      <c r="T17" s="337">
        <v>7</v>
      </c>
      <c r="U17" s="337">
        <v>0</v>
      </c>
      <c r="V17" s="337"/>
      <c r="W17" s="310" t="s">
        <v>288</v>
      </c>
      <c r="X17" s="310">
        <v>0</v>
      </c>
      <c r="Y17" s="335">
        <v>4.24</v>
      </c>
      <c r="AB17" s="423" t="s">
        <v>601</v>
      </c>
      <c r="AC17" s="395"/>
      <c r="AD17" s="396"/>
      <c r="AE17" s="345">
        <f>COUNT(Y2:Y55)</f>
        <v>54</v>
      </c>
    </row>
    <row r="18" spans="1:31">
      <c r="A18" s="331">
        <f t="shared" si="1"/>
        <v>17</v>
      </c>
      <c r="B18" s="332" t="s">
        <v>381</v>
      </c>
      <c r="C18" s="338">
        <v>44665</v>
      </c>
      <c r="D18" s="309" t="s">
        <v>147</v>
      </c>
      <c r="E18" s="309" t="s">
        <v>286</v>
      </c>
      <c r="F18" s="309">
        <v>1</v>
      </c>
      <c r="G18" s="332" t="s">
        <v>385</v>
      </c>
      <c r="H18" s="332" t="s">
        <v>386</v>
      </c>
      <c r="I18" s="332" t="s">
        <v>387</v>
      </c>
      <c r="J18" s="332" t="s">
        <v>388</v>
      </c>
      <c r="K18" s="332" t="s">
        <v>389</v>
      </c>
      <c r="L18" s="332">
        <v>342305386</v>
      </c>
      <c r="M18" s="336" t="s">
        <v>287</v>
      </c>
      <c r="N18" s="337" t="s">
        <v>287</v>
      </c>
      <c r="O18" s="337" t="s">
        <v>287</v>
      </c>
      <c r="P18" s="337" t="s">
        <v>287</v>
      </c>
      <c r="Q18" s="310">
        <f t="shared" si="2"/>
        <v>1</v>
      </c>
      <c r="R18" s="337" t="s">
        <v>288</v>
      </c>
      <c r="S18" s="337"/>
      <c r="T18" s="337">
        <v>7</v>
      </c>
      <c r="U18" s="337">
        <v>0</v>
      </c>
      <c r="V18" s="337"/>
      <c r="W18" s="310" t="s">
        <v>288</v>
      </c>
      <c r="X18" s="310">
        <v>0</v>
      </c>
      <c r="Y18" s="335">
        <v>2.78</v>
      </c>
      <c r="AB18" s="423" t="s">
        <v>612</v>
      </c>
      <c r="AC18" s="395"/>
      <c r="AD18" s="396"/>
      <c r="AE18" s="346">
        <f>Y56</f>
        <v>3.4027777777777768</v>
      </c>
    </row>
    <row r="19" spans="1:31">
      <c r="A19" s="331">
        <f t="shared" si="1"/>
        <v>18</v>
      </c>
      <c r="B19" s="332" t="s">
        <v>382</v>
      </c>
      <c r="C19" s="338">
        <v>44663</v>
      </c>
      <c r="D19" s="309" t="s">
        <v>147</v>
      </c>
      <c r="E19" s="309" t="s">
        <v>286</v>
      </c>
      <c r="F19" s="309">
        <v>1</v>
      </c>
      <c r="G19" s="332" t="s">
        <v>390</v>
      </c>
      <c r="H19" s="332" t="s">
        <v>391</v>
      </c>
      <c r="I19" s="332" t="s">
        <v>392</v>
      </c>
      <c r="J19" s="332" t="s">
        <v>393</v>
      </c>
      <c r="K19" s="332" t="s">
        <v>389</v>
      </c>
      <c r="L19" s="332"/>
      <c r="M19" s="336" t="s">
        <v>287</v>
      </c>
      <c r="N19" s="337" t="s">
        <v>287</v>
      </c>
      <c r="O19" s="337" t="s">
        <v>287</v>
      </c>
      <c r="P19" s="337" t="s">
        <v>287</v>
      </c>
      <c r="Q19" s="310">
        <f t="shared" si="2"/>
        <v>1</v>
      </c>
      <c r="R19" s="337" t="s">
        <v>288</v>
      </c>
      <c r="S19" s="337"/>
      <c r="T19" s="337">
        <v>7</v>
      </c>
      <c r="U19" s="337">
        <v>0</v>
      </c>
      <c r="V19" s="337"/>
      <c r="W19" s="310" t="s">
        <v>288</v>
      </c>
      <c r="X19" s="310">
        <v>0</v>
      </c>
      <c r="Y19" s="335">
        <v>3.87</v>
      </c>
      <c r="AB19" s="417" t="s">
        <v>613</v>
      </c>
      <c r="AC19" s="418"/>
      <c r="AD19" s="419"/>
      <c r="AE19" s="346">
        <f>_xlfn.STDEV.S(Y2:Y55)</f>
        <v>0.63559633762516565</v>
      </c>
    </row>
    <row r="20" spans="1:31" ht="15" customHeight="1">
      <c r="A20" s="331">
        <f t="shared" si="1"/>
        <v>19</v>
      </c>
      <c r="B20" s="332" t="s">
        <v>383</v>
      </c>
      <c r="C20" s="333">
        <v>44809</v>
      </c>
      <c r="D20" s="309" t="s">
        <v>147</v>
      </c>
      <c r="E20" s="309" t="s">
        <v>286</v>
      </c>
      <c r="F20" s="309">
        <v>1</v>
      </c>
      <c r="G20" s="332" t="s">
        <v>394</v>
      </c>
      <c r="H20" s="332">
        <v>3</v>
      </c>
      <c r="I20" s="332" t="s">
        <v>395</v>
      </c>
      <c r="J20" s="332" t="s">
        <v>396</v>
      </c>
      <c r="K20" s="332" t="s">
        <v>389</v>
      </c>
      <c r="L20" s="332">
        <v>988915938</v>
      </c>
      <c r="M20" s="334" t="s">
        <v>287</v>
      </c>
      <c r="N20" s="310" t="s">
        <v>287</v>
      </c>
      <c r="O20" s="310" t="s">
        <v>287</v>
      </c>
      <c r="P20" s="310" t="s">
        <v>287</v>
      </c>
      <c r="Q20" s="310">
        <f t="shared" si="2"/>
        <v>1</v>
      </c>
      <c r="R20" s="310" t="s">
        <v>288</v>
      </c>
      <c r="S20" s="310"/>
      <c r="T20" s="310">
        <v>7</v>
      </c>
      <c r="U20" s="310">
        <v>0</v>
      </c>
      <c r="V20" s="310"/>
      <c r="W20" s="310" t="s">
        <v>288</v>
      </c>
      <c r="X20" s="310">
        <v>0</v>
      </c>
      <c r="Y20" s="335">
        <v>4.05</v>
      </c>
    </row>
    <row r="21" spans="1:31" ht="15" customHeight="1">
      <c r="A21" s="331">
        <f t="shared" si="1"/>
        <v>20</v>
      </c>
      <c r="B21" s="332" t="s">
        <v>384</v>
      </c>
      <c r="C21" s="333">
        <v>44805</v>
      </c>
      <c r="D21" s="309" t="s">
        <v>147</v>
      </c>
      <c r="E21" s="309" t="s">
        <v>286</v>
      </c>
      <c r="F21" s="309">
        <v>1</v>
      </c>
      <c r="G21" s="332" t="s">
        <v>397</v>
      </c>
      <c r="H21" s="332">
        <v>1</v>
      </c>
      <c r="I21" s="332" t="s">
        <v>398</v>
      </c>
      <c r="J21" s="332" t="s">
        <v>399</v>
      </c>
      <c r="K21" s="332" t="s">
        <v>389</v>
      </c>
      <c r="L21" s="332"/>
      <c r="M21" s="334" t="s">
        <v>287</v>
      </c>
      <c r="N21" s="310" t="s">
        <v>287</v>
      </c>
      <c r="O21" s="310" t="s">
        <v>287</v>
      </c>
      <c r="P21" s="310" t="s">
        <v>287</v>
      </c>
      <c r="Q21" s="310">
        <f t="shared" si="2"/>
        <v>1</v>
      </c>
      <c r="R21" s="310" t="s">
        <v>288</v>
      </c>
      <c r="S21" s="310"/>
      <c r="T21" s="310">
        <v>7</v>
      </c>
      <c r="U21" s="310">
        <v>0</v>
      </c>
      <c r="V21" s="310"/>
      <c r="W21" s="310" t="s">
        <v>288</v>
      </c>
      <c r="X21" s="310">
        <v>0</v>
      </c>
      <c r="Y21" s="335">
        <v>4.25</v>
      </c>
    </row>
    <row r="22" spans="1:31" ht="15" customHeight="1">
      <c r="A22" s="331">
        <f t="shared" si="1"/>
        <v>21</v>
      </c>
      <c r="B22" s="332" t="s">
        <v>405</v>
      </c>
      <c r="C22" s="333">
        <v>44698</v>
      </c>
      <c r="D22" s="309" t="s">
        <v>147</v>
      </c>
      <c r="E22" s="309" t="s">
        <v>286</v>
      </c>
      <c r="F22" s="309">
        <v>1</v>
      </c>
      <c r="G22" s="332" t="s">
        <v>400</v>
      </c>
      <c r="H22" s="332" t="s">
        <v>401</v>
      </c>
      <c r="I22" s="332" t="s">
        <v>402</v>
      </c>
      <c r="J22" s="332" t="s">
        <v>403</v>
      </c>
      <c r="K22" s="332" t="s">
        <v>404</v>
      </c>
      <c r="L22" s="332"/>
      <c r="M22" s="334" t="s">
        <v>287</v>
      </c>
      <c r="N22" s="310" t="s">
        <v>287</v>
      </c>
      <c r="O22" s="310" t="s">
        <v>287</v>
      </c>
      <c r="P22" s="310" t="s">
        <v>287</v>
      </c>
      <c r="Q22" s="310">
        <f t="shared" si="2"/>
        <v>1</v>
      </c>
      <c r="R22" s="310" t="s">
        <v>288</v>
      </c>
      <c r="S22" s="310"/>
      <c r="T22" s="310">
        <v>7</v>
      </c>
      <c r="U22" s="310">
        <v>0</v>
      </c>
      <c r="V22" s="310"/>
      <c r="W22" s="310" t="s">
        <v>288</v>
      </c>
      <c r="X22" s="310">
        <v>0</v>
      </c>
      <c r="Y22" s="335">
        <v>3.25</v>
      </c>
    </row>
    <row r="23" spans="1:31" ht="15" customHeight="1">
      <c r="A23" s="331">
        <f t="shared" si="1"/>
        <v>22</v>
      </c>
      <c r="B23" s="332" t="s">
        <v>406</v>
      </c>
      <c r="C23" s="333">
        <v>44669</v>
      </c>
      <c r="D23" s="309" t="s">
        <v>147</v>
      </c>
      <c r="E23" s="309" t="s">
        <v>286</v>
      </c>
      <c r="F23" s="309">
        <v>1</v>
      </c>
      <c r="G23" s="332" t="s">
        <v>412</v>
      </c>
      <c r="H23" s="332" t="s">
        <v>413</v>
      </c>
      <c r="I23" s="332" t="s">
        <v>414</v>
      </c>
      <c r="J23" s="332" t="s">
        <v>415</v>
      </c>
      <c r="K23" s="332" t="s">
        <v>416</v>
      </c>
      <c r="L23" s="332" t="s">
        <v>417</v>
      </c>
      <c r="M23" s="334" t="s">
        <v>287</v>
      </c>
      <c r="N23" s="310" t="s">
        <v>287</v>
      </c>
      <c r="O23" s="310" t="s">
        <v>287</v>
      </c>
      <c r="P23" s="310" t="s">
        <v>287</v>
      </c>
      <c r="Q23" s="310">
        <f t="shared" si="2"/>
        <v>1</v>
      </c>
      <c r="R23" s="310" t="s">
        <v>288</v>
      </c>
      <c r="S23" s="310"/>
      <c r="T23" s="310">
        <v>7</v>
      </c>
      <c r="U23" s="310">
        <v>0</v>
      </c>
      <c r="V23" s="310"/>
      <c r="W23" s="310" t="s">
        <v>288</v>
      </c>
      <c r="X23" s="310">
        <v>0</v>
      </c>
      <c r="Y23" s="335">
        <v>3.52</v>
      </c>
    </row>
    <row r="24" spans="1:31">
      <c r="A24" s="331">
        <f t="shared" si="1"/>
        <v>23</v>
      </c>
      <c r="B24" s="332" t="s">
        <v>407</v>
      </c>
      <c r="C24" s="333">
        <v>44786</v>
      </c>
      <c r="D24" s="309" t="s">
        <v>147</v>
      </c>
      <c r="E24" s="309" t="s">
        <v>286</v>
      </c>
      <c r="F24" s="309">
        <v>1</v>
      </c>
      <c r="G24" s="332" t="s">
        <v>418</v>
      </c>
      <c r="H24" s="332" t="s">
        <v>419</v>
      </c>
      <c r="I24" s="332" t="s">
        <v>420</v>
      </c>
      <c r="J24" s="332" t="s">
        <v>421</v>
      </c>
      <c r="K24" s="332" t="s">
        <v>416</v>
      </c>
      <c r="L24" s="332"/>
      <c r="M24" s="334" t="s">
        <v>287</v>
      </c>
      <c r="N24" s="310" t="s">
        <v>287</v>
      </c>
      <c r="O24" s="310" t="s">
        <v>287</v>
      </c>
      <c r="P24" s="310" t="s">
        <v>287</v>
      </c>
      <c r="Q24" s="310">
        <f t="shared" si="2"/>
        <v>1</v>
      </c>
      <c r="R24" s="310" t="s">
        <v>288</v>
      </c>
      <c r="S24" s="310"/>
      <c r="T24" s="310">
        <v>7</v>
      </c>
      <c r="U24" s="310">
        <v>0</v>
      </c>
      <c r="V24" s="310"/>
      <c r="W24" s="310" t="s">
        <v>288</v>
      </c>
      <c r="X24" s="310">
        <v>0</v>
      </c>
      <c r="Y24" s="335">
        <v>3.21</v>
      </c>
    </row>
    <row r="25" spans="1:31" ht="15.75" customHeight="1">
      <c r="A25" s="331">
        <f t="shared" si="1"/>
        <v>24</v>
      </c>
      <c r="B25" s="332" t="s">
        <v>408</v>
      </c>
      <c r="C25" s="333">
        <v>44789</v>
      </c>
      <c r="D25" s="309" t="s">
        <v>147</v>
      </c>
      <c r="E25" s="309" t="s">
        <v>286</v>
      </c>
      <c r="F25" s="309">
        <v>1</v>
      </c>
      <c r="G25" s="332" t="s">
        <v>422</v>
      </c>
      <c r="H25" s="332">
        <v>11</v>
      </c>
      <c r="I25" s="332" t="s">
        <v>423</v>
      </c>
      <c r="J25" s="332" t="s">
        <v>424</v>
      </c>
      <c r="K25" s="332" t="s">
        <v>416</v>
      </c>
      <c r="L25" s="332" t="s">
        <v>425</v>
      </c>
      <c r="M25" s="336" t="s">
        <v>287</v>
      </c>
      <c r="N25" s="337" t="s">
        <v>287</v>
      </c>
      <c r="O25" s="337" t="s">
        <v>287</v>
      </c>
      <c r="P25" s="337" t="s">
        <v>287</v>
      </c>
      <c r="Q25" s="310">
        <f t="shared" si="2"/>
        <v>1</v>
      </c>
      <c r="R25" s="337" t="s">
        <v>288</v>
      </c>
      <c r="S25" s="337"/>
      <c r="T25" s="337">
        <v>7</v>
      </c>
      <c r="U25" s="337">
        <v>0</v>
      </c>
      <c r="V25" s="337"/>
      <c r="W25" s="310" t="s">
        <v>288</v>
      </c>
      <c r="X25" s="310">
        <v>0</v>
      </c>
      <c r="Y25" s="335">
        <v>3.25</v>
      </c>
    </row>
    <row r="26" spans="1:31">
      <c r="A26" s="331">
        <f t="shared" si="1"/>
        <v>25</v>
      </c>
      <c r="B26" s="332" t="s">
        <v>409</v>
      </c>
      <c r="C26" s="333">
        <v>44786</v>
      </c>
      <c r="D26" s="309" t="s">
        <v>147</v>
      </c>
      <c r="E26" s="309" t="s">
        <v>286</v>
      </c>
      <c r="F26" s="309">
        <v>1</v>
      </c>
      <c r="G26" s="332" t="s">
        <v>426</v>
      </c>
      <c r="H26" s="332">
        <v>2</v>
      </c>
      <c r="I26" s="332" t="s">
        <v>427</v>
      </c>
      <c r="J26" s="332" t="s">
        <v>428</v>
      </c>
      <c r="K26" s="332" t="s">
        <v>416</v>
      </c>
      <c r="L26" s="332"/>
      <c r="M26" s="334" t="s">
        <v>287</v>
      </c>
      <c r="N26" s="310" t="s">
        <v>287</v>
      </c>
      <c r="O26" s="310" t="s">
        <v>287</v>
      </c>
      <c r="P26" s="310" t="s">
        <v>287</v>
      </c>
      <c r="Q26" s="310">
        <f t="shared" si="2"/>
        <v>1</v>
      </c>
      <c r="R26" s="310" t="s">
        <v>288</v>
      </c>
      <c r="S26" s="310"/>
      <c r="T26" s="310">
        <v>7</v>
      </c>
      <c r="U26" s="310">
        <v>0</v>
      </c>
      <c r="V26" s="310"/>
      <c r="W26" s="310" t="s">
        <v>288</v>
      </c>
      <c r="X26" s="310">
        <v>0</v>
      </c>
      <c r="Y26" s="335">
        <v>4.24</v>
      </c>
    </row>
    <row r="27" spans="1:31">
      <c r="A27" s="331">
        <f t="shared" si="1"/>
        <v>26</v>
      </c>
      <c r="B27" s="332" t="s">
        <v>410</v>
      </c>
      <c r="C27" s="333">
        <v>44793</v>
      </c>
      <c r="D27" s="309" t="s">
        <v>147</v>
      </c>
      <c r="E27" s="309" t="s">
        <v>286</v>
      </c>
      <c r="F27" s="309">
        <v>1</v>
      </c>
      <c r="G27" s="332" t="s">
        <v>429</v>
      </c>
      <c r="H27" s="332" t="s">
        <v>430</v>
      </c>
      <c r="I27" s="332" t="s">
        <v>431</v>
      </c>
      <c r="J27" s="332" t="s">
        <v>432</v>
      </c>
      <c r="K27" s="332" t="s">
        <v>416</v>
      </c>
      <c r="L27" s="332" t="s">
        <v>433</v>
      </c>
      <c r="M27" s="334" t="s">
        <v>287</v>
      </c>
      <c r="N27" s="310" t="s">
        <v>287</v>
      </c>
      <c r="O27" s="310" t="s">
        <v>287</v>
      </c>
      <c r="P27" s="310" t="s">
        <v>287</v>
      </c>
      <c r="Q27" s="310">
        <f t="shared" si="2"/>
        <v>1</v>
      </c>
      <c r="R27" s="310" t="s">
        <v>288</v>
      </c>
      <c r="S27" s="310"/>
      <c r="T27" s="310">
        <v>7</v>
      </c>
      <c r="U27" s="310">
        <v>0</v>
      </c>
      <c r="V27" s="310"/>
      <c r="W27" s="310" t="s">
        <v>288</v>
      </c>
      <c r="X27" s="310">
        <v>0</v>
      </c>
      <c r="Y27" s="335">
        <v>4.68</v>
      </c>
    </row>
    <row r="28" spans="1:31">
      <c r="A28" s="331">
        <f t="shared" si="1"/>
        <v>27</v>
      </c>
      <c r="B28" s="332" t="s">
        <v>411</v>
      </c>
      <c r="C28" s="333">
        <v>44807</v>
      </c>
      <c r="D28" s="309" t="s">
        <v>147</v>
      </c>
      <c r="E28" s="309" t="s">
        <v>286</v>
      </c>
      <c r="F28" s="309">
        <v>1</v>
      </c>
      <c r="G28" s="332" t="s">
        <v>434</v>
      </c>
      <c r="H28" s="332" t="s">
        <v>435</v>
      </c>
      <c r="I28" s="332" t="s">
        <v>436</v>
      </c>
      <c r="J28" s="332" t="s">
        <v>437</v>
      </c>
      <c r="K28" s="332" t="s">
        <v>416</v>
      </c>
      <c r="L28" s="332" t="s">
        <v>438</v>
      </c>
      <c r="M28" s="334" t="s">
        <v>287</v>
      </c>
      <c r="N28" s="310" t="s">
        <v>287</v>
      </c>
      <c r="O28" s="310" t="s">
        <v>287</v>
      </c>
      <c r="P28" s="310" t="s">
        <v>287</v>
      </c>
      <c r="Q28" s="310">
        <f t="shared" si="2"/>
        <v>1</v>
      </c>
      <c r="R28" s="310" t="s">
        <v>288</v>
      </c>
      <c r="S28" s="310"/>
      <c r="T28" s="310">
        <v>7</v>
      </c>
      <c r="U28" s="310">
        <v>0</v>
      </c>
      <c r="V28" s="310"/>
      <c r="W28" s="310" t="s">
        <v>288</v>
      </c>
      <c r="X28" s="310">
        <v>0</v>
      </c>
      <c r="Y28" s="335">
        <v>3.12</v>
      </c>
    </row>
    <row r="29" spans="1:31">
      <c r="A29" s="331">
        <f t="shared" si="1"/>
        <v>28</v>
      </c>
      <c r="B29" s="332" t="s">
        <v>439</v>
      </c>
      <c r="C29" s="333">
        <v>44673</v>
      </c>
      <c r="D29" s="309" t="s">
        <v>147</v>
      </c>
      <c r="E29" s="309" t="s">
        <v>286</v>
      </c>
      <c r="F29" s="309">
        <v>1</v>
      </c>
      <c r="G29" s="332" t="s">
        <v>442</v>
      </c>
      <c r="H29" s="332" t="s">
        <v>443</v>
      </c>
      <c r="I29" s="332" t="s">
        <v>444</v>
      </c>
      <c r="J29" s="332" t="s">
        <v>445</v>
      </c>
      <c r="K29" s="332" t="s">
        <v>446</v>
      </c>
      <c r="L29" s="332"/>
      <c r="M29" s="334" t="s">
        <v>287</v>
      </c>
      <c r="N29" s="310" t="s">
        <v>287</v>
      </c>
      <c r="O29" s="310" t="s">
        <v>287</v>
      </c>
      <c r="P29" s="310" t="s">
        <v>287</v>
      </c>
      <c r="Q29" s="310">
        <f t="shared" si="2"/>
        <v>1</v>
      </c>
      <c r="R29" s="310" t="s">
        <v>288</v>
      </c>
      <c r="S29" s="310"/>
      <c r="T29" s="310">
        <v>7</v>
      </c>
      <c r="U29" s="310">
        <v>0</v>
      </c>
      <c r="V29" s="310"/>
      <c r="W29" s="310" t="s">
        <v>288</v>
      </c>
      <c r="X29" s="310">
        <v>0</v>
      </c>
      <c r="Y29" s="335">
        <v>2.56</v>
      </c>
    </row>
    <row r="30" spans="1:31">
      <c r="A30" s="331">
        <f t="shared" si="1"/>
        <v>29</v>
      </c>
      <c r="B30" s="332" t="s">
        <v>440</v>
      </c>
      <c r="C30" s="333">
        <v>44811</v>
      </c>
      <c r="D30" s="309" t="s">
        <v>147</v>
      </c>
      <c r="E30" s="309" t="s">
        <v>286</v>
      </c>
      <c r="F30" s="309">
        <v>1</v>
      </c>
      <c r="G30" s="332" t="s">
        <v>447</v>
      </c>
      <c r="H30" s="332" t="s">
        <v>448</v>
      </c>
      <c r="I30" s="332" t="s">
        <v>449</v>
      </c>
      <c r="J30" s="332" t="s">
        <v>445</v>
      </c>
      <c r="K30" s="332" t="s">
        <v>446</v>
      </c>
      <c r="L30" s="332"/>
      <c r="M30" s="334" t="s">
        <v>287</v>
      </c>
      <c r="N30" s="310" t="s">
        <v>287</v>
      </c>
      <c r="O30" s="310" t="s">
        <v>287</v>
      </c>
      <c r="P30" s="310" t="s">
        <v>287</v>
      </c>
      <c r="Q30" s="310">
        <f t="shared" si="2"/>
        <v>1</v>
      </c>
      <c r="R30" s="310" t="s">
        <v>288</v>
      </c>
      <c r="S30" s="310"/>
      <c r="T30" s="310">
        <v>7</v>
      </c>
      <c r="U30" s="310">
        <v>0</v>
      </c>
      <c r="V30" s="310"/>
      <c r="W30" s="310" t="s">
        <v>288</v>
      </c>
      <c r="X30" s="310">
        <v>0</v>
      </c>
      <c r="Y30" s="335">
        <v>2.64</v>
      </c>
    </row>
    <row r="31" spans="1:31">
      <c r="A31" s="331">
        <f t="shared" si="1"/>
        <v>30</v>
      </c>
      <c r="B31" s="332" t="s">
        <v>441</v>
      </c>
      <c r="C31" s="333">
        <v>44846</v>
      </c>
      <c r="D31" s="309" t="s">
        <v>147</v>
      </c>
      <c r="E31" s="309" t="s">
        <v>286</v>
      </c>
      <c r="F31" s="309">
        <v>1</v>
      </c>
      <c r="G31" s="332" t="s">
        <v>450</v>
      </c>
      <c r="H31" s="332" t="s">
        <v>451</v>
      </c>
      <c r="I31" s="332" t="s">
        <v>452</v>
      </c>
      <c r="J31" s="332" t="s">
        <v>453</v>
      </c>
      <c r="K31" s="332" t="s">
        <v>446</v>
      </c>
      <c r="L31" s="332"/>
      <c r="M31" s="334" t="s">
        <v>287</v>
      </c>
      <c r="N31" s="310" t="s">
        <v>287</v>
      </c>
      <c r="O31" s="310" t="s">
        <v>287</v>
      </c>
      <c r="P31" s="310" t="s">
        <v>287</v>
      </c>
      <c r="Q31" s="310">
        <f t="shared" si="2"/>
        <v>1</v>
      </c>
      <c r="R31" s="310" t="s">
        <v>288</v>
      </c>
      <c r="S31" s="310"/>
      <c r="T31" s="310">
        <v>7</v>
      </c>
      <c r="U31" s="310">
        <v>0</v>
      </c>
      <c r="V31" s="310"/>
      <c r="W31" s="310" t="s">
        <v>288</v>
      </c>
      <c r="X31" s="310">
        <v>0</v>
      </c>
      <c r="Y31" s="335">
        <v>3.15</v>
      </c>
    </row>
    <row r="32" spans="1:31">
      <c r="A32" s="331">
        <f t="shared" si="1"/>
        <v>31</v>
      </c>
      <c r="B32" s="332" t="s">
        <v>466</v>
      </c>
      <c r="C32" s="333">
        <v>44822</v>
      </c>
      <c r="D32" s="309" t="s">
        <v>148</v>
      </c>
      <c r="E32" s="309" t="s">
        <v>286</v>
      </c>
      <c r="F32" s="309">
        <v>1</v>
      </c>
      <c r="G32" s="332" t="s">
        <v>454</v>
      </c>
      <c r="H32" s="332" t="s">
        <v>455</v>
      </c>
      <c r="I32" s="332" t="s">
        <v>456</v>
      </c>
      <c r="J32" s="332" t="s">
        <v>457</v>
      </c>
      <c r="K32" s="332" t="s">
        <v>458</v>
      </c>
      <c r="L32" s="332"/>
      <c r="M32" s="334" t="s">
        <v>287</v>
      </c>
      <c r="N32" s="310" t="s">
        <v>287</v>
      </c>
      <c r="O32" s="310" t="s">
        <v>287</v>
      </c>
      <c r="P32" s="310" t="s">
        <v>287</v>
      </c>
      <c r="Q32" s="310">
        <f t="shared" si="2"/>
        <v>1</v>
      </c>
      <c r="R32" s="310" t="s">
        <v>288</v>
      </c>
      <c r="S32" s="310"/>
      <c r="T32" s="310">
        <v>7</v>
      </c>
      <c r="U32" s="310">
        <v>0</v>
      </c>
      <c r="V32" s="310"/>
      <c r="W32" s="310" t="s">
        <v>288</v>
      </c>
      <c r="X32" s="310">
        <v>0</v>
      </c>
      <c r="Y32" s="335">
        <v>3.33</v>
      </c>
    </row>
    <row r="33" spans="1:25">
      <c r="A33" s="331">
        <f t="shared" si="1"/>
        <v>32</v>
      </c>
      <c r="B33" s="332" t="s">
        <v>465</v>
      </c>
      <c r="C33" s="333">
        <v>44839</v>
      </c>
      <c r="D33" s="309" t="s">
        <v>148</v>
      </c>
      <c r="E33" s="309" t="s">
        <v>286</v>
      </c>
      <c r="F33" s="309">
        <v>1</v>
      </c>
      <c r="G33" s="332" t="s">
        <v>459</v>
      </c>
      <c r="H33" s="332" t="s">
        <v>460</v>
      </c>
      <c r="I33" s="332" t="s">
        <v>461</v>
      </c>
      <c r="J33" s="332" t="s">
        <v>462</v>
      </c>
      <c r="K33" s="332" t="s">
        <v>463</v>
      </c>
      <c r="L33" s="332" t="s">
        <v>464</v>
      </c>
      <c r="M33" s="334" t="s">
        <v>287</v>
      </c>
      <c r="N33" s="310" t="s">
        <v>287</v>
      </c>
      <c r="O33" s="310" t="s">
        <v>287</v>
      </c>
      <c r="P33" s="310" t="s">
        <v>287</v>
      </c>
      <c r="Q33" s="310">
        <f t="shared" si="2"/>
        <v>1</v>
      </c>
      <c r="R33" s="310" t="s">
        <v>288</v>
      </c>
      <c r="S33" s="310"/>
      <c r="T33" s="310">
        <v>7</v>
      </c>
      <c r="U33" s="310">
        <v>0</v>
      </c>
      <c r="V33" s="310"/>
      <c r="W33" s="310" t="s">
        <v>288</v>
      </c>
      <c r="X33" s="310">
        <v>0</v>
      </c>
      <c r="Y33" s="335">
        <v>4.25</v>
      </c>
    </row>
    <row r="34" spans="1:25">
      <c r="A34" s="331">
        <f t="shared" si="1"/>
        <v>33</v>
      </c>
      <c r="B34" s="332" t="s">
        <v>467</v>
      </c>
      <c r="C34" s="333">
        <v>44877</v>
      </c>
      <c r="D34" s="309" t="s">
        <v>148</v>
      </c>
      <c r="E34" s="309" t="s">
        <v>286</v>
      </c>
      <c r="F34" s="309">
        <v>1</v>
      </c>
      <c r="G34" s="332" t="s">
        <v>470</v>
      </c>
      <c r="H34" s="332" t="s">
        <v>471</v>
      </c>
      <c r="I34" s="332" t="s">
        <v>472</v>
      </c>
      <c r="J34" s="332" t="s">
        <v>473</v>
      </c>
      <c r="K34" s="332" t="s">
        <v>474</v>
      </c>
      <c r="L34" s="332">
        <v>359900137</v>
      </c>
      <c r="M34" s="334" t="s">
        <v>588</v>
      </c>
      <c r="N34" s="310" t="s">
        <v>287</v>
      </c>
      <c r="O34" s="310" t="s">
        <v>287</v>
      </c>
      <c r="P34" s="310" t="s">
        <v>287</v>
      </c>
      <c r="Q34" s="310">
        <f t="shared" si="2"/>
        <v>1</v>
      </c>
      <c r="R34" s="310" t="s">
        <v>288</v>
      </c>
      <c r="S34" s="310"/>
      <c r="T34" s="310">
        <v>7</v>
      </c>
      <c r="U34" s="310">
        <v>0</v>
      </c>
      <c r="V34" s="310"/>
      <c r="W34" s="310" t="s">
        <v>288</v>
      </c>
      <c r="X34" s="310">
        <v>0</v>
      </c>
      <c r="Y34" s="335">
        <v>3.16</v>
      </c>
    </row>
    <row r="35" spans="1:25">
      <c r="A35" s="331">
        <f t="shared" si="1"/>
        <v>34</v>
      </c>
      <c r="B35" s="332" t="s">
        <v>468</v>
      </c>
      <c r="C35" s="333">
        <v>44694</v>
      </c>
      <c r="D35" s="309" t="s">
        <v>148</v>
      </c>
      <c r="E35" s="309" t="s">
        <v>286</v>
      </c>
      <c r="F35" s="309">
        <v>1</v>
      </c>
      <c r="G35" s="332" t="s">
        <v>475</v>
      </c>
      <c r="H35" s="332" t="s">
        <v>476</v>
      </c>
      <c r="I35" s="332" t="s">
        <v>477</v>
      </c>
      <c r="J35" s="332" t="s">
        <v>478</v>
      </c>
      <c r="K35" s="332" t="s">
        <v>479</v>
      </c>
      <c r="L35" s="332" t="s">
        <v>480</v>
      </c>
      <c r="M35" s="334" t="s">
        <v>287</v>
      </c>
      <c r="N35" s="310" t="s">
        <v>287</v>
      </c>
      <c r="O35" s="310" t="s">
        <v>287</v>
      </c>
      <c r="P35" s="310" t="s">
        <v>287</v>
      </c>
      <c r="Q35" s="310">
        <f t="shared" si="2"/>
        <v>1</v>
      </c>
      <c r="R35" s="310" t="s">
        <v>288</v>
      </c>
      <c r="S35" s="310"/>
      <c r="T35" s="310">
        <v>7</v>
      </c>
      <c r="U35" s="310">
        <v>0</v>
      </c>
      <c r="V35" s="310"/>
      <c r="W35" s="310" t="s">
        <v>288</v>
      </c>
      <c r="X35" s="310">
        <v>0</v>
      </c>
      <c r="Y35" s="335">
        <v>3.25</v>
      </c>
    </row>
    <row r="36" spans="1:25">
      <c r="A36" s="331">
        <f t="shared" si="1"/>
        <v>35</v>
      </c>
      <c r="B36" s="332" t="s">
        <v>469</v>
      </c>
      <c r="C36" s="333">
        <v>44842</v>
      </c>
      <c r="D36" s="309" t="s">
        <v>148</v>
      </c>
      <c r="E36" s="309" t="s">
        <v>286</v>
      </c>
      <c r="F36" s="309">
        <v>1</v>
      </c>
      <c r="G36" s="332" t="s">
        <v>481</v>
      </c>
      <c r="H36" s="332" t="s">
        <v>482</v>
      </c>
      <c r="I36" s="332" t="s">
        <v>483</v>
      </c>
      <c r="J36" s="332" t="s">
        <v>484</v>
      </c>
      <c r="K36" s="332" t="s">
        <v>479</v>
      </c>
      <c r="L36" s="332"/>
      <c r="M36" s="334" t="s">
        <v>287</v>
      </c>
      <c r="N36" s="310" t="s">
        <v>287</v>
      </c>
      <c r="O36" s="310" t="s">
        <v>287</v>
      </c>
      <c r="P36" s="310" t="s">
        <v>287</v>
      </c>
      <c r="Q36" s="310">
        <f t="shared" si="2"/>
        <v>1</v>
      </c>
      <c r="R36" s="310" t="s">
        <v>288</v>
      </c>
      <c r="S36" s="310"/>
      <c r="T36" s="310">
        <v>7</v>
      </c>
      <c r="U36" s="310">
        <v>0</v>
      </c>
      <c r="V36" s="310"/>
      <c r="W36" s="310" t="s">
        <v>288</v>
      </c>
      <c r="X36" s="310">
        <v>0</v>
      </c>
      <c r="Y36" s="335">
        <v>4.45</v>
      </c>
    </row>
    <row r="37" spans="1:25">
      <c r="A37" s="331">
        <f t="shared" si="1"/>
        <v>36</v>
      </c>
      <c r="B37" s="332" t="s">
        <v>485</v>
      </c>
      <c r="C37" s="333">
        <v>44818</v>
      </c>
      <c r="D37" s="309" t="s">
        <v>148</v>
      </c>
      <c r="E37" s="309" t="s">
        <v>286</v>
      </c>
      <c r="F37" s="309">
        <v>1</v>
      </c>
      <c r="G37" s="332" t="s">
        <v>489</v>
      </c>
      <c r="H37" s="332" t="s">
        <v>490</v>
      </c>
      <c r="I37" s="332" t="s">
        <v>491</v>
      </c>
      <c r="J37" s="332" t="s">
        <v>492</v>
      </c>
      <c r="K37" s="332" t="s">
        <v>493</v>
      </c>
      <c r="L37" s="332"/>
      <c r="M37" s="334" t="s">
        <v>287</v>
      </c>
      <c r="N37" s="310" t="s">
        <v>287</v>
      </c>
      <c r="O37" s="310" t="s">
        <v>287</v>
      </c>
      <c r="P37" s="310" t="s">
        <v>287</v>
      </c>
      <c r="Q37" s="310">
        <f t="shared" si="2"/>
        <v>1</v>
      </c>
      <c r="R37" s="310" t="s">
        <v>288</v>
      </c>
      <c r="S37" s="310"/>
      <c r="T37" s="310">
        <v>7</v>
      </c>
      <c r="U37" s="310">
        <v>0</v>
      </c>
      <c r="V37" s="310"/>
      <c r="W37" s="310" t="s">
        <v>288</v>
      </c>
      <c r="X37" s="310">
        <v>0</v>
      </c>
      <c r="Y37" s="335">
        <v>2.54</v>
      </c>
    </row>
    <row r="38" spans="1:25">
      <c r="A38" s="331">
        <f t="shared" si="1"/>
        <v>37</v>
      </c>
      <c r="B38" s="332" t="s">
        <v>486</v>
      </c>
      <c r="C38" s="333">
        <v>44873</v>
      </c>
      <c r="D38" s="309" t="s">
        <v>148</v>
      </c>
      <c r="E38" s="309" t="s">
        <v>286</v>
      </c>
      <c r="F38" s="309">
        <v>1</v>
      </c>
      <c r="G38" s="332" t="s">
        <v>494</v>
      </c>
      <c r="H38" s="332" t="s">
        <v>495</v>
      </c>
      <c r="I38" s="332" t="s">
        <v>496</v>
      </c>
      <c r="J38" s="332" t="s">
        <v>497</v>
      </c>
      <c r="K38" s="332" t="s">
        <v>493</v>
      </c>
      <c r="L38" s="332"/>
      <c r="M38" s="334" t="s">
        <v>287</v>
      </c>
      <c r="N38" s="310" t="s">
        <v>287</v>
      </c>
      <c r="O38" s="310" t="s">
        <v>287</v>
      </c>
      <c r="P38" s="310" t="s">
        <v>287</v>
      </c>
      <c r="Q38" s="310">
        <f t="shared" si="2"/>
        <v>1</v>
      </c>
      <c r="R38" s="310" t="s">
        <v>288</v>
      </c>
      <c r="S38" s="310"/>
      <c r="T38" s="310">
        <v>7</v>
      </c>
      <c r="U38" s="310">
        <v>0</v>
      </c>
      <c r="V38" s="310"/>
      <c r="W38" s="310" t="s">
        <v>288</v>
      </c>
      <c r="X38" s="310">
        <v>0</v>
      </c>
      <c r="Y38" s="335">
        <v>2.25</v>
      </c>
    </row>
    <row r="39" spans="1:25">
      <c r="A39" s="331">
        <f t="shared" si="1"/>
        <v>38</v>
      </c>
      <c r="B39" s="332" t="s">
        <v>512</v>
      </c>
      <c r="C39" s="333">
        <v>44855</v>
      </c>
      <c r="D39" s="309" t="s">
        <v>147</v>
      </c>
      <c r="E39" s="309" t="s">
        <v>286</v>
      </c>
      <c r="F39" s="309">
        <v>1</v>
      </c>
      <c r="G39" s="332" t="s">
        <v>513</v>
      </c>
      <c r="H39" s="332" t="s">
        <v>514</v>
      </c>
      <c r="I39" s="332" t="s">
        <v>515</v>
      </c>
      <c r="J39" s="332" t="s">
        <v>516</v>
      </c>
      <c r="K39" s="332" t="s">
        <v>517</v>
      </c>
      <c r="L39" s="332"/>
      <c r="M39" s="334" t="s">
        <v>287</v>
      </c>
      <c r="N39" s="310" t="s">
        <v>287</v>
      </c>
      <c r="O39" s="310" t="s">
        <v>287</v>
      </c>
      <c r="P39" s="310" t="s">
        <v>287</v>
      </c>
      <c r="Q39" s="310">
        <f t="shared" si="2"/>
        <v>1</v>
      </c>
      <c r="R39" s="310" t="s">
        <v>288</v>
      </c>
      <c r="S39" s="310"/>
      <c r="T39" s="310">
        <v>7</v>
      </c>
      <c r="U39" s="310">
        <v>0</v>
      </c>
      <c r="V39" s="310"/>
      <c r="W39" s="310" t="s">
        <v>288</v>
      </c>
      <c r="X39" s="310">
        <v>0</v>
      </c>
      <c r="Y39" s="335">
        <v>2.85</v>
      </c>
    </row>
    <row r="40" spans="1:25">
      <c r="A40" s="331">
        <f t="shared" si="1"/>
        <v>39</v>
      </c>
      <c r="B40" s="332" t="s">
        <v>487</v>
      </c>
      <c r="C40" s="333">
        <v>44855</v>
      </c>
      <c r="D40" s="309" t="s">
        <v>147</v>
      </c>
      <c r="E40" s="309" t="s">
        <v>286</v>
      </c>
      <c r="F40" s="309">
        <v>1</v>
      </c>
      <c r="G40" s="332" t="s">
        <v>518</v>
      </c>
      <c r="H40" s="332" t="s">
        <v>519</v>
      </c>
      <c r="I40" s="332" t="s">
        <v>520</v>
      </c>
      <c r="J40" s="332" t="s">
        <v>521</v>
      </c>
      <c r="K40" s="332" t="s">
        <v>517</v>
      </c>
      <c r="L40" s="332"/>
      <c r="M40" s="334" t="s">
        <v>287</v>
      </c>
      <c r="N40" s="310" t="s">
        <v>287</v>
      </c>
      <c r="O40" s="310" t="s">
        <v>287</v>
      </c>
      <c r="P40" s="310" t="s">
        <v>287</v>
      </c>
      <c r="Q40" s="310">
        <f t="shared" si="2"/>
        <v>1</v>
      </c>
      <c r="R40" s="310" t="s">
        <v>287</v>
      </c>
      <c r="S40" s="310" t="s">
        <v>287</v>
      </c>
      <c r="T40" s="310">
        <v>7</v>
      </c>
      <c r="U40" s="310">
        <v>0</v>
      </c>
      <c r="V40" s="310">
        <v>3</v>
      </c>
      <c r="W40" s="310" t="s">
        <v>288</v>
      </c>
      <c r="X40" s="310">
        <v>1.04</v>
      </c>
      <c r="Y40" s="335">
        <v>3.64</v>
      </c>
    </row>
    <row r="41" spans="1:25">
      <c r="A41" s="331">
        <f t="shared" si="1"/>
        <v>40</v>
      </c>
      <c r="B41" s="332" t="s">
        <v>488</v>
      </c>
      <c r="C41" s="333">
        <v>44887</v>
      </c>
      <c r="D41" s="309" t="s">
        <v>147</v>
      </c>
      <c r="E41" s="309" t="s">
        <v>286</v>
      </c>
      <c r="F41" s="309">
        <v>1</v>
      </c>
      <c r="G41" s="332" t="s">
        <v>522</v>
      </c>
      <c r="H41" s="332" t="s">
        <v>523</v>
      </c>
      <c r="I41" s="332" t="s">
        <v>524</v>
      </c>
      <c r="J41" s="332" t="s">
        <v>525</v>
      </c>
      <c r="K41" s="332" t="s">
        <v>517</v>
      </c>
      <c r="L41" s="332">
        <v>795696662</v>
      </c>
      <c r="M41" s="334" t="s">
        <v>287</v>
      </c>
      <c r="N41" s="310" t="s">
        <v>287</v>
      </c>
      <c r="O41" s="310" t="s">
        <v>287</v>
      </c>
      <c r="P41" s="310" t="s">
        <v>287</v>
      </c>
      <c r="Q41" s="310">
        <f t="shared" si="2"/>
        <v>1</v>
      </c>
      <c r="R41" s="310" t="s">
        <v>288</v>
      </c>
      <c r="S41" s="310"/>
      <c r="T41" s="310">
        <v>7</v>
      </c>
      <c r="U41" s="310">
        <v>0</v>
      </c>
      <c r="V41" s="310"/>
      <c r="W41" s="310" t="s">
        <v>288</v>
      </c>
      <c r="X41" s="310">
        <v>0</v>
      </c>
      <c r="Y41" s="335">
        <v>2.4500000000000002</v>
      </c>
    </row>
    <row r="42" spans="1:25">
      <c r="A42" s="331">
        <f t="shared" si="1"/>
        <v>41</v>
      </c>
      <c r="B42" s="332" t="s">
        <v>498</v>
      </c>
      <c r="C42" s="333">
        <v>44886</v>
      </c>
      <c r="D42" s="309" t="s">
        <v>147</v>
      </c>
      <c r="E42" s="309" t="s">
        <v>286</v>
      </c>
      <c r="F42" s="309">
        <v>1</v>
      </c>
      <c r="G42" s="332" t="s">
        <v>526</v>
      </c>
      <c r="H42" s="332" t="s">
        <v>527</v>
      </c>
      <c r="I42" s="332" t="s">
        <v>528</v>
      </c>
      <c r="J42" s="332" t="s">
        <v>529</v>
      </c>
      <c r="K42" s="332" t="s">
        <v>517</v>
      </c>
      <c r="L42" s="332">
        <v>387183171</v>
      </c>
      <c r="M42" s="334" t="s">
        <v>287</v>
      </c>
      <c r="N42" s="310" t="s">
        <v>287</v>
      </c>
      <c r="O42" s="310" t="s">
        <v>287</v>
      </c>
      <c r="P42" s="310" t="s">
        <v>287</v>
      </c>
      <c r="Q42" s="310">
        <f t="shared" si="2"/>
        <v>1</v>
      </c>
      <c r="R42" s="310" t="s">
        <v>288</v>
      </c>
      <c r="S42" s="310"/>
      <c r="T42" s="310">
        <v>7</v>
      </c>
      <c r="U42" s="310">
        <v>0</v>
      </c>
      <c r="V42" s="310"/>
      <c r="W42" s="310" t="s">
        <v>288</v>
      </c>
      <c r="X42" s="310">
        <v>0</v>
      </c>
      <c r="Y42" s="335">
        <v>3.64</v>
      </c>
    </row>
    <row r="43" spans="1:25">
      <c r="A43" s="331">
        <f t="shared" si="1"/>
        <v>42</v>
      </c>
      <c r="B43" s="332" t="s">
        <v>499</v>
      </c>
      <c r="C43" s="333">
        <v>44866</v>
      </c>
      <c r="D43" s="309" t="s">
        <v>147</v>
      </c>
      <c r="E43" s="309" t="s">
        <v>286</v>
      </c>
      <c r="F43" s="309">
        <v>1</v>
      </c>
      <c r="G43" s="332" t="s">
        <v>531</v>
      </c>
      <c r="H43" s="332" t="s">
        <v>413</v>
      </c>
      <c r="I43" s="332" t="s">
        <v>532</v>
      </c>
      <c r="J43" s="332" t="s">
        <v>533</v>
      </c>
      <c r="K43" s="332" t="s">
        <v>530</v>
      </c>
      <c r="L43" s="332"/>
      <c r="M43" s="334" t="s">
        <v>287</v>
      </c>
      <c r="N43" s="310" t="s">
        <v>287</v>
      </c>
      <c r="O43" s="310" t="s">
        <v>287</v>
      </c>
      <c r="P43" s="310" t="s">
        <v>287</v>
      </c>
      <c r="Q43" s="310">
        <f t="shared" si="2"/>
        <v>1</v>
      </c>
      <c r="R43" s="310" t="s">
        <v>288</v>
      </c>
      <c r="S43" s="310"/>
      <c r="T43" s="310">
        <v>7</v>
      </c>
      <c r="U43" s="310">
        <v>0</v>
      </c>
      <c r="V43" s="310"/>
      <c r="W43" s="310" t="s">
        <v>288</v>
      </c>
      <c r="X43" s="310">
        <v>0</v>
      </c>
      <c r="Y43" s="335">
        <v>4.5599999999999996</v>
      </c>
    </row>
    <row r="44" spans="1:25">
      <c r="A44" s="331">
        <f t="shared" si="1"/>
        <v>43</v>
      </c>
      <c r="B44" s="332" t="s">
        <v>500</v>
      </c>
      <c r="C44" s="333">
        <v>44873</v>
      </c>
      <c r="D44" s="309" t="s">
        <v>147</v>
      </c>
      <c r="E44" s="309" t="s">
        <v>286</v>
      </c>
      <c r="F44" s="309">
        <v>1</v>
      </c>
      <c r="G44" s="332" t="s">
        <v>534</v>
      </c>
      <c r="H44" s="332" t="s">
        <v>535</v>
      </c>
      <c r="I44" s="332" t="s">
        <v>536</v>
      </c>
      <c r="J44" s="332" t="s">
        <v>537</v>
      </c>
      <c r="K44" s="332" t="s">
        <v>530</v>
      </c>
      <c r="L44" s="332"/>
      <c r="M44" s="334" t="s">
        <v>287</v>
      </c>
      <c r="N44" s="310" t="s">
        <v>287</v>
      </c>
      <c r="O44" s="310" t="s">
        <v>287</v>
      </c>
      <c r="P44" s="310" t="s">
        <v>287</v>
      </c>
      <c r="Q44" s="310">
        <f t="shared" si="2"/>
        <v>1</v>
      </c>
      <c r="R44" s="310" t="s">
        <v>288</v>
      </c>
      <c r="S44" s="310"/>
      <c r="T44" s="310">
        <v>7</v>
      </c>
      <c r="U44" s="310">
        <v>0</v>
      </c>
      <c r="V44" s="310"/>
      <c r="W44" s="310" t="s">
        <v>288</v>
      </c>
      <c r="X44" s="310">
        <v>0</v>
      </c>
      <c r="Y44" s="335">
        <v>4.12</v>
      </c>
    </row>
    <row r="45" spans="1:25">
      <c r="A45" s="331">
        <f t="shared" si="1"/>
        <v>44</v>
      </c>
      <c r="B45" s="332" t="s">
        <v>501</v>
      </c>
      <c r="C45" s="333">
        <v>44882</v>
      </c>
      <c r="D45" s="309" t="s">
        <v>147</v>
      </c>
      <c r="E45" s="309" t="s">
        <v>286</v>
      </c>
      <c r="F45" s="309">
        <v>1</v>
      </c>
      <c r="G45" s="332" t="s">
        <v>538</v>
      </c>
      <c r="H45" s="332" t="s">
        <v>539</v>
      </c>
      <c r="I45" s="332" t="s">
        <v>540</v>
      </c>
      <c r="J45" s="332" t="s">
        <v>541</v>
      </c>
      <c r="K45" s="332" t="s">
        <v>530</v>
      </c>
      <c r="L45" s="332">
        <v>773955007</v>
      </c>
      <c r="M45" s="334" t="s">
        <v>287</v>
      </c>
      <c r="N45" s="310" t="s">
        <v>287</v>
      </c>
      <c r="O45" s="310" t="s">
        <v>287</v>
      </c>
      <c r="P45" s="310" t="s">
        <v>287</v>
      </c>
      <c r="Q45" s="310">
        <f t="shared" si="2"/>
        <v>1</v>
      </c>
      <c r="R45" s="310" t="s">
        <v>288</v>
      </c>
      <c r="S45" s="310"/>
      <c r="T45" s="310">
        <v>7</v>
      </c>
      <c r="U45" s="310">
        <v>0</v>
      </c>
      <c r="V45" s="310"/>
      <c r="W45" s="310" t="s">
        <v>288</v>
      </c>
      <c r="X45" s="310">
        <v>0</v>
      </c>
      <c r="Y45" s="335">
        <v>3.34</v>
      </c>
    </row>
    <row r="46" spans="1:25">
      <c r="A46" s="331">
        <f t="shared" si="1"/>
        <v>45</v>
      </c>
      <c r="B46" s="332" t="s">
        <v>502</v>
      </c>
      <c r="C46" s="333">
        <v>44881</v>
      </c>
      <c r="D46" s="309" t="s">
        <v>147</v>
      </c>
      <c r="E46" s="309" t="s">
        <v>286</v>
      </c>
      <c r="F46" s="309">
        <v>1</v>
      </c>
      <c r="G46" s="332" t="s">
        <v>542</v>
      </c>
      <c r="H46" s="332" t="s">
        <v>543</v>
      </c>
      <c r="I46" s="332" t="s">
        <v>544</v>
      </c>
      <c r="J46" s="332" t="s">
        <v>545</v>
      </c>
      <c r="K46" s="332" t="s">
        <v>530</v>
      </c>
      <c r="L46" s="332">
        <v>905466891</v>
      </c>
      <c r="M46" s="334" t="s">
        <v>287</v>
      </c>
      <c r="N46" s="310" t="s">
        <v>287</v>
      </c>
      <c r="O46" s="310" t="s">
        <v>287</v>
      </c>
      <c r="P46" s="310" t="s">
        <v>287</v>
      </c>
      <c r="Q46" s="310">
        <f t="shared" si="2"/>
        <v>1</v>
      </c>
      <c r="R46" s="310" t="s">
        <v>288</v>
      </c>
      <c r="S46" s="310"/>
      <c r="T46" s="310">
        <v>7</v>
      </c>
      <c r="U46" s="310">
        <v>0</v>
      </c>
      <c r="V46" s="310"/>
      <c r="W46" s="310" t="s">
        <v>288</v>
      </c>
      <c r="X46" s="310">
        <v>0</v>
      </c>
      <c r="Y46" s="335">
        <v>3.74</v>
      </c>
    </row>
    <row r="47" spans="1:25">
      <c r="A47" s="331">
        <f t="shared" si="1"/>
        <v>46</v>
      </c>
      <c r="B47" s="332" t="s">
        <v>503</v>
      </c>
      <c r="C47" s="333">
        <v>44884</v>
      </c>
      <c r="D47" s="309" t="s">
        <v>147</v>
      </c>
      <c r="E47" s="309" t="s">
        <v>286</v>
      </c>
      <c r="F47" s="309">
        <v>1</v>
      </c>
      <c r="G47" s="332" t="s">
        <v>546</v>
      </c>
      <c r="H47" s="332" t="s">
        <v>547</v>
      </c>
      <c r="I47" s="332" t="s">
        <v>548</v>
      </c>
      <c r="J47" s="332" t="s">
        <v>549</v>
      </c>
      <c r="K47" s="332" t="s">
        <v>530</v>
      </c>
      <c r="L47" s="332"/>
      <c r="M47" s="334" t="s">
        <v>287</v>
      </c>
      <c r="N47" s="310" t="s">
        <v>287</v>
      </c>
      <c r="O47" s="310" t="s">
        <v>287</v>
      </c>
      <c r="P47" s="310" t="s">
        <v>287</v>
      </c>
      <c r="Q47" s="310">
        <f t="shared" si="2"/>
        <v>1</v>
      </c>
      <c r="R47" s="310" t="s">
        <v>288</v>
      </c>
      <c r="S47" s="310"/>
      <c r="T47" s="310">
        <v>7</v>
      </c>
      <c r="U47" s="310">
        <v>0</v>
      </c>
      <c r="V47" s="310"/>
      <c r="W47" s="310" t="s">
        <v>288</v>
      </c>
      <c r="X47" s="310">
        <v>0</v>
      </c>
      <c r="Y47" s="335">
        <v>3.64</v>
      </c>
    </row>
    <row r="48" spans="1:25">
      <c r="A48" s="331">
        <f t="shared" si="1"/>
        <v>47</v>
      </c>
      <c r="B48" s="332" t="s">
        <v>504</v>
      </c>
      <c r="C48" s="333">
        <v>44814</v>
      </c>
      <c r="D48" s="309" t="s">
        <v>147</v>
      </c>
      <c r="E48" s="309" t="s">
        <v>286</v>
      </c>
      <c r="F48" s="309">
        <v>1</v>
      </c>
      <c r="G48" s="332" t="s">
        <v>550</v>
      </c>
      <c r="H48" s="332" t="s">
        <v>551</v>
      </c>
      <c r="I48" s="332" t="s">
        <v>552</v>
      </c>
      <c r="J48" s="332" t="s">
        <v>553</v>
      </c>
      <c r="K48" s="332" t="s">
        <v>554</v>
      </c>
      <c r="L48" s="332" t="s">
        <v>555</v>
      </c>
      <c r="M48" s="334" t="s">
        <v>287</v>
      </c>
      <c r="N48" s="310" t="s">
        <v>287</v>
      </c>
      <c r="O48" s="310" t="s">
        <v>287</v>
      </c>
      <c r="P48" s="310" t="s">
        <v>287</v>
      </c>
      <c r="Q48" s="310">
        <f t="shared" si="2"/>
        <v>1</v>
      </c>
      <c r="R48" s="310" t="s">
        <v>288</v>
      </c>
      <c r="S48" s="339"/>
      <c r="T48" s="310">
        <v>7</v>
      </c>
      <c r="U48" s="310">
        <v>0</v>
      </c>
      <c r="V48" s="310"/>
      <c r="W48" s="310" t="s">
        <v>288</v>
      </c>
      <c r="X48" s="310">
        <v>0</v>
      </c>
      <c r="Y48" s="335">
        <v>2.4500000000000002</v>
      </c>
    </row>
    <row r="49" spans="1:25">
      <c r="A49" s="331">
        <f t="shared" si="1"/>
        <v>48</v>
      </c>
      <c r="B49" s="332" t="s">
        <v>505</v>
      </c>
      <c r="C49" s="333">
        <v>44837</v>
      </c>
      <c r="D49" s="309" t="s">
        <v>147</v>
      </c>
      <c r="E49" s="309" t="s">
        <v>286</v>
      </c>
      <c r="F49" s="309">
        <v>1</v>
      </c>
      <c r="G49" s="332" t="s">
        <v>556</v>
      </c>
      <c r="H49" s="332" t="s">
        <v>557</v>
      </c>
      <c r="I49" s="332" t="s">
        <v>558</v>
      </c>
      <c r="J49" s="332" t="s">
        <v>559</v>
      </c>
      <c r="K49" s="332" t="s">
        <v>560</v>
      </c>
      <c r="L49" s="332" t="s">
        <v>561</v>
      </c>
      <c r="M49" s="334" t="s">
        <v>287</v>
      </c>
      <c r="N49" s="310" t="s">
        <v>287</v>
      </c>
      <c r="O49" s="310" t="s">
        <v>287</v>
      </c>
      <c r="P49" s="310" t="s">
        <v>287</v>
      </c>
      <c r="Q49" s="310">
        <f t="shared" si="2"/>
        <v>1</v>
      </c>
      <c r="R49" s="310" t="s">
        <v>288</v>
      </c>
      <c r="S49" s="339"/>
      <c r="T49" s="310">
        <v>7</v>
      </c>
      <c r="U49" s="310">
        <v>0</v>
      </c>
      <c r="V49" s="310"/>
      <c r="W49" s="310" t="s">
        <v>288</v>
      </c>
      <c r="X49" s="310">
        <v>0</v>
      </c>
      <c r="Y49" s="335">
        <v>2.85</v>
      </c>
    </row>
    <row r="50" spans="1:25">
      <c r="A50" s="331">
        <f t="shared" si="1"/>
        <v>49</v>
      </c>
      <c r="B50" s="332" t="s">
        <v>506</v>
      </c>
      <c r="C50" s="333">
        <v>44730</v>
      </c>
      <c r="D50" s="309" t="s">
        <v>147</v>
      </c>
      <c r="E50" s="309" t="s">
        <v>286</v>
      </c>
      <c r="F50" s="309">
        <v>1</v>
      </c>
      <c r="G50" s="332" t="s">
        <v>562</v>
      </c>
      <c r="H50" s="332" t="s">
        <v>563</v>
      </c>
      <c r="I50" s="332" t="s">
        <v>564</v>
      </c>
      <c r="J50" s="332" t="s">
        <v>565</v>
      </c>
      <c r="K50" s="332" t="s">
        <v>267</v>
      </c>
      <c r="L50" s="332">
        <v>374426861</v>
      </c>
      <c r="M50" s="334" t="s">
        <v>287</v>
      </c>
      <c r="N50" s="310" t="s">
        <v>287</v>
      </c>
      <c r="O50" s="310" t="s">
        <v>287</v>
      </c>
      <c r="P50" s="310" t="s">
        <v>287</v>
      </c>
      <c r="Q50" s="310">
        <f t="shared" si="2"/>
        <v>1</v>
      </c>
      <c r="R50" s="310" t="s">
        <v>288</v>
      </c>
      <c r="S50" s="310"/>
      <c r="T50" s="310">
        <v>7</v>
      </c>
      <c r="U50" s="310">
        <v>0</v>
      </c>
      <c r="V50" s="310"/>
      <c r="W50" s="310" t="s">
        <v>288</v>
      </c>
      <c r="X50" s="310">
        <v>0</v>
      </c>
      <c r="Y50" s="335">
        <v>2.38</v>
      </c>
    </row>
    <row r="51" spans="1:25">
      <c r="A51" s="331">
        <f t="shared" si="1"/>
        <v>50</v>
      </c>
      <c r="B51" s="332" t="s">
        <v>507</v>
      </c>
      <c r="C51" s="333">
        <v>44871</v>
      </c>
      <c r="D51" s="309" t="s">
        <v>147</v>
      </c>
      <c r="E51" s="309" t="s">
        <v>286</v>
      </c>
      <c r="F51" s="309">
        <v>1</v>
      </c>
      <c r="G51" s="332" t="s">
        <v>566</v>
      </c>
      <c r="H51" s="332" t="s">
        <v>567</v>
      </c>
      <c r="I51" s="332" t="s">
        <v>568</v>
      </c>
      <c r="J51" s="332" t="s">
        <v>569</v>
      </c>
      <c r="K51" s="332" t="s">
        <v>267</v>
      </c>
      <c r="L51" s="332"/>
      <c r="M51" s="334" t="s">
        <v>287</v>
      </c>
      <c r="N51" s="310" t="s">
        <v>287</v>
      </c>
      <c r="O51" s="310" t="s">
        <v>287</v>
      </c>
      <c r="P51" s="310" t="s">
        <v>287</v>
      </c>
      <c r="Q51" s="310">
        <f t="shared" ref="Q51:Q55" si="3">IF(N51="Yes",1)</f>
        <v>1</v>
      </c>
      <c r="R51" s="310" t="s">
        <v>288</v>
      </c>
      <c r="S51" s="339"/>
      <c r="T51" s="310">
        <v>7</v>
      </c>
      <c r="U51" s="310">
        <v>0</v>
      </c>
      <c r="V51" s="310"/>
      <c r="W51" s="310" t="s">
        <v>288</v>
      </c>
      <c r="X51" s="310">
        <v>0</v>
      </c>
      <c r="Y51" s="335">
        <v>3.64</v>
      </c>
    </row>
    <row r="52" spans="1:25">
      <c r="A52" s="331">
        <f t="shared" si="1"/>
        <v>51</v>
      </c>
      <c r="B52" s="332" t="s">
        <v>508</v>
      </c>
      <c r="C52" s="333">
        <v>44881</v>
      </c>
      <c r="D52" s="309" t="s">
        <v>147</v>
      </c>
      <c r="E52" s="309" t="s">
        <v>286</v>
      </c>
      <c r="F52" s="309">
        <v>1</v>
      </c>
      <c r="G52" s="332" t="s">
        <v>570</v>
      </c>
      <c r="H52" s="332" t="s">
        <v>571</v>
      </c>
      <c r="I52" s="332" t="s">
        <v>572</v>
      </c>
      <c r="J52" s="332" t="s">
        <v>573</v>
      </c>
      <c r="K52" s="332" t="s">
        <v>267</v>
      </c>
      <c r="L52" s="332"/>
      <c r="M52" s="334" t="s">
        <v>287</v>
      </c>
      <c r="N52" s="310" t="s">
        <v>287</v>
      </c>
      <c r="O52" s="310" t="s">
        <v>287</v>
      </c>
      <c r="P52" s="310" t="s">
        <v>287</v>
      </c>
      <c r="Q52" s="310">
        <f t="shared" si="3"/>
        <v>1</v>
      </c>
      <c r="R52" s="310" t="s">
        <v>287</v>
      </c>
      <c r="S52" s="310" t="s">
        <v>287</v>
      </c>
      <c r="T52" s="310">
        <v>7</v>
      </c>
      <c r="U52" s="310">
        <v>0</v>
      </c>
      <c r="V52" s="310">
        <v>2</v>
      </c>
      <c r="W52" s="310" t="s">
        <v>288</v>
      </c>
      <c r="X52" s="310">
        <v>1.22</v>
      </c>
      <c r="Y52" s="335">
        <v>3.37</v>
      </c>
    </row>
    <row r="53" spans="1:25">
      <c r="A53" s="331">
        <f t="shared" si="1"/>
        <v>52</v>
      </c>
      <c r="B53" s="332" t="s">
        <v>509</v>
      </c>
      <c r="C53" s="333">
        <v>44714</v>
      </c>
      <c r="D53" s="309" t="s">
        <v>147</v>
      </c>
      <c r="E53" s="309" t="s">
        <v>286</v>
      </c>
      <c r="F53" s="309">
        <v>1</v>
      </c>
      <c r="G53" s="332" t="s">
        <v>574</v>
      </c>
      <c r="H53" s="332" t="s">
        <v>575</v>
      </c>
      <c r="I53" s="332" t="s">
        <v>576</v>
      </c>
      <c r="J53" s="332" t="s">
        <v>577</v>
      </c>
      <c r="K53" s="332" t="s">
        <v>578</v>
      </c>
      <c r="L53" s="332" t="s">
        <v>579</v>
      </c>
      <c r="M53" s="334" t="s">
        <v>287</v>
      </c>
      <c r="N53" s="310" t="s">
        <v>287</v>
      </c>
      <c r="O53" s="310" t="s">
        <v>287</v>
      </c>
      <c r="P53" s="310" t="s">
        <v>287</v>
      </c>
      <c r="Q53" s="310">
        <f t="shared" si="3"/>
        <v>1</v>
      </c>
      <c r="R53" s="310" t="s">
        <v>288</v>
      </c>
      <c r="S53" s="310"/>
      <c r="T53" s="310">
        <v>7</v>
      </c>
      <c r="U53" s="310">
        <v>0</v>
      </c>
      <c r="V53" s="310"/>
      <c r="W53" s="310" t="s">
        <v>288</v>
      </c>
      <c r="X53" s="310">
        <v>0</v>
      </c>
      <c r="Y53" s="335">
        <v>4.0199999999999996</v>
      </c>
    </row>
    <row r="54" spans="1:25">
      <c r="A54" s="331">
        <f t="shared" si="1"/>
        <v>53</v>
      </c>
      <c r="B54" s="332" t="s">
        <v>510</v>
      </c>
      <c r="C54" s="333">
        <v>44838</v>
      </c>
      <c r="D54" s="309" t="s">
        <v>147</v>
      </c>
      <c r="E54" s="309" t="s">
        <v>286</v>
      </c>
      <c r="F54" s="309">
        <v>1</v>
      </c>
      <c r="G54" s="332" t="s">
        <v>580</v>
      </c>
      <c r="H54" s="332" t="s">
        <v>581</v>
      </c>
      <c r="I54" s="332" t="s">
        <v>582</v>
      </c>
      <c r="J54" s="332" t="s">
        <v>583</v>
      </c>
      <c r="K54" s="332" t="s">
        <v>578</v>
      </c>
      <c r="L54" s="332"/>
      <c r="M54" s="334" t="s">
        <v>287</v>
      </c>
      <c r="N54" s="310" t="s">
        <v>287</v>
      </c>
      <c r="O54" s="310" t="s">
        <v>287</v>
      </c>
      <c r="P54" s="310" t="s">
        <v>287</v>
      </c>
      <c r="Q54" s="310">
        <f t="shared" si="3"/>
        <v>1</v>
      </c>
      <c r="R54" s="310" t="s">
        <v>288</v>
      </c>
      <c r="S54" s="310"/>
      <c r="T54" s="310">
        <v>7</v>
      </c>
      <c r="U54" s="310">
        <v>0</v>
      </c>
      <c r="V54" s="310"/>
      <c r="W54" s="310" t="s">
        <v>288</v>
      </c>
      <c r="X54" s="310">
        <v>0</v>
      </c>
      <c r="Y54" s="335">
        <v>3.12</v>
      </c>
    </row>
    <row r="55" spans="1:25">
      <c r="A55" s="331">
        <f t="shared" si="1"/>
        <v>54</v>
      </c>
      <c r="B55" s="332" t="s">
        <v>511</v>
      </c>
      <c r="C55" s="333">
        <v>44862</v>
      </c>
      <c r="D55" s="309" t="s">
        <v>147</v>
      </c>
      <c r="E55" s="309" t="s">
        <v>286</v>
      </c>
      <c r="F55" s="309">
        <v>1</v>
      </c>
      <c r="G55" s="332" t="s">
        <v>584</v>
      </c>
      <c r="H55" s="332" t="s">
        <v>585</v>
      </c>
      <c r="I55" s="332" t="s">
        <v>586</v>
      </c>
      <c r="J55" s="332" t="s">
        <v>587</v>
      </c>
      <c r="K55" s="332" t="s">
        <v>578</v>
      </c>
      <c r="L55" s="332">
        <v>332437881</v>
      </c>
      <c r="M55" s="334" t="s">
        <v>287</v>
      </c>
      <c r="N55" s="310" t="s">
        <v>287</v>
      </c>
      <c r="O55" s="310" t="s">
        <v>287</v>
      </c>
      <c r="P55" s="339" t="s">
        <v>287</v>
      </c>
      <c r="Q55" s="310">
        <f t="shared" si="3"/>
        <v>1</v>
      </c>
      <c r="R55" s="310" t="s">
        <v>288</v>
      </c>
      <c r="S55" s="310"/>
      <c r="T55" s="310">
        <v>7</v>
      </c>
      <c r="U55" s="310">
        <v>0</v>
      </c>
      <c r="V55" s="310"/>
      <c r="W55" s="310" t="s">
        <v>288</v>
      </c>
      <c r="X55" s="310">
        <v>0</v>
      </c>
      <c r="Y55" s="335">
        <v>2.86</v>
      </c>
    </row>
    <row r="56" spans="1:25">
      <c r="A56" s="340"/>
      <c r="B56" s="341"/>
      <c r="C56" s="341"/>
      <c r="D56" s="341"/>
      <c r="E56" s="341"/>
      <c r="F56" s="341"/>
      <c r="G56" s="341"/>
      <c r="H56" s="341"/>
      <c r="I56" s="341"/>
      <c r="J56" s="341"/>
      <c r="K56" s="341"/>
      <c r="L56" s="341"/>
      <c r="M56" s="341"/>
      <c r="N56" s="341"/>
      <c r="O56" s="341"/>
      <c r="P56" s="342" t="s">
        <v>289</v>
      </c>
      <c r="Q56" s="343">
        <f>AVERAGE(Q2:Q55)</f>
        <v>1</v>
      </c>
      <c r="R56" s="341"/>
      <c r="S56" s="341"/>
      <c r="T56" s="341"/>
      <c r="U56" s="341"/>
      <c r="V56" s="341"/>
      <c r="W56" s="341"/>
      <c r="X56" s="341"/>
      <c r="Y56" s="344">
        <f>AVERAGE(Y2:Y55)</f>
        <v>3.4027777777777768</v>
      </c>
    </row>
  </sheetData>
  <mergeCells count="14">
    <mergeCell ref="AB18:AD18"/>
    <mergeCell ref="AB19:AD19"/>
    <mergeCell ref="AB8:AD8"/>
    <mergeCell ref="AB9:AD9"/>
    <mergeCell ref="AB10:AD10"/>
    <mergeCell ref="AB11:AD11"/>
    <mergeCell ref="AB16:AE16"/>
    <mergeCell ref="AB17:AD17"/>
    <mergeCell ref="AB7:AD7"/>
    <mergeCell ref="AB2:AE2"/>
    <mergeCell ref="AB3:AD3"/>
    <mergeCell ref="AB4:AD4"/>
    <mergeCell ref="AB5:AD5"/>
    <mergeCell ref="AB6:AD6"/>
  </mergeCells>
  <pageMargins left="0.7" right="0.7" top="0.75" bottom="0.75" header="0.3" footer="0.3"/>
  <pageSetup paperSize="9" scale="75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D154"/>
  <sheetViews>
    <sheetView topLeftCell="AU166" zoomScaleNormal="100" zoomScalePageLayoutView="120" workbookViewId="0">
      <selection activeCell="Q82" sqref="Q82"/>
    </sheetView>
  </sheetViews>
  <sheetFormatPr defaultColWidth="10.42578125" defaultRowHeight="15"/>
  <cols>
    <col min="2" max="2" width="25.28515625" customWidth="1"/>
    <col min="3" max="3" width="8.7109375" customWidth="1"/>
    <col min="4" max="4" width="8" bestFit="1" customWidth="1"/>
    <col min="5" max="6" width="10.140625" bestFit="1" customWidth="1"/>
    <col min="7" max="8" width="11" bestFit="1" customWidth="1"/>
    <col min="9" max="9" width="10.42578125" customWidth="1"/>
    <col min="10" max="10" width="10" style="285" customWidth="1"/>
    <col min="11" max="11" width="7.42578125" customWidth="1"/>
    <col min="12" max="12" width="7.7109375" customWidth="1"/>
    <col min="13" max="13" width="7.42578125" customWidth="1"/>
    <col min="14" max="14" width="8.140625" customWidth="1"/>
    <col min="15" max="16" width="7.42578125" customWidth="1"/>
    <col min="17" max="18" width="6.5703125" customWidth="1"/>
    <col min="19" max="19" width="7.42578125" customWidth="1"/>
    <col min="20" max="20" width="6.5703125" customWidth="1"/>
    <col min="21" max="21" width="8.28515625" customWidth="1"/>
    <col min="22" max="23" width="7.42578125" customWidth="1"/>
    <col min="24" max="24" width="9" customWidth="1"/>
    <col min="25" max="30" width="7.42578125" customWidth="1"/>
    <col min="31" max="31" width="6.5703125" customWidth="1"/>
    <col min="32" max="32" width="7.42578125" customWidth="1"/>
    <col min="33" max="33" width="6.5703125" customWidth="1"/>
    <col min="34" max="39" width="7.42578125" customWidth="1"/>
    <col min="40" max="40" width="8.28515625" customWidth="1"/>
    <col min="41" max="42" width="6.5703125" customWidth="1"/>
    <col min="43" max="44" width="7.5703125" customWidth="1"/>
    <col min="45" max="50" width="6.5703125" customWidth="1"/>
    <col min="51" max="51" width="7.42578125" customWidth="1"/>
    <col min="52" max="52" width="7.28515625" customWidth="1"/>
    <col min="53" max="61" width="6.5703125" customWidth="1"/>
    <col min="62" max="63" width="7.42578125" customWidth="1"/>
    <col min="64" max="68" width="6.5703125" customWidth="1"/>
    <col min="69" max="69" width="7.5703125" customWidth="1"/>
    <col min="70" max="70" width="7.42578125" customWidth="1"/>
    <col min="71" max="71" width="6.5703125" customWidth="1"/>
    <col min="72" max="72" width="7.5703125" customWidth="1"/>
    <col min="73" max="73" width="6.5703125" customWidth="1"/>
    <col min="74" max="74" width="7.85546875" customWidth="1"/>
    <col min="75" max="75" width="7.5703125" customWidth="1"/>
    <col min="76" max="76" width="7.85546875" customWidth="1"/>
    <col min="77" max="77" width="7.7109375" customWidth="1"/>
    <col min="78" max="78" width="6.5703125" customWidth="1"/>
    <col min="79" max="79" width="6.85546875" customWidth="1"/>
    <col min="80" max="80" width="6.5703125" customWidth="1"/>
    <col min="81" max="81" width="10.5703125" customWidth="1"/>
    <col min="82" max="82" width="17" customWidth="1"/>
  </cols>
  <sheetData>
    <row r="1" spans="1:82">
      <c r="A1" s="9"/>
      <c r="B1" s="9"/>
      <c r="C1" s="9"/>
      <c r="D1" s="9"/>
      <c r="E1" s="9"/>
      <c r="F1" s="9"/>
      <c r="G1" s="9"/>
      <c r="H1" s="9"/>
      <c r="I1" s="9"/>
      <c r="J1" s="280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</row>
    <row r="2" spans="1:82" ht="15.75" thickBot="1">
      <c r="A2" s="10"/>
      <c r="B2" s="11"/>
      <c r="C2" s="11"/>
      <c r="D2" s="11"/>
      <c r="E2" s="11"/>
      <c r="F2" s="11"/>
      <c r="G2" s="11"/>
      <c r="H2" s="11"/>
      <c r="I2" s="11"/>
      <c r="J2" s="280"/>
      <c r="K2" s="11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</row>
    <row r="3" spans="1:82" ht="15.95" customHeight="1" thickBot="1">
      <c r="A3" s="10"/>
      <c r="B3" s="12" t="s">
        <v>16</v>
      </c>
      <c r="C3" s="13" t="s">
        <v>56</v>
      </c>
      <c r="D3" s="13" t="s">
        <v>57</v>
      </c>
      <c r="E3" s="13" t="s">
        <v>58</v>
      </c>
      <c r="F3" s="13" t="s">
        <v>173</v>
      </c>
      <c r="G3" s="13" t="s">
        <v>59</v>
      </c>
      <c r="H3" s="13" t="s">
        <v>60</v>
      </c>
      <c r="I3" s="13" t="s">
        <v>61</v>
      </c>
      <c r="J3" s="281" t="s">
        <v>156</v>
      </c>
      <c r="K3" s="13" t="s">
        <v>62</v>
      </c>
      <c r="L3" s="13" t="s">
        <v>63</v>
      </c>
      <c r="M3" s="13" t="s">
        <v>64</v>
      </c>
      <c r="N3" s="13" t="s">
        <v>65</v>
      </c>
      <c r="O3" s="13" t="s">
        <v>66</v>
      </c>
      <c r="P3" s="13" t="s">
        <v>67</v>
      </c>
      <c r="Q3" s="13" t="s">
        <v>68</v>
      </c>
      <c r="R3" s="13" t="s">
        <v>69</v>
      </c>
      <c r="S3" s="13" t="s">
        <v>70</v>
      </c>
      <c r="T3" s="13" t="s">
        <v>71</v>
      </c>
      <c r="U3" s="13" t="s">
        <v>72</v>
      </c>
      <c r="V3" s="13" t="s">
        <v>73</v>
      </c>
      <c r="W3" s="13" t="s">
        <v>74</v>
      </c>
      <c r="X3" s="13" t="s">
        <v>75</v>
      </c>
      <c r="Y3" s="13" t="s">
        <v>76</v>
      </c>
      <c r="Z3" s="13" t="s">
        <v>77</v>
      </c>
      <c r="AA3" s="13" t="s">
        <v>78</v>
      </c>
      <c r="AB3" s="13" t="s">
        <v>79</v>
      </c>
      <c r="AC3" s="13" t="s">
        <v>80</v>
      </c>
      <c r="AD3" s="13" t="s">
        <v>81</v>
      </c>
      <c r="AE3" s="13" t="s">
        <v>157</v>
      </c>
      <c r="AF3" s="13" t="s">
        <v>82</v>
      </c>
      <c r="AG3" s="13" t="s">
        <v>83</v>
      </c>
      <c r="AH3" s="13" t="s">
        <v>84</v>
      </c>
      <c r="AI3" s="13" t="s">
        <v>85</v>
      </c>
      <c r="AJ3" s="13" t="s">
        <v>86</v>
      </c>
      <c r="AK3" s="13" t="s">
        <v>87</v>
      </c>
      <c r="AL3" s="13" t="s">
        <v>88</v>
      </c>
      <c r="AM3" s="13" t="s">
        <v>89</v>
      </c>
      <c r="AN3" s="13" t="s">
        <v>90</v>
      </c>
      <c r="AO3" s="13" t="s">
        <v>91</v>
      </c>
      <c r="AP3" s="13" t="s">
        <v>92</v>
      </c>
      <c r="AQ3" s="13" t="s">
        <v>93</v>
      </c>
      <c r="AR3" s="13" t="s">
        <v>94</v>
      </c>
      <c r="AS3" s="13" t="s">
        <v>158</v>
      </c>
      <c r="AT3" s="13" t="s">
        <v>95</v>
      </c>
      <c r="AU3" s="13" t="s">
        <v>96</v>
      </c>
      <c r="AV3" s="13" t="s">
        <v>97</v>
      </c>
      <c r="AW3" s="13" t="s">
        <v>159</v>
      </c>
      <c r="AX3" s="13" t="s">
        <v>98</v>
      </c>
      <c r="AY3" s="13" t="s">
        <v>99</v>
      </c>
      <c r="AZ3" s="13" t="s">
        <v>100</v>
      </c>
      <c r="BA3" s="13" t="s">
        <v>160</v>
      </c>
      <c r="BB3" s="13" t="s">
        <v>101</v>
      </c>
      <c r="BC3" s="13" t="s">
        <v>102</v>
      </c>
      <c r="BD3" s="13" t="s">
        <v>174</v>
      </c>
      <c r="BE3" s="13" t="s">
        <v>103</v>
      </c>
      <c r="BF3" s="13" t="s">
        <v>104</v>
      </c>
      <c r="BG3" s="13" t="s">
        <v>161</v>
      </c>
      <c r="BH3" s="13" t="s">
        <v>162</v>
      </c>
      <c r="BI3" s="13" t="s">
        <v>163</v>
      </c>
      <c r="BJ3" s="13" t="s">
        <v>105</v>
      </c>
      <c r="BK3" s="13" t="s">
        <v>106</v>
      </c>
      <c r="BL3" s="13" t="s">
        <v>164</v>
      </c>
      <c r="BM3" s="13" t="s">
        <v>165</v>
      </c>
      <c r="BN3" s="13" t="s">
        <v>166</v>
      </c>
      <c r="BO3" s="13" t="s">
        <v>167</v>
      </c>
      <c r="BP3" s="13" t="s">
        <v>168</v>
      </c>
      <c r="BQ3" s="13" t="s">
        <v>107</v>
      </c>
      <c r="BR3" s="13" t="s">
        <v>108</v>
      </c>
      <c r="BS3" s="13" t="s">
        <v>109</v>
      </c>
      <c r="BT3" s="13" t="s">
        <v>110</v>
      </c>
      <c r="BU3" s="13" t="s">
        <v>175</v>
      </c>
      <c r="BV3" s="13" t="s">
        <v>176</v>
      </c>
      <c r="BW3" s="13" t="s">
        <v>111</v>
      </c>
      <c r="BX3" s="13" t="s">
        <v>112</v>
      </c>
      <c r="BY3" s="13" t="s">
        <v>113</v>
      </c>
      <c r="BZ3" s="13" t="s">
        <v>169</v>
      </c>
      <c r="CA3" s="13" t="s">
        <v>170</v>
      </c>
      <c r="CB3" s="13" t="s">
        <v>114</v>
      </c>
      <c r="CC3" s="13" t="s">
        <v>17</v>
      </c>
      <c r="CD3" s="14" t="s">
        <v>18</v>
      </c>
    </row>
    <row r="4" spans="1:82" ht="15.95" customHeight="1">
      <c r="A4" s="10"/>
      <c r="B4" s="15" t="s">
        <v>153</v>
      </c>
      <c r="C4" s="33">
        <f>'Survey Summery'!Y56*365/1000</f>
        <v>1.2420138888888885</v>
      </c>
      <c r="D4" s="33">
        <f>C4</f>
        <v>1.2420138888888885</v>
      </c>
      <c r="E4" s="33">
        <f t="shared" ref="E4:BP4" si="0">D4</f>
        <v>1.2420138888888885</v>
      </c>
      <c r="F4" s="33">
        <f t="shared" si="0"/>
        <v>1.2420138888888885</v>
      </c>
      <c r="G4" s="33">
        <f t="shared" si="0"/>
        <v>1.2420138888888885</v>
      </c>
      <c r="H4" s="33">
        <f t="shared" si="0"/>
        <v>1.2420138888888885</v>
      </c>
      <c r="I4" s="33">
        <f t="shared" si="0"/>
        <v>1.2420138888888885</v>
      </c>
      <c r="J4" s="33">
        <f t="shared" si="0"/>
        <v>1.2420138888888885</v>
      </c>
      <c r="K4" s="33">
        <f t="shared" si="0"/>
        <v>1.2420138888888885</v>
      </c>
      <c r="L4" s="33">
        <f t="shared" si="0"/>
        <v>1.2420138888888885</v>
      </c>
      <c r="M4" s="33">
        <f t="shared" si="0"/>
        <v>1.2420138888888885</v>
      </c>
      <c r="N4" s="33">
        <f t="shared" si="0"/>
        <v>1.2420138888888885</v>
      </c>
      <c r="O4" s="33">
        <f t="shared" si="0"/>
        <v>1.2420138888888885</v>
      </c>
      <c r="P4" s="33">
        <f t="shared" si="0"/>
        <v>1.2420138888888885</v>
      </c>
      <c r="Q4" s="33">
        <f t="shared" si="0"/>
        <v>1.2420138888888885</v>
      </c>
      <c r="R4" s="33">
        <f t="shared" si="0"/>
        <v>1.2420138888888885</v>
      </c>
      <c r="S4" s="33">
        <f t="shared" si="0"/>
        <v>1.2420138888888885</v>
      </c>
      <c r="T4" s="33">
        <f t="shared" si="0"/>
        <v>1.2420138888888885</v>
      </c>
      <c r="U4" s="33">
        <f t="shared" si="0"/>
        <v>1.2420138888888885</v>
      </c>
      <c r="V4" s="33">
        <f t="shared" si="0"/>
        <v>1.2420138888888885</v>
      </c>
      <c r="W4" s="33">
        <f t="shared" si="0"/>
        <v>1.2420138888888885</v>
      </c>
      <c r="X4" s="33">
        <f t="shared" si="0"/>
        <v>1.2420138888888885</v>
      </c>
      <c r="Y4" s="33">
        <f t="shared" si="0"/>
        <v>1.2420138888888885</v>
      </c>
      <c r="Z4" s="33">
        <f t="shared" si="0"/>
        <v>1.2420138888888885</v>
      </c>
      <c r="AA4" s="33">
        <f t="shared" si="0"/>
        <v>1.2420138888888885</v>
      </c>
      <c r="AB4" s="33">
        <f t="shared" si="0"/>
        <v>1.2420138888888885</v>
      </c>
      <c r="AC4" s="33">
        <f t="shared" si="0"/>
        <v>1.2420138888888885</v>
      </c>
      <c r="AD4" s="33">
        <f t="shared" si="0"/>
        <v>1.2420138888888885</v>
      </c>
      <c r="AE4" s="33">
        <f t="shared" si="0"/>
        <v>1.2420138888888885</v>
      </c>
      <c r="AF4" s="33">
        <f t="shared" si="0"/>
        <v>1.2420138888888885</v>
      </c>
      <c r="AG4" s="33">
        <f t="shared" si="0"/>
        <v>1.2420138888888885</v>
      </c>
      <c r="AH4" s="33">
        <f t="shared" si="0"/>
        <v>1.2420138888888885</v>
      </c>
      <c r="AI4" s="33">
        <f t="shared" si="0"/>
        <v>1.2420138888888885</v>
      </c>
      <c r="AJ4" s="33">
        <f t="shared" si="0"/>
        <v>1.2420138888888885</v>
      </c>
      <c r="AK4" s="33">
        <f t="shared" si="0"/>
        <v>1.2420138888888885</v>
      </c>
      <c r="AL4" s="33">
        <f t="shared" si="0"/>
        <v>1.2420138888888885</v>
      </c>
      <c r="AM4" s="33">
        <f t="shared" si="0"/>
        <v>1.2420138888888885</v>
      </c>
      <c r="AN4" s="33">
        <f t="shared" si="0"/>
        <v>1.2420138888888885</v>
      </c>
      <c r="AO4" s="33">
        <f t="shared" si="0"/>
        <v>1.2420138888888885</v>
      </c>
      <c r="AP4" s="33">
        <f t="shared" si="0"/>
        <v>1.2420138888888885</v>
      </c>
      <c r="AQ4" s="33">
        <f t="shared" si="0"/>
        <v>1.2420138888888885</v>
      </c>
      <c r="AR4" s="33">
        <f t="shared" si="0"/>
        <v>1.2420138888888885</v>
      </c>
      <c r="AS4" s="33">
        <f t="shared" si="0"/>
        <v>1.2420138888888885</v>
      </c>
      <c r="AT4" s="33">
        <f t="shared" si="0"/>
        <v>1.2420138888888885</v>
      </c>
      <c r="AU4" s="33">
        <f t="shared" si="0"/>
        <v>1.2420138888888885</v>
      </c>
      <c r="AV4" s="33">
        <f t="shared" si="0"/>
        <v>1.2420138888888885</v>
      </c>
      <c r="AW4" s="33">
        <f t="shared" si="0"/>
        <v>1.2420138888888885</v>
      </c>
      <c r="AX4" s="33">
        <f t="shared" si="0"/>
        <v>1.2420138888888885</v>
      </c>
      <c r="AY4" s="33">
        <f t="shared" si="0"/>
        <v>1.2420138888888885</v>
      </c>
      <c r="AZ4" s="33">
        <f t="shared" si="0"/>
        <v>1.2420138888888885</v>
      </c>
      <c r="BA4" s="33">
        <f t="shared" si="0"/>
        <v>1.2420138888888885</v>
      </c>
      <c r="BB4" s="33">
        <f t="shared" si="0"/>
        <v>1.2420138888888885</v>
      </c>
      <c r="BC4" s="33">
        <f t="shared" si="0"/>
        <v>1.2420138888888885</v>
      </c>
      <c r="BD4" s="33">
        <f t="shared" si="0"/>
        <v>1.2420138888888885</v>
      </c>
      <c r="BE4" s="33">
        <f t="shared" si="0"/>
        <v>1.2420138888888885</v>
      </c>
      <c r="BF4" s="33">
        <f t="shared" si="0"/>
        <v>1.2420138888888885</v>
      </c>
      <c r="BG4" s="33">
        <f t="shared" si="0"/>
        <v>1.2420138888888885</v>
      </c>
      <c r="BH4" s="33">
        <f t="shared" si="0"/>
        <v>1.2420138888888885</v>
      </c>
      <c r="BI4" s="33">
        <f t="shared" si="0"/>
        <v>1.2420138888888885</v>
      </c>
      <c r="BJ4" s="33">
        <f t="shared" si="0"/>
        <v>1.2420138888888885</v>
      </c>
      <c r="BK4" s="33">
        <f t="shared" si="0"/>
        <v>1.2420138888888885</v>
      </c>
      <c r="BL4" s="33">
        <f t="shared" si="0"/>
        <v>1.2420138888888885</v>
      </c>
      <c r="BM4" s="33">
        <f t="shared" si="0"/>
        <v>1.2420138888888885</v>
      </c>
      <c r="BN4" s="33">
        <f t="shared" si="0"/>
        <v>1.2420138888888885</v>
      </c>
      <c r="BO4" s="33">
        <f t="shared" si="0"/>
        <v>1.2420138888888885</v>
      </c>
      <c r="BP4" s="33">
        <f t="shared" si="0"/>
        <v>1.2420138888888885</v>
      </c>
      <c r="BQ4" s="33">
        <f t="shared" ref="BQ4:CB4" si="1">BP4</f>
        <v>1.2420138888888885</v>
      </c>
      <c r="BR4" s="33">
        <f t="shared" si="1"/>
        <v>1.2420138888888885</v>
      </c>
      <c r="BS4" s="33">
        <f t="shared" si="1"/>
        <v>1.2420138888888885</v>
      </c>
      <c r="BT4" s="33">
        <f t="shared" si="1"/>
        <v>1.2420138888888885</v>
      </c>
      <c r="BU4" s="33">
        <f t="shared" si="1"/>
        <v>1.2420138888888885</v>
      </c>
      <c r="BV4" s="33">
        <f t="shared" si="1"/>
        <v>1.2420138888888885</v>
      </c>
      <c r="BW4" s="33">
        <f t="shared" si="1"/>
        <v>1.2420138888888885</v>
      </c>
      <c r="BX4" s="33">
        <f t="shared" si="1"/>
        <v>1.2420138888888885</v>
      </c>
      <c r="BY4" s="33">
        <f t="shared" si="1"/>
        <v>1.2420138888888885</v>
      </c>
      <c r="BZ4" s="33">
        <f t="shared" si="1"/>
        <v>1.2420138888888885</v>
      </c>
      <c r="CA4" s="33">
        <f t="shared" si="1"/>
        <v>1.2420138888888885</v>
      </c>
      <c r="CB4" s="33">
        <f t="shared" si="1"/>
        <v>1.2420138888888885</v>
      </c>
      <c r="CC4" s="30" t="s">
        <v>19</v>
      </c>
      <c r="CD4" s="16" t="s">
        <v>117</v>
      </c>
    </row>
    <row r="5" spans="1:82" ht="15.95" customHeight="1">
      <c r="A5" s="10"/>
      <c r="B5" s="17" t="s">
        <v>20</v>
      </c>
      <c r="C5" s="32">
        <v>0.94030000000000002</v>
      </c>
      <c r="D5" s="32">
        <f>C5</f>
        <v>0.94030000000000002</v>
      </c>
      <c r="E5" s="32">
        <f t="shared" ref="E5:BY5" si="2">D5</f>
        <v>0.94030000000000002</v>
      </c>
      <c r="F5" s="32">
        <f t="shared" si="2"/>
        <v>0.94030000000000002</v>
      </c>
      <c r="G5" s="32">
        <f>E5</f>
        <v>0.94030000000000002</v>
      </c>
      <c r="H5" s="32">
        <f t="shared" si="2"/>
        <v>0.94030000000000002</v>
      </c>
      <c r="I5" s="32">
        <f t="shared" si="2"/>
        <v>0.94030000000000002</v>
      </c>
      <c r="J5" s="32">
        <f t="shared" si="2"/>
        <v>0.94030000000000002</v>
      </c>
      <c r="K5" s="32">
        <f>I5</f>
        <v>0.94030000000000002</v>
      </c>
      <c r="L5" s="32">
        <f t="shared" si="2"/>
        <v>0.94030000000000002</v>
      </c>
      <c r="M5" s="32">
        <f t="shared" si="2"/>
        <v>0.94030000000000002</v>
      </c>
      <c r="N5" s="32">
        <f t="shared" si="2"/>
        <v>0.94030000000000002</v>
      </c>
      <c r="O5" s="32">
        <f t="shared" si="2"/>
        <v>0.94030000000000002</v>
      </c>
      <c r="P5" s="32">
        <f t="shared" si="2"/>
        <v>0.94030000000000002</v>
      </c>
      <c r="Q5" s="32">
        <f t="shared" si="2"/>
        <v>0.94030000000000002</v>
      </c>
      <c r="R5" s="32">
        <f t="shared" si="2"/>
        <v>0.94030000000000002</v>
      </c>
      <c r="S5" s="32">
        <f t="shared" si="2"/>
        <v>0.94030000000000002</v>
      </c>
      <c r="T5" s="32">
        <f t="shared" si="2"/>
        <v>0.94030000000000002</v>
      </c>
      <c r="U5" s="32">
        <f t="shared" si="2"/>
        <v>0.94030000000000002</v>
      </c>
      <c r="V5" s="32">
        <f t="shared" si="2"/>
        <v>0.94030000000000002</v>
      </c>
      <c r="W5" s="32">
        <f t="shared" si="2"/>
        <v>0.94030000000000002</v>
      </c>
      <c r="X5" s="32">
        <f t="shared" si="2"/>
        <v>0.94030000000000002</v>
      </c>
      <c r="Y5" s="32">
        <f t="shared" si="2"/>
        <v>0.94030000000000002</v>
      </c>
      <c r="Z5" s="32">
        <f t="shared" si="2"/>
        <v>0.94030000000000002</v>
      </c>
      <c r="AA5" s="32">
        <f t="shared" si="2"/>
        <v>0.94030000000000002</v>
      </c>
      <c r="AB5" s="32">
        <f t="shared" si="2"/>
        <v>0.94030000000000002</v>
      </c>
      <c r="AC5" s="32">
        <f t="shared" si="2"/>
        <v>0.94030000000000002</v>
      </c>
      <c r="AD5" s="32">
        <f t="shared" si="2"/>
        <v>0.94030000000000002</v>
      </c>
      <c r="AE5" s="32">
        <f t="shared" si="2"/>
        <v>0.94030000000000002</v>
      </c>
      <c r="AF5" s="32">
        <f>AD5</f>
        <v>0.94030000000000002</v>
      </c>
      <c r="AG5" s="32">
        <f t="shared" si="2"/>
        <v>0.94030000000000002</v>
      </c>
      <c r="AH5" s="32">
        <f t="shared" si="2"/>
        <v>0.94030000000000002</v>
      </c>
      <c r="AI5" s="32">
        <f t="shared" si="2"/>
        <v>0.94030000000000002</v>
      </c>
      <c r="AJ5" s="32">
        <f t="shared" si="2"/>
        <v>0.94030000000000002</v>
      </c>
      <c r="AK5" s="32">
        <f t="shared" si="2"/>
        <v>0.94030000000000002</v>
      </c>
      <c r="AL5" s="32">
        <f t="shared" si="2"/>
        <v>0.94030000000000002</v>
      </c>
      <c r="AM5" s="32">
        <f t="shared" si="2"/>
        <v>0.94030000000000002</v>
      </c>
      <c r="AN5" s="32">
        <f t="shared" si="2"/>
        <v>0.94030000000000002</v>
      </c>
      <c r="AO5" s="32">
        <f t="shared" si="2"/>
        <v>0.94030000000000002</v>
      </c>
      <c r="AP5" s="32">
        <f t="shared" si="2"/>
        <v>0.94030000000000002</v>
      </c>
      <c r="AQ5" s="32">
        <f t="shared" si="2"/>
        <v>0.94030000000000002</v>
      </c>
      <c r="AR5" s="32">
        <f t="shared" si="2"/>
        <v>0.94030000000000002</v>
      </c>
      <c r="AS5" s="32">
        <f t="shared" si="2"/>
        <v>0.94030000000000002</v>
      </c>
      <c r="AT5" s="32">
        <f>AR5</f>
        <v>0.94030000000000002</v>
      </c>
      <c r="AU5" s="32">
        <f t="shared" si="2"/>
        <v>0.94030000000000002</v>
      </c>
      <c r="AV5" s="32">
        <f t="shared" si="2"/>
        <v>0.94030000000000002</v>
      </c>
      <c r="AW5" s="32">
        <f t="shared" si="2"/>
        <v>0.94030000000000002</v>
      </c>
      <c r="AX5" s="32">
        <f>AV5</f>
        <v>0.94030000000000002</v>
      </c>
      <c r="AY5" s="32">
        <f t="shared" si="2"/>
        <v>0.94030000000000002</v>
      </c>
      <c r="AZ5" s="32">
        <f t="shared" si="2"/>
        <v>0.94030000000000002</v>
      </c>
      <c r="BA5" s="32">
        <f t="shared" si="2"/>
        <v>0.94030000000000002</v>
      </c>
      <c r="BB5" s="32">
        <f>AZ5</f>
        <v>0.94030000000000002</v>
      </c>
      <c r="BC5" s="32">
        <f t="shared" si="2"/>
        <v>0.94030000000000002</v>
      </c>
      <c r="BD5" s="32">
        <f>BB5</f>
        <v>0.94030000000000002</v>
      </c>
      <c r="BE5" s="32">
        <f>BC5</f>
        <v>0.94030000000000002</v>
      </c>
      <c r="BF5" s="32">
        <f t="shared" si="2"/>
        <v>0.94030000000000002</v>
      </c>
      <c r="BG5" s="32">
        <f t="shared" ref="BG5:BI6" si="3">BF5</f>
        <v>0.94030000000000002</v>
      </c>
      <c r="BH5" s="32">
        <f t="shared" si="3"/>
        <v>0.94030000000000002</v>
      </c>
      <c r="BI5" s="32">
        <f t="shared" si="3"/>
        <v>0.94030000000000002</v>
      </c>
      <c r="BJ5" s="32">
        <f>BF5</f>
        <v>0.94030000000000002</v>
      </c>
      <c r="BK5" s="32">
        <f t="shared" si="2"/>
        <v>0.94030000000000002</v>
      </c>
      <c r="BL5" s="32">
        <f t="shared" ref="BL5:BP6" si="4">BK5</f>
        <v>0.94030000000000002</v>
      </c>
      <c r="BM5" s="32">
        <f t="shared" si="4"/>
        <v>0.94030000000000002</v>
      </c>
      <c r="BN5" s="32">
        <f t="shared" si="4"/>
        <v>0.94030000000000002</v>
      </c>
      <c r="BO5" s="32">
        <f t="shared" si="4"/>
        <v>0.94030000000000002</v>
      </c>
      <c r="BP5" s="32">
        <f t="shared" si="4"/>
        <v>0.94030000000000002</v>
      </c>
      <c r="BQ5" s="32">
        <f>BK5</f>
        <v>0.94030000000000002</v>
      </c>
      <c r="BR5" s="32">
        <f t="shared" si="2"/>
        <v>0.94030000000000002</v>
      </c>
      <c r="BS5" s="32">
        <f t="shared" si="2"/>
        <v>0.94030000000000002</v>
      </c>
      <c r="BT5" s="32">
        <f t="shared" si="2"/>
        <v>0.94030000000000002</v>
      </c>
      <c r="BU5" s="32">
        <f t="shared" si="2"/>
        <v>0.94030000000000002</v>
      </c>
      <c r="BV5" s="32">
        <f t="shared" si="2"/>
        <v>0.94030000000000002</v>
      </c>
      <c r="BW5" s="32">
        <f>BT5</f>
        <v>0.94030000000000002</v>
      </c>
      <c r="BX5" s="32">
        <f t="shared" si="2"/>
        <v>0.94030000000000002</v>
      </c>
      <c r="BY5" s="32">
        <f t="shared" si="2"/>
        <v>0.94030000000000002</v>
      </c>
      <c r="BZ5" s="32">
        <f>BY5</f>
        <v>0.94030000000000002</v>
      </c>
      <c r="CA5" s="32">
        <f>BZ5</f>
        <v>0.94030000000000002</v>
      </c>
      <c r="CB5" s="32">
        <f>BY5</f>
        <v>0.94030000000000002</v>
      </c>
      <c r="CC5" s="31" t="s">
        <v>21</v>
      </c>
      <c r="CD5" s="18" t="s">
        <v>117</v>
      </c>
    </row>
    <row r="6" spans="1:82" ht="15.95" customHeight="1">
      <c r="A6" s="10"/>
      <c r="B6" s="19" t="s">
        <v>22</v>
      </c>
      <c r="C6" s="34">
        <v>1.5599999999999999E-2</v>
      </c>
      <c r="D6" s="34">
        <v>1.5599999999999999E-2</v>
      </c>
      <c r="E6" s="34">
        <v>1.5599999999999999E-2</v>
      </c>
      <c r="F6" s="34">
        <v>1.5599999999999999E-2</v>
      </c>
      <c r="G6" s="34">
        <v>1.5599999999999999E-2</v>
      </c>
      <c r="H6" s="34">
        <v>1.5599999999999999E-2</v>
      </c>
      <c r="I6" s="34">
        <v>1.5599999999999999E-2</v>
      </c>
      <c r="J6" s="34">
        <v>1.5599999999999999E-2</v>
      </c>
      <c r="K6" s="34">
        <f>I6</f>
        <v>1.5599999999999999E-2</v>
      </c>
      <c r="L6" s="34">
        <f t="shared" ref="L6:BY6" si="5">K6</f>
        <v>1.5599999999999999E-2</v>
      </c>
      <c r="M6" s="34">
        <f t="shared" si="5"/>
        <v>1.5599999999999999E-2</v>
      </c>
      <c r="N6" s="34">
        <f t="shared" si="5"/>
        <v>1.5599999999999999E-2</v>
      </c>
      <c r="O6" s="34">
        <f t="shared" si="5"/>
        <v>1.5599999999999999E-2</v>
      </c>
      <c r="P6" s="34">
        <f t="shared" si="5"/>
        <v>1.5599999999999999E-2</v>
      </c>
      <c r="Q6" s="34">
        <f t="shared" si="5"/>
        <v>1.5599999999999999E-2</v>
      </c>
      <c r="R6" s="34">
        <f t="shared" si="5"/>
        <v>1.5599999999999999E-2</v>
      </c>
      <c r="S6" s="34">
        <f t="shared" si="5"/>
        <v>1.5599999999999999E-2</v>
      </c>
      <c r="T6" s="34">
        <f t="shared" si="5"/>
        <v>1.5599999999999999E-2</v>
      </c>
      <c r="U6" s="34">
        <f t="shared" si="5"/>
        <v>1.5599999999999999E-2</v>
      </c>
      <c r="V6" s="34">
        <f t="shared" si="5"/>
        <v>1.5599999999999999E-2</v>
      </c>
      <c r="W6" s="34">
        <f t="shared" si="5"/>
        <v>1.5599999999999999E-2</v>
      </c>
      <c r="X6" s="34">
        <f t="shared" si="5"/>
        <v>1.5599999999999999E-2</v>
      </c>
      <c r="Y6" s="34">
        <f t="shared" si="5"/>
        <v>1.5599999999999999E-2</v>
      </c>
      <c r="Z6" s="34">
        <f t="shared" si="5"/>
        <v>1.5599999999999999E-2</v>
      </c>
      <c r="AA6" s="34">
        <f t="shared" si="5"/>
        <v>1.5599999999999999E-2</v>
      </c>
      <c r="AB6" s="34">
        <f t="shared" si="5"/>
        <v>1.5599999999999999E-2</v>
      </c>
      <c r="AC6" s="34">
        <f t="shared" si="5"/>
        <v>1.5599999999999999E-2</v>
      </c>
      <c r="AD6" s="34">
        <f t="shared" si="5"/>
        <v>1.5599999999999999E-2</v>
      </c>
      <c r="AE6" s="34">
        <f t="shared" si="5"/>
        <v>1.5599999999999999E-2</v>
      </c>
      <c r="AF6" s="34">
        <f>AD6</f>
        <v>1.5599999999999999E-2</v>
      </c>
      <c r="AG6" s="34">
        <f t="shared" si="5"/>
        <v>1.5599999999999999E-2</v>
      </c>
      <c r="AH6" s="34">
        <f t="shared" si="5"/>
        <v>1.5599999999999999E-2</v>
      </c>
      <c r="AI6" s="34">
        <f t="shared" si="5"/>
        <v>1.5599999999999999E-2</v>
      </c>
      <c r="AJ6" s="34">
        <f t="shared" si="5"/>
        <v>1.5599999999999999E-2</v>
      </c>
      <c r="AK6" s="34">
        <f t="shared" si="5"/>
        <v>1.5599999999999999E-2</v>
      </c>
      <c r="AL6" s="34">
        <f t="shared" si="5"/>
        <v>1.5599999999999999E-2</v>
      </c>
      <c r="AM6" s="34">
        <f t="shared" si="5"/>
        <v>1.5599999999999999E-2</v>
      </c>
      <c r="AN6" s="34">
        <f t="shared" si="5"/>
        <v>1.5599999999999999E-2</v>
      </c>
      <c r="AO6" s="34">
        <f t="shared" si="5"/>
        <v>1.5599999999999999E-2</v>
      </c>
      <c r="AP6" s="34">
        <f t="shared" si="5"/>
        <v>1.5599999999999999E-2</v>
      </c>
      <c r="AQ6" s="34">
        <f t="shared" si="5"/>
        <v>1.5599999999999999E-2</v>
      </c>
      <c r="AR6" s="34">
        <f t="shared" si="5"/>
        <v>1.5599999999999999E-2</v>
      </c>
      <c r="AS6" s="34">
        <f t="shared" si="5"/>
        <v>1.5599999999999999E-2</v>
      </c>
      <c r="AT6" s="34">
        <f>AR6</f>
        <v>1.5599999999999999E-2</v>
      </c>
      <c r="AU6" s="34">
        <f t="shared" si="5"/>
        <v>1.5599999999999999E-2</v>
      </c>
      <c r="AV6" s="34">
        <f t="shared" si="5"/>
        <v>1.5599999999999999E-2</v>
      </c>
      <c r="AW6" s="34">
        <f t="shared" si="5"/>
        <v>1.5599999999999999E-2</v>
      </c>
      <c r="AX6" s="34">
        <f>AV6</f>
        <v>1.5599999999999999E-2</v>
      </c>
      <c r="AY6" s="34">
        <f t="shared" si="5"/>
        <v>1.5599999999999999E-2</v>
      </c>
      <c r="AZ6" s="34">
        <f t="shared" si="5"/>
        <v>1.5599999999999999E-2</v>
      </c>
      <c r="BA6" s="34">
        <f t="shared" si="5"/>
        <v>1.5599999999999999E-2</v>
      </c>
      <c r="BB6" s="34">
        <f>AZ6</f>
        <v>1.5599999999999999E-2</v>
      </c>
      <c r="BC6" s="34">
        <f t="shared" si="5"/>
        <v>1.5599999999999999E-2</v>
      </c>
      <c r="BD6" s="34">
        <f>BB6</f>
        <v>1.5599999999999999E-2</v>
      </c>
      <c r="BE6" s="34">
        <f>BC6</f>
        <v>1.5599999999999999E-2</v>
      </c>
      <c r="BF6" s="34">
        <f t="shared" si="5"/>
        <v>1.5599999999999999E-2</v>
      </c>
      <c r="BG6" s="34">
        <f t="shared" si="3"/>
        <v>1.5599999999999999E-2</v>
      </c>
      <c r="BH6" s="34">
        <f t="shared" si="3"/>
        <v>1.5599999999999999E-2</v>
      </c>
      <c r="BI6" s="34">
        <f t="shared" si="3"/>
        <v>1.5599999999999999E-2</v>
      </c>
      <c r="BJ6" s="34">
        <f>BF6</f>
        <v>1.5599999999999999E-2</v>
      </c>
      <c r="BK6" s="34">
        <f t="shared" si="5"/>
        <v>1.5599999999999999E-2</v>
      </c>
      <c r="BL6" s="34">
        <f t="shared" si="4"/>
        <v>1.5599999999999999E-2</v>
      </c>
      <c r="BM6" s="34">
        <f t="shared" si="4"/>
        <v>1.5599999999999999E-2</v>
      </c>
      <c r="BN6" s="34">
        <f t="shared" si="4"/>
        <v>1.5599999999999999E-2</v>
      </c>
      <c r="BO6" s="34">
        <f t="shared" si="4"/>
        <v>1.5599999999999999E-2</v>
      </c>
      <c r="BP6" s="34">
        <f t="shared" si="4"/>
        <v>1.5599999999999999E-2</v>
      </c>
      <c r="BQ6" s="34">
        <f>BK6</f>
        <v>1.5599999999999999E-2</v>
      </c>
      <c r="BR6" s="34">
        <f t="shared" si="5"/>
        <v>1.5599999999999999E-2</v>
      </c>
      <c r="BS6" s="34">
        <f t="shared" si="5"/>
        <v>1.5599999999999999E-2</v>
      </c>
      <c r="BT6" s="34">
        <f t="shared" si="5"/>
        <v>1.5599999999999999E-2</v>
      </c>
      <c r="BU6" s="34">
        <f t="shared" si="5"/>
        <v>1.5599999999999999E-2</v>
      </c>
      <c r="BV6" s="34">
        <f t="shared" si="5"/>
        <v>1.5599999999999999E-2</v>
      </c>
      <c r="BW6" s="34">
        <f>BT6</f>
        <v>1.5599999999999999E-2</v>
      </c>
      <c r="BX6" s="34">
        <f t="shared" si="5"/>
        <v>1.5599999999999999E-2</v>
      </c>
      <c r="BY6" s="34">
        <f t="shared" si="5"/>
        <v>1.5599999999999999E-2</v>
      </c>
      <c r="BZ6" s="34">
        <f>BY6</f>
        <v>1.5599999999999999E-2</v>
      </c>
      <c r="CA6" s="34">
        <f>BZ6</f>
        <v>1.5599999999999999E-2</v>
      </c>
      <c r="CB6" s="34">
        <f>BY6</f>
        <v>1.5599999999999999E-2</v>
      </c>
      <c r="CC6" s="31" t="s">
        <v>23</v>
      </c>
      <c r="CD6" s="20" t="s">
        <v>117</v>
      </c>
    </row>
    <row r="7" spans="1:82" ht="15.95" customHeight="1">
      <c r="A7" s="10"/>
      <c r="B7" s="19" t="s">
        <v>154</v>
      </c>
      <c r="C7" s="246">
        <v>112</v>
      </c>
      <c r="D7" s="246">
        <v>112</v>
      </c>
      <c r="E7" s="246">
        <v>112</v>
      </c>
      <c r="F7" s="246">
        <v>112</v>
      </c>
      <c r="G7" s="246">
        <v>112</v>
      </c>
      <c r="H7" s="246">
        <v>112</v>
      </c>
      <c r="I7" s="246">
        <v>112</v>
      </c>
      <c r="J7" s="246">
        <v>112</v>
      </c>
      <c r="K7" s="246">
        <v>112</v>
      </c>
      <c r="L7" s="246">
        <v>112</v>
      </c>
      <c r="M7" s="246">
        <v>112</v>
      </c>
      <c r="N7" s="246">
        <v>112</v>
      </c>
      <c r="O7" s="246">
        <v>112</v>
      </c>
      <c r="P7" s="246">
        <v>112</v>
      </c>
      <c r="Q7" s="246">
        <v>112</v>
      </c>
      <c r="R7" s="246">
        <v>112</v>
      </c>
      <c r="S7" s="246">
        <v>112</v>
      </c>
      <c r="T7" s="246">
        <v>112</v>
      </c>
      <c r="U7" s="246">
        <v>112</v>
      </c>
      <c r="V7" s="246">
        <v>112</v>
      </c>
      <c r="W7" s="246">
        <v>112</v>
      </c>
      <c r="X7" s="246">
        <v>112</v>
      </c>
      <c r="Y7" s="246">
        <v>112</v>
      </c>
      <c r="Z7" s="246">
        <v>112</v>
      </c>
      <c r="AA7" s="246">
        <v>112</v>
      </c>
      <c r="AB7" s="246">
        <v>112</v>
      </c>
      <c r="AC7" s="246">
        <v>112</v>
      </c>
      <c r="AD7" s="246">
        <v>112</v>
      </c>
      <c r="AE7" s="246">
        <v>112</v>
      </c>
      <c r="AF7" s="246">
        <v>112</v>
      </c>
      <c r="AG7" s="246">
        <v>112</v>
      </c>
      <c r="AH7" s="246">
        <v>112</v>
      </c>
      <c r="AI7" s="246">
        <v>112</v>
      </c>
      <c r="AJ7" s="246">
        <v>112</v>
      </c>
      <c r="AK7" s="246">
        <v>112</v>
      </c>
      <c r="AL7" s="246">
        <v>112</v>
      </c>
      <c r="AM7" s="246">
        <v>112</v>
      </c>
      <c r="AN7" s="246">
        <v>112</v>
      </c>
      <c r="AO7" s="246">
        <v>112</v>
      </c>
      <c r="AP7" s="246">
        <v>112</v>
      </c>
      <c r="AQ7" s="246">
        <v>112</v>
      </c>
      <c r="AR7" s="246">
        <v>112</v>
      </c>
      <c r="AS7" s="246">
        <v>112</v>
      </c>
      <c r="AT7" s="246">
        <v>112</v>
      </c>
      <c r="AU7" s="246">
        <v>112</v>
      </c>
      <c r="AV7" s="246">
        <v>112</v>
      </c>
      <c r="AW7" s="246">
        <v>112</v>
      </c>
      <c r="AX7" s="246">
        <v>112</v>
      </c>
      <c r="AY7" s="246">
        <v>112</v>
      </c>
      <c r="AZ7" s="246">
        <v>112</v>
      </c>
      <c r="BA7" s="246">
        <v>112</v>
      </c>
      <c r="BB7" s="246">
        <v>112</v>
      </c>
      <c r="BC7" s="246">
        <v>112</v>
      </c>
      <c r="BD7" s="246">
        <v>112</v>
      </c>
      <c r="BE7" s="246">
        <v>112</v>
      </c>
      <c r="BF7" s="246">
        <v>112</v>
      </c>
      <c r="BG7" s="246">
        <v>112</v>
      </c>
      <c r="BH7" s="246">
        <v>112</v>
      </c>
      <c r="BI7" s="246">
        <v>112</v>
      </c>
      <c r="BJ7" s="246">
        <v>112</v>
      </c>
      <c r="BK7" s="246">
        <v>112</v>
      </c>
      <c r="BL7" s="246">
        <v>112</v>
      </c>
      <c r="BM7" s="246">
        <v>112</v>
      </c>
      <c r="BN7" s="246">
        <v>112</v>
      </c>
      <c r="BO7" s="246">
        <v>112</v>
      </c>
      <c r="BP7" s="246">
        <v>112</v>
      </c>
      <c r="BQ7" s="246">
        <v>112</v>
      </c>
      <c r="BR7" s="246">
        <v>112</v>
      </c>
      <c r="BS7" s="246">
        <v>112</v>
      </c>
      <c r="BT7" s="246">
        <v>112</v>
      </c>
      <c r="BU7" s="246">
        <v>112</v>
      </c>
      <c r="BV7" s="246">
        <v>112</v>
      </c>
      <c r="BW7" s="246">
        <v>112</v>
      </c>
      <c r="BX7" s="246">
        <v>112</v>
      </c>
      <c r="BY7" s="246">
        <v>112</v>
      </c>
      <c r="BZ7" s="246">
        <v>112</v>
      </c>
      <c r="CA7" s="246">
        <v>112</v>
      </c>
      <c r="CB7" s="246">
        <v>112</v>
      </c>
      <c r="CC7" s="31" t="s">
        <v>23</v>
      </c>
      <c r="CD7" s="22" t="s">
        <v>117</v>
      </c>
    </row>
    <row r="8" spans="1:82" ht="15.95" customHeight="1">
      <c r="A8" s="10"/>
      <c r="B8" s="17" t="s">
        <v>155</v>
      </c>
      <c r="C8" s="217">
        <v>26.23</v>
      </c>
      <c r="D8" s="217">
        <v>26.23</v>
      </c>
      <c r="E8" s="217">
        <v>26.23</v>
      </c>
      <c r="F8" s="217">
        <v>26.23</v>
      </c>
      <c r="G8" s="217">
        <v>26.23</v>
      </c>
      <c r="H8" s="217">
        <v>26.23</v>
      </c>
      <c r="I8" s="217">
        <v>26.23</v>
      </c>
      <c r="J8" s="282">
        <v>26.23</v>
      </c>
      <c r="K8" s="217">
        <v>26.23</v>
      </c>
      <c r="L8" s="217">
        <v>26.23</v>
      </c>
      <c r="M8" s="217">
        <v>26.23</v>
      </c>
      <c r="N8" s="217">
        <v>26.23</v>
      </c>
      <c r="O8" s="217">
        <v>26.23</v>
      </c>
      <c r="P8" s="217">
        <v>26.23</v>
      </c>
      <c r="Q8" s="217">
        <v>26.23</v>
      </c>
      <c r="R8" s="217">
        <v>26.23</v>
      </c>
      <c r="S8" s="217">
        <v>26.23</v>
      </c>
      <c r="T8" s="217">
        <v>26.23</v>
      </c>
      <c r="U8" s="217">
        <v>26.23</v>
      </c>
      <c r="V8" s="217">
        <v>26.23</v>
      </c>
      <c r="W8" s="217">
        <v>26.23</v>
      </c>
      <c r="X8" s="217">
        <v>26.23</v>
      </c>
      <c r="Y8" s="217">
        <v>26.23</v>
      </c>
      <c r="Z8" s="217">
        <v>26.23</v>
      </c>
      <c r="AA8" s="217">
        <v>26.23</v>
      </c>
      <c r="AB8" s="217">
        <v>26.23</v>
      </c>
      <c r="AC8" s="217">
        <v>26.23</v>
      </c>
      <c r="AD8" s="217">
        <v>26.23</v>
      </c>
      <c r="AE8" s="217">
        <v>26.23</v>
      </c>
      <c r="AF8" s="217">
        <v>26.23</v>
      </c>
      <c r="AG8" s="217">
        <v>26.23</v>
      </c>
      <c r="AH8" s="217">
        <v>26.23</v>
      </c>
      <c r="AI8" s="217">
        <v>26.23</v>
      </c>
      <c r="AJ8" s="217">
        <v>26.23</v>
      </c>
      <c r="AK8" s="217">
        <v>26.23</v>
      </c>
      <c r="AL8" s="217">
        <v>26.23</v>
      </c>
      <c r="AM8" s="217">
        <v>26.23</v>
      </c>
      <c r="AN8" s="217">
        <v>26.23</v>
      </c>
      <c r="AO8" s="217">
        <v>26.23</v>
      </c>
      <c r="AP8" s="217">
        <v>26.23</v>
      </c>
      <c r="AQ8" s="217">
        <v>26.23</v>
      </c>
      <c r="AR8" s="217">
        <v>26.23</v>
      </c>
      <c r="AS8" s="217">
        <v>26.23</v>
      </c>
      <c r="AT8" s="217">
        <v>26.23</v>
      </c>
      <c r="AU8" s="217">
        <v>26.23</v>
      </c>
      <c r="AV8" s="217">
        <v>26.23</v>
      </c>
      <c r="AW8" s="217">
        <v>26.23</v>
      </c>
      <c r="AX8" s="217">
        <v>26.23</v>
      </c>
      <c r="AY8" s="217">
        <v>26.23</v>
      </c>
      <c r="AZ8" s="217">
        <v>26.23</v>
      </c>
      <c r="BA8" s="217">
        <v>26.23</v>
      </c>
      <c r="BB8" s="217">
        <v>26.23</v>
      </c>
      <c r="BC8" s="217">
        <v>26.23</v>
      </c>
      <c r="BD8" s="217">
        <v>26.23</v>
      </c>
      <c r="BE8" s="217">
        <v>26.23</v>
      </c>
      <c r="BF8" s="217">
        <v>26.23</v>
      </c>
      <c r="BG8" s="217">
        <v>26.23</v>
      </c>
      <c r="BH8" s="217">
        <v>26.23</v>
      </c>
      <c r="BI8" s="217">
        <v>26.23</v>
      </c>
      <c r="BJ8" s="217">
        <v>26.23</v>
      </c>
      <c r="BK8" s="217">
        <v>26.23</v>
      </c>
      <c r="BL8" s="217">
        <v>26.23</v>
      </c>
      <c r="BM8" s="217">
        <v>26.23</v>
      </c>
      <c r="BN8" s="217">
        <v>26.23</v>
      </c>
      <c r="BO8" s="217">
        <v>26.23</v>
      </c>
      <c r="BP8" s="217">
        <v>26.23</v>
      </c>
      <c r="BQ8" s="217">
        <v>26.23</v>
      </c>
      <c r="BR8" s="217">
        <v>26.23</v>
      </c>
      <c r="BS8" s="217">
        <v>26.23</v>
      </c>
      <c r="BT8" s="217">
        <v>26.23</v>
      </c>
      <c r="BU8" s="217">
        <v>26.23</v>
      </c>
      <c r="BV8" s="217">
        <v>26.23</v>
      </c>
      <c r="BW8" s="217">
        <v>26.23</v>
      </c>
      <c r="BX8" s="217">
        <v>26.23</v>
      </c>
      <c r="BY8" s="217">
        <v>26.23</v>
      </c>
      <c r="BZ8" s="217">
        <v>26.23</v>
      </c>
      <c r="CA8" s="217">
        <v>26.23</v>
      </c>
      <c r="CB8" s="21">
        <f>BY8</f>
        <v>26.23</v>
      </c>
      <c r="CC8" s="31" t="s">
        <v>24</v>
      </c>
      <c r="CD8" s="22" t="s">
        <v>117</v>
      </c>
    </row>
    <row r="9" spans="1:82" ht="15.95" customHeight="1">
      <c r="A9" s="10"/>
      <c r="B9" s="23" t="s">
        <v>25</v>
      </c>
      <c r="C9" s="29">
        <v>0.1</v>
      </c>
      <c r="D9" s="29">
        <v>0.1</v>
      </c>
      <c r="E9" s="29">
        <v>0.1</v>
      </c>
      <c r="F9" s="29">
        <v>0.1</v>
      </c>
      <c r="G9" s="29">
        <v>0.1</v>
      </c>
      <c r="H9" s="29">
        <v>0.1</v>
      </c>
      <c r="I9" s="29">
        <v>0.1</v>
      </c>
      <c r="J9" s="29">
        <v>0.1</v>
      </c>
      <c r="K9" s="218">
        <f>I9</f>
        <v>0.1</v>
      </c>
      <c r="L9" s="218">
        <f t="shared" ref="L9:BY9" si="6">K9</f>
        <v>0.1</v>
      </c>
      <c r="M9" s="218">
        <f t="shared" si="6"/>
        <v>0.1</v>
      </c>
      <c r="N9" s="218">
        <f t="shared" si="6"/>
        <v>0.1</v>
      </c>
      <c r="O9" s="218">
        <f t="shared" si="6"/>
        <v>0.1</v>
      </c>
      <c r="P9" s="218">
        <f t="shared" si="6"/>
        <v>0.1</v>
      </c>
      <c r="Q9" s="218">
        <f t="shared" si="6"/>
        <v>0.1</v>
      </c>
      <c r="R9" s="218">
        <f t="shared" si="6"/>
        <v>0.1</v>
      </c>
      <c r="S9" s="218">
        <f t="shared" si="6"/>
        <v>0.1</v>
      </c>
      <c r="T9" s="218">
        <f t="shared" si="6"/>
        <v>0.1</v>
      </c>
      <c r="U9" s="218">
        <f t="shared" si="6"/>
        <v>0.1</v>
      </c>
      <c r="V9" s="218">
        <f t="shared" si="6"/>
        <v>0.1</v>
      </c>
      <c r="W9" s="218">
        <f t="shared" si="6"/>
        <v>0.1</v>
      </c>
      <c r="X9" s="218">
        <f t="shared" si="6"/>
        <v>0.1</v>
      </c>
      <c r="Y9" s="218">
        <f t="shared" si="6"/>
        <v>0.1</v>
      </c>
      <c r="Z9" s="218">
        <f t="shared" si="6"/>
        <v>0.1</v>
      </c>
      <c r="AA9" s="218">
        <f t="shared" si="6"/>
        <v>0.1</v>
      </c>
      <c r="AB9" s="218">
        <f t="shared" si="6"/>
        <v>0.1</v>
      </c>
      <c r="AC9" s="218">
        <f t="shared" si="6"/>
        <v>0.1</v>
      </c>
      <c r="AD9" s="218">
        <f t="shared" si="6"/>
        <v>0.1</v>
      </c>
      <c r="AE9" s="218">
        <f t="shared" si="6"/>
        <v>0.1</v>
      </c>
      <c r="AF9" s="218">
        <f>AD9</f>
        <v>0.1</v>
      </c>
      <c r="AG9" s="218">
        <f t="shared" si="6"/>
        <v>0.1</v>
      </c>
      <c r="AH9" s="218">
        <f t="shared" si="6"/>
        <v>0.1</v>
      </c>
      <c r="AI9" s="218">
        <f t="shared" si="6"/>
        <v>0.1</v>
      </c>
      <c r="AJ9" s="218">
        <f t="shared" si="6"/>
        <v>0.1</v>
      </c>
      <c r="AK9" s="218">
        <f t="shared" si="6"/>
        <v>0.1</v>
      </c>
      <c r="AL9" s="218">
        <f t="shared" si="6"/>
        <v>0.1</v>
      </c>
      <c r="AM9" s="218">
        <f t="shared" si="6"/>
        <v>0.1</v>
      </c>
      <c r="AN9" s="218">
        <f t="shared" si="6"/>
        <v>0.1</v>
      </c>
      <c r="AO9" s="218">
        <f t="shared" si="6"/>
        <v>0.1</v>
      </c>
      <c r="AP9" s="218">
        <f t="shared" si="6"/>
        <v>0.1</v>
      </c>
      <c r="AQ9" s="218">
        <f t="shared" si="6"/>
        <v>0.1</v>
      </c>
      <c r="AR9" s="218">
        <f t="shared" si="6"/>
        <v>0.1</v>
      </c>
      <c r="AS9" s="218">
        <f t="shared" si="6"/>
        <v>0.1</v>
      </c>
      <c r="AT9" s="218">
        <f>AR9</f>
        <v>0.1</v>
      </c>
      <c r="AU9" s="218">
        <f t="shared" si="6"/>
        <v>0.1</v>
      </c>
      <c r="AV9" s="218">
        <f t="shared" si="6"/>
        <v>0.1</v>
      </c>
      <c r="AW9" s="218">
        <f t="shared" si="6"/>
        <v>0.1</v>
      </c>
      <c r="AX9" s="218">
        <f>AV9</f>
        <v>0.1</v>
      </c>
      <c r="AY9" s="218">
        <f t="shared" si="6"/>
        <v>0.1</v>
      </c>
      <c r="AZ9" s="218">
        <f t="shared" si="6"/>
        <v>0.1</v>
      </c>
      <c r="BA9" s="218">
        <f t="shared" si="6"/>
        <v>0.1</v>
      </c>
      <c r="BB9" s="218">
        <f>AZ9</f>
        <v>0.1</v>
      </c>
      <c r="BC9" s="218">
        <f t="shared" si="6"/>
        <v>0.1</v>
      </c>
      <c r="BD9" s="218">
        <f>BB9</f>
        <v>0.1</v>
      </c>
      <c r="BE9" s="218">
        <f>BC9</f>
        <v>0.1</v>
      </c>
      <c r="BF9" s="218">
        <f t="shared" si="6"/>
        <v>0.1</v>
      </c>
      <c r="BG9" s="218">
        <f>BF9</f>
        <v>0.1</v>
      </c>
      <c r="BH9" s="218">
        <f>BG9</f>
        <v>0.1</v>
      </c>
      <c r="BI9" s="218">
        <f>BH9</f>
        <v>0.1</v>
      </c>
      <c r="BJ9" s="218">
        <f>BF9</f>
        <v>0.1</v>
      </c>
      <c r="BK9" s="218">
        <f t="shared" si="6"/>
        <v>0.1</v>
      </c>
      <c r="BL9" s="218">
        <f>BK9</f>
        <v>0.1</v>
      </c>
      <c r="BM9" s="218">
        <f>BL9</f>
        <v>0.1</v>
      </c>
      <c r="BN9" s="218">
        <f>BM9</f>
        <v>0.1</v>
      </c>
      <c r="BO9" s="218">
        <f>BN9</f>
        <v>0.1</v>
      </c>
      <c r="BP9" s="218">
        <f>BO9</f>
        <v>0.1</v>
      </c>
      <c r="BQ9" s="218">
        <f>BK9</f>
        <v>0.1</v>
      </c>
      <c r="BR9" s="218">
        <f t="shared" si="6"/>
        <v>0.1</v>
      </c>
      <c r="BS9" s="218">
        <f t="shared" si="6"/>
        <v>0.1</v>
      </c>
      <c r="BT9" s="218">
        <f t="shared" si="6"/>
        <v>0.1</v>
      </c>
      <c r="BU9" s="218">
        <f t="shared" si="6"/>
        <v>0.1</v>
      </c>
      <c r="BV9" s="218">
        <f t="shared" si="6"/>
        <v>0.1</v>
      </c>
      <c r="BW9" s="218">
        <f>BT9</f>
        <v>0.1</v>
      </c>
      <c r="BX9" s="218">
        <f t="shared" si="6"/>
        <v>0.1</v>
      </c>
      <c r="BY9" s="218">
        <f t="shared" si="6"/>
        <v>0.1</v>
      </c>
      <c r="BZ9" s="218">
        <f>BY9</f>
        <v>0.1</v>
      </c>
      <c r="CA9" s="218">
        <f>BZ9</f>
        <v>0.1</v>
      </c>
      <c r="CB9" s="218">
        <f>BY9</f>
        <v>0.1</v>
      </c>
      <c r="CC9" s="31" t="s">
        <v>21</v>
      </c>
      <c r="CD9" s="24" t="s">
        <v>117</v>
      </c>
    </row>
    <row r="10" spans="1:82" ht="15.95" customHeight="1">
      <c r="A10" s="10"/>
      <c r="B10" s="243" t="s">
        <v>151</v>
      </c>
      <c r="C10" s="247">
        <v>0.28439999999999999</v>
      </c>
      <c r="D10" s="247">
        <v>0.28439999999999999</v>
      </c>
      <c r="E10" s="247">
        <v>0.28439999999999999</v>
      </c>
      <c r="F10" s="247">
        <v>0.28439999999999999</v>
      </c>
      <c r="G10" s="247">
        <v>0.28439999999999999</v>
      </c>
      <c r="H10" s="247">
        <v>0.28439999999999999</v>
      </c>
      <c r="I10" s="247">
        <v>0.28439999999999999</v>
      </c>
      <c r="J10" s="247">
        <v>0.28439999999999999</v>
      </c>
      <c r="K10" s="247">
        <v>0.28439999999999999</v>
      </c>
      <c r="L10" s="247">
        <v>0.28439999999999999</v>
      </c>
      <c r="M10" s="247">
        <v>0.28439999999999999</v>
      </c>
      <c r="N10" s="247">
        <v>0.28439999999999999</v>
      </c>
      <c r="O10" s="247">
        <v>0.28439999999999999</v>
      </c>
      <c r="P10" s="247">
        <v>0.28439999999999999</v>
      </c>
      <c r="Q10" s="247">
        <v>0.28439999999999999</v>
      </c>
      <c r="R10" s="247">
        <v>0.28439999999999999</v>
      </c>
      <c r="S10" s="247">
        <v>0.28439999999999999</v>
      </c>
      <c r="T10" s="247">
        <v>0.28439999999999999</v>
      </c>
      <c r="U10" s="218" t="s">
        <v>116</v>
      </c>
      <c r="V10" s="218" t="s">
        <v>116</v>
      </c>
      <c r="W10" s="218" t="s">
        <v>116</v>
      </c>
      <c r="X10" s="218" t="s">
        <v>116</v>
      </c>
      <c r="Y10" s="218" t="s">
        <v>116</v>
      </c>
      <c r="Z10" s="218" t="s">
        <v>116</v>
      </c>
      <c r="AA10" s="218" t="s">
        <v>116</v>
      </c>
      <c r="AB10" s="218" t="s">
        <v>116</v>
      </c>
      <c r="AC10" s="218" t="s">
        <v>116</v>
      </c>
      <c r="AD10" s="218" t="s">
        <v>116</v>
      </c>
      <c r="AE10" s="218" t="s">
        <v>116</v>
      </c>
      <c r="AF10" s="218" t="s">
        <v>116</v>
      </c>
      <c r="AG10" s="218" t="s">
        <v>116</v>
      </c>
      <c r="AH10" s="218" t="s">
        <v>116</v>
      </c>
      <c r="AI10" s="218" t="s">
        <v>116</v>
      </c>
      <c r="AJ10" s="218" t="s">
        <v>116</v>
      </c>
      <c r="AK10" s="218" t="s">
        <v>116</v>
      </c>
      <c r="AL10" s="218" t="s">
        <v>116</v>
      </c>
      <c r="AM10" s="218" t="s">
        <v>116</v>
      </c>
      <c r="AN10" s="218" t="s">
        <v>116</v>
      </c>
      <c r="AO10" s="218" t="s">
        <v>116</v>
      </c>
      <c r="AP10" s="218" t="s">
        <v>116</v>
      </c>
      <c r="AQ10" s="218" t="s">
        <v>116</v>
      </c>
      <c r="AR10" s="218" t="s">
        <v>116</v>
      </c>
      <c r="AS10" s="218" t="s">
        <v>116</v>
      </c>
      <c r="AT10" s="248">
        <v>0.28439999999999999</v>
      </c>
      <c r="AU10" s="248">
        <v>0.28439999999999999</v>
      </c>
      <c r="AV10" s="248">
        <v>0.28439999999999999</v>
      </c>
      <c r="AW10" s="248">
        <v>0.28439999999999999</v>
      </c>
      <c r="AX10" s="248">
        <v>0.28439999999999999</v>
      </c>
      <c r="AY10" s="248">
        <v>0.28439999999999999</v>
      </c>
      <c r="AZ10" s="248">
        <v>0.28439999999999999</v>
      </c>
      <c r="BA10" s="248">
        <v>0.28439999999999999</v>
      </c>
      <c r="BB10" s="248">
        <v>0.28439999999999999</v>
      </c>
      <c r="BC10" s="248">
        <v>0.28439999999999999</v>
      </c>
      <c r="BD10" s="248">
        <v>0.28439999999999999</v>
      </c>
      <c r="BE10" s="248">
        <v>0.28439999999999999</v>
      </c>
      <c r="BF10" s="218" t="s">
        <v>116</v>
      </c>
      <c r="BG10" s="218" t="s">
        <v>116</v>
      </c>
      <c r="BH10" s="218" t="s">
        <v>116</v>
      </c>
      <c r="BI10" s="218" t="s">
        <v>116</v>
      </c>
      <c r="BJ10" s="218" t="s">
        <v>116</v>
      </c>
      <c r="BK10" s="218" t="s">
        <v>116</v>
      </c>
      <c r="BL10" s="218" t="s">
        <v>116</v>
      </c>
      <c r="BM10" s="218" t="s">
        <v>116</v>
      </c>
      <c r="BN10" s="218" t="s">
        <v>116</v>
      </c>
      <c r="BO10" s="218" t="s">
        <v>116</v>
      </c>
      <c r="BP10" s="218" t="s">
        <v>116</v>
      </c>
      <c r="BQ10" s="218" t="s">
        <v>116</v>
      </c>
      <c r="BR10" s="218" t="s">
        <v>116</v>
      </c>
      <c r="BS10" s="218" t="s">
        <v>116</v>
      </c>
      <c r="BT10" s="218" t="s">
        <v>116</v>
      </c>
      <c r="BU10" s="218" t="s">
        <v>116</v>
      </c>
      <c r="BV10" s="218" t="s">
        <v>116</v>
      </c>
      <c r="BW10" s="218" t="s">
        <v>116</v>
      </c>
      <c r="BX10" s="218" t="s">
        <v>116</v>
      </c>
      <c r="BY10" s="218" t="s">
        <v>116</v>
      </c>
      <c r="BZ10" s="218" t="s">
        <v>116</v>
      </c>
      <c r="CA10" s="218" t="s">
        <v>116</v>
      </c>
      <c r="CB10" s="248">
        <v>0.28439999999999999</v>
      </c>
      <c r="CC10" s="74"/>
      <c r="CD10" s="245" t="s">
        <v>28</v>
      </c>
    </row>
    <row r="11" spans="1:82" ht="15.95" customHeight="1">
      <c r="A11" s="10"/>
      <c r="B11" s="243" t="s">
        <v>152</v>
      </c>
      <c r="C11" s="244" t="s">
        <v>116</v>
      </c>
      <c r="D11" s="244" t="s">
        <v>116</v>
      </c>
      <c r="E11" s="244" t="s">
        <v>116</v>
      </c>
      <c r="F11" s="244"/>
      <c r="G11" s="244" t="s">
        <v>116</v>
      </c>
      <c r="H11" s="244" t="s">
        <v>116</v>
      </c>
      <c r="I11" s="244" t="s">
        <v>116</v>
      </c>
      <c r="J11" s="283" t="s">
        <v>116</v>
      </c>
      <c r="K11" s="244" t="s">
        <v>116</v>
      </c>
      <c r="L11" s="244" t="s">
        <v>116</v>
      </c>
      <c r="M11" s="244" t="s">
        <v>116</v>
      </c>
      <c r="N11" s="244" t="s">
        <v>116</v>
      </c>
      <c r="O11" s="244" t="s">
        <v>116</v>
      </c>
      <c r="P11" s="244" t="s">
        <v>116</v>
      </c>
      <c r="Q11" s="244" t="s">
        <v>116</v>
      </c>
      <c r="R11" s="244" t="s">
        <v>116</v>
      </c>
      <c r="S11" s="244" t="s">
        <v>116</v>
      </c>
      <c r="T11" s="244" t="s">
        <v>116</v>
      </c>
      <c r="U11" s="248">
        <v>0.36130000000000001</v>
      </c>
      <c r="V11" s="248">
        <v>0.36130000000000001</v>
      </c>
      <c r="W11" s="248">
        <v>0.36130000000000001</v>
      </c>
      <c r="X11" s="248">
        <v>0.36130000000000001</v>
      </c>
      <c r="Y11" s="248">
        <v>0.36130000000000001</v>
      </c>
      <c r="Z11" s="248">
        <v>0.36130000000000001</v>
      </c>
      <c r="AA11" s="248">
        <v>0.36130000000000001</v>
      </c>
      <c r="AB11" s="248">
        <v>0.36130000000000001</v>
      </c>
      <c r="AC11" s="248">
        <v>0.36130000000000001</v>
      </c>
      <c r="AD11" s="248">
        <v>0.36130000000000001</v>
      </c>
      <c r="AE11" s="248">
        <v>0.36130000000000001</v>
      </c>
      <c r="AF11" s="248">
        <v>0.36130000000000001</v>
      </c>
      <c r="AG11" s="248">
        <v>0.36130000000000001</v>
      </c>
      <c r="AH11" s="248">
        <v>0.36130000000000001</v>
      </c>
      <c r="AI11" s="248">
        <v>0.36130000000000001</v>
      </c>
      <c r="AJ11" s="248">
        <v>0.36130000000000001</v>
      </c>
      <c r="AK11" s="248">
        <v>0.36130000000000001</v>
      </c>
      <c r="AL11" s="248">
        <v>0.36130000000000001</v>
      </c>
      <c r="AM11" s="248">
        <v>0.36130000000000001</v>
      </c>
      <c r="AN11" s="248">
        <v>0.36130000000000001</v>
      </c>
      <c r="AO11" s="248">
        <v>0.36130000000000001</v>
      </c>
      <c r="AP11" s="248">
        <v>0.36130000000000001</v>
      </c>
      <c r="AQ11" s="248">
        <v>0.36130000000000001</v>
      </c>
      <c r="AR11" s="248">
        <v>0.36130000000000001</v>
      </c>
      <c r="AS11" s="248">
        <v>0.36130000000000001</v>
      </c>
      <c r="AT11" s="218" t="s">
        <v>116</v>
      </c>
      <c r="AU11" s="218" t="s">
        <v>116</v>
      </c>
      <c r="AV11" s="218" t="s">
        <v>116</v>
      </c>
      <c r="AW11" s="218" t="s">
        <v>116</v>
      </c>
      <c r="AX11" s="218" t="s">
        <v>116</v>
      </c>
      <c r="AY11" s="218" t="s">
        <v>116</v>
      </c>
      <c r="AZ11" s="218" t="s">
        <v>116</v>
      </c>
      <c r="BA11" s="218" t="s">
        <v>116</v>
      </c>
      <c r="BB11" s="218" t="s">
        <v>116</v>
      </c>
      <c r="BC11" s="218" t="s">
        <v>116</v>
      </c>
      <c r="BD11" s="218" t="s">
        <v>116</v>
      </c>
      <c r="BE11" s="218" t="s">
        <v>116</v>
      </c>
      <c r="BF11" s="248">
        <v>0.36130000000000001</v>
      </c>
      <c r="BG11" s="248">
        <v>0.36130000000000001</v>
      </c>
      <c r="BH11" s="248">
        <v>0.36130000000000001</v>
      </c>
      <c r="BI11" s="248">
        <v>0.36130000000000001</v>
      </c>
      <c r="BJ11" s="248">
        <v>0.36130000000000001</v>
      </c>
      <c r="BK11" s="248">
        <v>0.36130000000000001</v>
      </c>
      <c r="BL11" s="248">
        <v>0.36130000000000001</v>
      </c>
      <c r="BM11" s="248">
        <v>0.36130000000000001</v>
      </c>
      <c r="BN11" s="248">
        <v>0.36130000000000001</v>
      </c>
      <c r="BO11" s="248">
        <v>0.36130000000000001</v>
      </c>
      <c r="BP11" s="248">
        <v>0.36130000000000001</v>
      </c>
      <c r="BQ11" s="248">
        <v>0.36130000000000001</v>
      </c>
      <c r="BR11" s="248">
        <v>0.36130000000000001</v>
      </c>
      <c r="BS11" s="248">
        <v>0.36130000000000001</v>
      </c>
      <c r="BT11" s="248">
        <v>0.36130000000000001</v>
      </c>
      <c r="BU11" s="248">
        <v>0.36130000000000001</v>
      </c>
      <c r="BV11" s="248">
        <v>0.36130000000000001</v>
      </c>
      <c r="BW11" s="248">
        <v>0.36130000000000001</v>
      </c>
      <c r="BX11" s="248">
        <v>0.36130000000000001</v>
      </c>
      <c r="BY11" s="248">
        <v>0.36130000000000001</v>
      </c>
      <c r="BZ11" s="248">
        <v>0.36130000000000001</v>
      </c>
      <c r="CA11" s="248">
        <v>0.36130000000000001</v>
      </c>
      <c r="CB11" s="248" t="s">
        <v>116</v>
      </c>
      <c r="CC11" s="74"/>
      <c r="CD11" s="245" t="s">
        <v>28</v>
      </c>
    </row>
    <row r="12" spans="1:82" ht="15.95" customHeight="1">
      <c r="A12" s="10"/>
      <c r="B12" s="72" t="s">
        <v>26</v>
      </c>
      <c r="C12" s="73">
        <v>0.95</v>
      </c>
      <c r="D12" s="73">
        <v>0.95</v>
      </c>
      <c r="E12" s="73">
        <v>0.95</v>
      </c>
      <c r="F12" s="73">
        <v>0.95</v>
      </c>
      <c r="G12" s="73">
        <v>0.95</v>
      </c>
      <c r="H12" s="73">
        <v>0.95</v>
      </c>
      <c r="I12" s="73">
        <v>0.95</v>
      </c>
      <c r="J12" s="284">
        <v>0.95</v>
      </c>
      <c r="K12" s="217">
        <f>I12</f>
        <v>0.95</v>
      </c>
      <c r="L12" s="217">
        <f t="shared" ref="L12:AR12" si="7">K12</f>
        <v>0.95</v>
      </c>
      <c r="M12" s="217">
        <f t="shared" si="7"/>
        <v>0.95</v>
      </c>
      <c r="N12" s="217">
        <f t="shared" si="7"/>
        <v>0.95</v>
      </c>
      <c r="O12" s="217">
        <f t="shared" si="7"/>
        <v>0.95</v>
      </c>
      <c r="P12" s="217">
        <f t="shared" si="7"/>
        <v>0.95</v>
      </c>
      <c r="Q12" s="217">
        <f t="shared" si="7"/>
        <v>0.95</v>
      </c>
      <c r="R12" s="217">
        <f t="shared" si="7"/>
        <v>0.95</v>
      </c>
      <c r="S12" s="217">
        <f t="shared" si="7"/>
        <v>0.95</v>
      </c>
      <c r="T12" s="217">
        <f t="shared" si="7"/>
        <v>0.95</v>
      </c>
      <c r="U12" s="217">
        <f t="shared" si="7"/>
        <v>0.95</v>
      </c>
      <c r="V12" s="217">
        <f t="shared" si="7"/>
        <v>0.95</v>
      </c>
      <c r="W12" s="217">
        <f t="shared" si="7"/>
        <v>0.95</v>
      </c>
      <c r="X12" s="217">
        <f t="shared" si="7"/>
        <v>0.95</v>
      </c>
      <c r="Y12" s="217">
        <f t="shared" si="7"/>
        <v>0.95</v>
      </c>
      <c r="Z12" s="217">
        <f t="shared" si="7"/>
        <v>0.95</v>
      </c>
      <c r="AA12" s="217">
        <f t="shared" si="7"/>
        <v>0.95</v>
      </c>
      <c r="AB12" s="217">
        <f t="shared" si="7"/>
        <v>0.95</v>
      </c>
      <c r="AC12" s="217">
        <f t="shared" si="7"/>
        <v>0.95</v>
      </c>
      <c r="AD12" s="217">
        <f t="shared" si="7"/>
        <v>0.95</v>
      </c>
      <c r="AE12" s="217">
        <v>0.95</v>
      </c>
      <c r="AF12" s="217">
        <f>AD12</f>
        <v>0.95</v>
      </c>
      <c r="AG12" s="217">
        <f t="shared" si="7"/>
        <v>0.95</v>
      </c>
      <c r="AH12" s="217">
        <f t="shared" si="7"/>
        <v>0.95</v>
      </c>
      <c r="AI12" s="217">
        <f t="shared" si="7"/>
        <v>0.95</v>
      </c>
      <c r="AJ12" s="217">
        <f t="shared" si="7"/>
        <v>0.95</v>
      </c>
      <c r="AK12" s="217">
        <f t="shared" si="7"/>
        <v>0.95</v>
      </c>
      <c r="AL12" s="217">
        <f t="shared" si="7"/>
        <v>0.95</v>
      </c>
      <c r="AM12" s="217">
        <f t="shared" si="7"/>
        <v>0.95</v>
      </c>
      <c r="AN12" s="217">
        <f t="shared" si="7"/>
        <v>0.95</v>
      </c>
      <c r="AO12" s="217">
        <f t="shared" si="7"/>
        <v>0.95</v>
      </c>
      <c r="AP12" s="217">
        <f t="shared" si="7"/>
        <v>0.95</v>
      </c>
      <c r="AQ12" s="217">
        <f t="shared" si="7"/>
        <v>0.95</v>
      </c>
      <c r="AR12" s="217">
        <f t="shared" si="7"/>
        <v>0.95</v>
      </c>
      <c r="AS12" s="217">
        <f t="shared" ref="AS12:BC12" si="8">AR12</f>
        <v>0.95</v>
      </c>
      <c r="AT12" s="217">
        <f t="shared" si="8"/>
        <v>0.95</v>
      </c>
      <c r="AU12" s="217">
        <f t="shared" si="8"/>
        <v>0.95</v>
      </c>
      <c r="AV12" s="217">
        <f t="shared" si="8"/>
        <v>0.95</v>
      </c>
      <c r="AW12" s="217">
        <f t="shared" si="8"/>
        <v>0.95</v>
      </c>
      <c r="AX12" s="217">
        <f t="shared" si="8"/>
        <v>0.95</v>
      </c>
      <c r="AY12" s="217">
        <f t="shared" si="8"/>
        <v>0.95</v>
      </c>
      <c r="AZ12" s="217">
        <f t="shared" si="8"/>
        <v>0.95</v>
      </c>
      <c r="BA12" s="217">
        <f t="shared" si="8"/>
        <v>0.95</v>
      </c>
      <c r="BB12" s="217">
        <f t="shared" si="8"/>
        <v>0.95</v>
      </c>
      <c r="BC12" s="217">
        <f t="shared" si="8"/>
        <v>0.95</v>
      </c>
      <c r="BD12" s="217">
        <f>BB12</f>
        <v>0.95</v>
      </c>
      <c r="BE12" s="217">
        <f>BC12</f>
        <v>0.95</v>
      </c>
      <c r="BF12" s="217">
        <f t="shared" ref="BF12:BV12" si="9">BE12</f>
        <v>0.95</v>
      </c>
      <c r="BG12" s="217">
        <f t="shared" si="9"/>
        <v>0.95</v>
      </c>
      <c r="BH12" s="217">
        <f t="shared" si="9"/>
        <v>0.95</v>
      </c>
      <c r="BI12" s="217">
        <f t="shared" si="9"/>
        <v>0.95</v>
      </c>
      <c r="BJ12" s="217">
        <f t="shared" si="9"/>
        <v>0.95</v>
      </c>
      <c r="BK12" s="217">
        <f t="shared" si="9"/>
        <v>0.95</v>
      </c>
      <c r="BL12" s="217">
        <f t="shared" si="9"/>
        <v>0.95</v>
      </c>
      <c r="BM12" s="217">
        <f t="shared" si="9"/>
        <v>0.95</v>
      </c>
      <c r="BN12" s="217">
        <f t="shared" si="9"/>
        <v>0.95</v>
      </c>
      <c r="BO12" s="217">
        <f t="shared" si="9"/>
        <v>0.95</v>
      </c>
      <c r="BP12" s="217">
        <f t="shared" si="9"/>
        <v>0.95</v>
      </c>
      <c r="BQ12" s="217">
        <f t="shared" si="9"/>
        <v>0.95</v>
      </c>
      <c r="BR12" s="217">
        <f t="shared" si="9"/>
        <v>0.95</v>
      </c>
      <c r="BS12" s="217">
        <f t="shared" si="9"/>
        <v>0.95</v>
      </c>
      <c r="BT12" s="217">
        <f t="shared" si="9"/>
        <v>0.95</v>
      </c>
      <c r="BU12" s="217">
        <f t="shared" si="9"/>
        <v>0.95</v>
      </c>
      <c r="BV12" s="217">
        <f t="shared" si="9"/>
        <v>0.95</v>
      </c>
      <c r="BW12" s="217">
        <f>BT12</f>
        <v>0.95</v>
      </c>
      <c r="BX12" s="217">
        <f>BW12</f>
        <v>0.95</v>
      </c>
      <c r="BY12" s="217">
        <f>BX12</f>
        <v>0.95</v>
      </c>
      <c r="BZ12" s="217">
        <f>BY12</f>
        <v>0.95</v>
      </c>
      <c r="CA12" s="217">
        <f>BZ12</f>
        <v>0.95</v>
      </c>
      <c r="CB12" s="217">
        <f>CA12</f>
        <v>0.95</v>
      </c>
      <c r="CC12" s="74" t="s">
        <v>21</v>
      </c>
      <c r="CD12" s="75" t="s">
        <v>117</v>
      </c>
    </row>
    <row r="13" spans="1:82" ht="15.95" customHeight="1">
      <c r="A13" s="10"/>
      <c r="B13" s="27" t="s">
        <v>30</v>
      </c>
      <c r="C13" s="35">
        <f>C4*(C10/C9-1)</f>
        <v>2.2902736111111102</v>
      </c>
      <c r="D13" s="35">
        <f t="shared" ref="D13:T13" si="10">D4*(D10/D9-1)</f>
        <v>2.2902736111111102</v>
      </c>
      <c r="E13" s="35">
        <f t="shared" si="10"/>
        <v>2.2902736111111102</v>
      </c>
      <c r="F13" s="35">
        <f t="shared" si="10"/>
        <v>2.2902736111111102</v>
      </c>
      <c r="G13" s="35">
        <f t="shared" si="10"/>
        <v>2.2902736111111102</v>
      </c>
      <c r="H13" s="35">
        <f t="shared" si="10"/>
        <v>2.2902736111111102</v>
      </c>
      <c r="I13" s="35">
        <f t="shared" si="10"/>
        <v>2.2902736111111102</v>
      </c>
      <c r="J13" s="35">
        <f>J4*(J10/J9-1)</f>
        <v>2.2902736111111102</v>
      </c>
      <c r="K13" s="35">
        <f t="shared" si="10"/>
        <v>2.2902736111111102</v>
      </c>
      <c r="L13" s="35">
        <f t="shared" si="10"/>
        <v>2.2902736111111102</v>
      </c>
      <c r="M13" s="35">
        <f t="shared" si="10"/>
        <v>2.2902736111111102</v>
      </c>
      <c r="N13" s="35">
        <f t="shared" si="10"/>
        <v>2.2902736111111102</v>
      </c>
      <c r="O13" s="35">
        <f t="shared" si="10"/>
        <v>2.2902736111111102</v>
      </c>
      <c r="P13" s="35">
        <f t="shared" si="10"/>
        <v>2.2902736111111102</v>
      </c>
      <c r="Q13" s="35">
        <f t="shared" si="10"/>
        <v>2.2902736111111102</v>
      </c>
      <c r="R13" s="35">
        <f t="shared" si="10"/>
        <v>2.2902736111111102</v>
      </c>
      <c r="S13" s="35">
        <f t="shared" si="10"/>
        <v>2.2902736111111102</v>
      </c>
      <c r="T13" s="35">
        <f t="shared" si="10"/>
        <v>2.2902736111111102</v>
      </c>
      <c r="U13" s="35"/>
      <c r="V13" s="35"/>
      <c r="W13" s="35"/>
      <c r="X13" s="35"/>
      <c r="Y13" s="35"/>
      <c r="Z13" s="35"/>
      <c r="AA13" s="35"/>
      <c r="AB13" s="35"/>
      <c r="AC13" s="35"/>
      <c r="AD13" s="35"/>
      <c r="AE13" s="35"/>
      <c r="AF13" s="35"/>
      <c r="AG13" s="35"/>
      <c r="AH13" s="35"/>
      <c r="AI13" s="35"/>
      <c r="AJ13" s="35"/>
      <c r="AK13" s="35"/>
      <c r="AL13" s="35"/>
      <c r="AM13" s="35"/>
      <c r="AN13" s="35"/>
      <c r="AO13" s="35"/>
      <c r="AP13" s="35"/>
      <c r="AQ13" s="35"/>
      <c r="AR13" s="35"/>
      <c r="AS13" s="35"/>
      <c r="AT13" s="35">
        <f>AT4*(AT10/AT9-1)</f>
        <v>2.2902736111111102</v>
      </c>
      <c r="AU13" s="35">
        <f t="shared" ref="AU13:BE13" si="11">AU4*(AU10/AU9-1)</f>
        <v>2.2902736111111102</v>
      </c>
      <c r="AV13" s="35">
        <f t="shared" si="11"/>
        <v>2.2902736111111102</v>
      </c>
      <c r="AW13" s="35">
        <f t="shared" si="11"/>
        <v>2.2902736111111102</v>
      </c>
      <c r="AX13" s="35">
        <f t="shared" si="11"/>
        <v>2.2902736111111102</v>
      </c>
      <c r="AY13" s="35">
        <f t="shared" si="11"/>
        <v>2.2902736111111102</v>
      </c>
      <c r="AZ13" s="35">
        <f t="shared" si="11"/>
        <v>2.2902736111111102</v>
      </c>
      <c r="BA13" s="35">
        <f t="shared" si="11"/>
        <v>2.2902736111111102</v>
      </c>
      <c r="BB13" s="35">
        <f t="shared" si="11"/>
        <v>2.2902736111111102</v>
      </c>
      <c r="BC13" s="35">
        <f t="shared" si="11"/>
        <v>2.2902736111111102</v>
      </c>
      <c r="BD13" s="35">
        <f>BD4*(BD10/BD9-1)</f>
        <v>2.2902736111111102</v>
      </c>
      <c r="BE13" s="35">
        <f t="shared" si="11"/>
        <v>2.2902736111111102</v>
      </c>
      <c r="BF13" s="35"/>
      <c r="BG13" s="35"/>
      <c r="BH13" s="35"/>
      <c r="BI13" s="35"/>
      <c r="BJ13" s="35"/>
      <c r="BK13" s="35"/>
      <c r="BL13" s="35"/>
      <c r="BM13" s="35"/>
      <c r="BN13" s="35"/>
      <c r="BO13" s="35"/>
      <c r="BP13" s="35"/>
      <c r="BQ13" s="35"/>
      <c r="BR13" s="35"/>
      <c r="BS13" s="35"/>
      <c r="BT13" s="35"/>
      <c r="BU13" s="35"/>
      <c r="BV13" s="35"/>
      <c r="BW13" s="35"/>
      <c r="BX13" s="35"/>
      <c r="BY13" s="35"/>
      <c r="BZ13" s="35"/>
      <c r="CA13" s="35"/>
      <c r="CB13" s="35">
        <f>CB4*(CB10/CB9-1)</f>
        <v>2.2902736111111102</v>
      </c>
      <c r="CC13" s="28" t="s">
        <v>27</v>
      </c>
      <c r="CD13" s="91" t="s">
        <v>28</v>
      </c>
    </row>
    <row r="14" spans="1:82" ht="15.95" customHeight="1">
      <c r="A14" s="10"/>
      <c r="B14" s="353" t="s">
        <v>115</v>
      </c>
      <c r="C14" s="354">
        <v>0</v>
      </c>
      <c r="D14" s="355">
        <v>0</v>
      </c>
      <c r="E14" s="355">
        <v>0</v>
      </c>
      <c r="F14" s="355">
        <v>0</v>
      </c>
      <c r="G14" s="355">
        <v>0</v>
      </c>
      <c r="H14" s="355">
        <v>0</v>
      </c>
      <c r="I14" s="355">
        <v>0</v>
      </c>
      <c r="J14" s="356">
        <v>0</v>
      </c>
      <c r="K14" s="357">
        <v>0</v>
      </c>
      <c r="L14" s="357">
        <v>0</v>
      </c>
      <c r="M14" s="357">
        <v>0</v>
      </c>
      <c r="N14" s="357">
        <v>0</v>
      </c>
      <c r="O14" s="357">
        <v>0</v>
      </c>
      <c r="P14" s="357">
        <v>0</v>
      </c>
      <c r="Q14" s="357">
        <v>0</v>
      </c>
      <c r="R14" s="357">
        <v>0</v>
      </c>
      <c r="S14" s="357">
        <v>0</v>
      </c>
      <c r="T14" s="357">
        <v>0</v>
      </c>
      <c r="U14" s="358">
        <f>U4*(U11/U9-1)</f>
        <v>3.2453822916666657</v>
      </c>
      <c r="V14" s="358">
        <f t="shared" ref="V14:AS14" si="12">V4*(V11/V9-1)</f>
        <v>3.2453822916666657</v>
      </c>
      <c r="W14" s="358">
        <f t="shared" si="12"/>
        <v>3.2453822916666657</v>
      </c>
      <c r="X14" s="358">
        <f t="shared" si="12"/>
        <v>3.2453822916666657</v>
      </c>
      <c r="Y14" s="358">
        <f t="shared" si="12"/>
        <v>3.2453822916666657</v>
      </c>
      <c r="Z14" s="358">
        <f t="shared" si="12"/>
        <v>3.2453822916666657</v>
      </c>
      <c r="AA14" s="358">
        <f t="shared" si="12"/>
        <v>3.2453822916666657</v>
      </c>
      <c r="AB14" s="358">
        <f t="shared" si="12"/>
        <v>3.2453822916666657</v>
      </c>
      <c r="AC14" s="358">
        <f t="shared" si="12"/>
        <v>3.2453822916666657</v>
      </c>
      <c r="AD14" s="358">
        <f t="shared" si="12"/>
        <v>3.2453822916666657</v>
      </c>
      <c r="AE14" s="358">
        <f t="shared" si="12"/>
        <v>3.2453822916666657</v>
      </c>
      <c r="AF14" s="358">
        <f t="shared" si="12"/>
        <v>3.2453822916666657</v>
      </c>
      <c r="AG14" s="358">
        <f t="shared" si="12"/>
        <v>3.2453822916666657</v>
      </c>
      <c r="AH14" s="358">
        <f t="shared" si="12"/>
        <v>3.2453822916666657</v>
      </c>
      <c r="AI14" s="358">
        <f t="shared" si="12"/>
        <v>3.2453822916666657</v>
      </c>
      <c r="AJ14" s="358">
        <f t="shared" si="12"/>
        <v>3.2453822916666657</v>
      </c>
      <c r="AK14" s="358">
        <f t="shared" si="12"/>
        <v>3.2453822916666657</v>
      </c>
      <c r="AL14" s="358">
        <f t="shared" si="12"/>
        <v>3.2453822916666657</v>
      </c>
      <c r="AM14" s="358">
        <f t="shared" si="12"/>
        <v>3.2453822916666657</v>
      </c>
      <c r="AN14" s="358">
        <f t="shared" si="12"/>
        <v>3.2453822916666657</v>
      </c>
      <c r="AO14" s="358">
        <f t="shared" si="12"/>
        <v>3.2453822916666657</v>
      </c>
      <c r="AP14" s="358">
        <f t="shared" si="12"/>
        <v>3.2453822916666657</v>
      </c>
      <c r="AQ14" s="358">
        <f t="shared" si="12"/>
        <v>3.2453822916666657</v>
      </c>
      <c r="AR14" s="358">
        <f t="shared" si="12"/>
        <v>3.2453822916666657</v>
      </c>
      <c r="AS14" s="358">
        <f t="shared" si="12"/>
        <v>3.2453822916666657</v>
      </c>
      <c r="AT14" s="357" t="s">
        <v>116</v>
      </c>
      <c r="AU14" s="357" t="str">
        <f>AT14</f>
        <v>-</v>
      </c>
      <c r="AV14" s="357" t="str">
        <f t="shared" ref="AV14:BC14" si="13">AU14</f>
        <v>-</v>
      </c>
      <c r="AW14" s="357"/>
      <c r="AX14" s="357" t="str">
        <f>AV14</f>
        <v>-</v>
      </c>
      <c r="AY14" s="357" t="str">
        <f t="shared" si="13"/>
        <v>-</v>
      </c>
      <c r="AZ14" s="357" t="str">
        <f t="shared" si="13"/>
        <v>-</v>
      </c>
      <c r="BA14" s="357"/>
      <c r="BB14" s="357" t="str">
        <f>AZ14</f>
        <v>-</v>
      </c>
      <c r="BC14" s="357" t="str">
        <f t="shared" si="13"/>
        <v>-</v>
      </c>
      <c r="BD14" s="357"/>
      <c r="BE14" s="357" t="str">
        <f>BC14</f>
        <v>-</v>
      </c>
      <c r="BF14" s="358">
        <f>BF4*(BF11/BG9-1)</f>
        <v>3.2453822916666657</v>
      </c>
      <c r="BG14" s="358">
        <f t="shared" ref="BG14:CA14" si="14">BG4*(BG11/BH9-1)</f>
        <v>3.2453822916666657</v>
      </c>
      <c r="BH14" s="358">
        <f t="shared" si="14"/>
        <v>3.2453822916666657</v>
      </c>
      <c r="BI14" s="358">
        <f t="shared" si="14"/>
        <v>3.2453822916666657</v>
      </c>
      <c r="BJ14" s="358">
        <f t="shared" si="14"/>
        <v>3.2453822916666657</v>
      </c>
      <c r="BK14" s="358">
        <f t="shared" si="14"/>
        <v>3.2453822916666657</v>
      </c>
      <c r="BL14" s="358">
        <f t="shared" si="14"/>
        <v>3.2453822916666657</v>
      </c>
      <c r="BM14" s="358">
        <f t="shared" si="14"/>
        <v>3.2453822916666657</v>
      </c>
      <c r="BN14" s="358">
        <f t="shared" si="14"/>
        <v>3.2453822916666657</v>
      </c>
      <c r="BO14" s="358">
        <f t="shared" si="14"/>
        <v>3.2453822916666657</v>
      </c>
      <c r="BP14" s="358">
        <f t="shared" si="14"/>
        <v>3.2453822916666657</v>
      </c>
      <c r="BQ14" s="358">
        <f t="shared" si="14"/>
        <v>3.2453822916666657</v>
      </c>
      <c r="BR14" s="358">
        <f t="shared" si="14"/>
        <v>3.2453822916666657</v>
      </c>
      <c r="BS14" s="358">
        <f t="shared" si="14"/>
        <v>3.2453822916666657</v>
      </c>
      <c r="BT14" s="358">
        <f>BT4*(BT11/BW9-1)</f>
        <v>3.2453822916666657</v>
      </c>
      <c r="BU14" s="358">
        <f>BU4*(BU11/BX9-1)</f>
        <v>3.2453822916666657</v>
      </c>
      <c r="BV14" s="358">
        <f>BV4*(BV11/BY9-1)</f>
        <v>3.2453822916666657</v>
      </c>
      <c r="BW14" s="358">
        <f t="shared" si="14"/>
        <v>3.2453822916666657</v>
      </c>
      <c r="BX14" s="358">
        <f t="shared" si="14"/>
        <v>3.2453822916666657</v>
      </c>
      <c r="BY14" s="358">
        <f t="shared" si="14"/>
        <v>3.2453822916666657</v>
      </c>
      <c r="BZ14" s="358">
        <f t="shared" si="14"/>
        <v>3.2453822916666657</v>
      </c>
      <c r="CA14" s="358">
        <f t="shared" si="14"/>
        <v>3.2453822916666657</v>
      </c>
      <c r="CB14" s="357" t="s">
        <v>116</v>
      </c>
      <c r="CC14" s="354" t="s">
        <v>27</v>
      </c>
      <c r="CD14" s="91" t="s">
        <v>28</v>
      </c>
    </row>
    <row r="15" spans="1:82" ht="15.95" customHeight="1">
      <c r="A15" s="10"/>
      <c r="B15" s="361" t="s">
        <v>617</v>
      </c>
      <c r="C15" s="34">
        <f>C13*C6*1000/3600</f>
        <v>9.9245189814814779E-3</v>
      </c>
      <c r="D15" s="360">
        <f t="shared" ref="D15:T15" si="15">D13*D6*1000/3600</f>
        <v>9.9245189814814779E-3</v>
      </c>
      <c r="E15" s="360">
        <f t="shared" si="15"/>
        <v>9.9245189814814779E-3</v>
      </c>
      <c r="F15" s="360">
        <f t="shared" si="15"/>
        <v>9.9245189814814779E-3</v>
      </c>
      <c r="G15" s="360">
        <f t="shared" si="15"/>
        <v>9.9245189814814779E-3</v>
      </c>
      <c r="H15" s="360">
        <f t="shared" si="15"/>
        <v>9.9245189814814779E-3</v>
      </c>
      <c r="I15" s="360">
        <f t="shared" si="15"/>
        <v>9.9245189814814779E-3</v>
      </c>
      <c r="J15" s="360">
        <f t="shared" si="15"/>
        <v>9.9245189814814779E-3</v>
      </c>
      <c r="K15" s="360">
        <f t="shared" si="15"/>
        <v>9.9245189814814779E-3</v>
      </c>
      <c r="L15" s="360">
        <f t="shared" si="15"/>
        <v>9.9245189814814779E-3</v>
      </c>
      <c r="M15" s="360">
        <f t="shared" si="15"/>
        <v>9.9245189814814779E-3</v>
      </c>
      <c r="N15" s="360">
        <f t="shared" si="15"/>
        <v>9.9245189814814779E-3</v>
      </c>
      <c r="O15" s="360">
        <f t="shared" si="15"/>
        <v>9.9245189814814779E-3</v>
      </c>
      <c r="P15" s="360">
        <f t="shared" si="15"/>
        <v>9.9245189814814779E-3</v>
      </c>
      <c r="Q15" s="360">
        <f t="shared" si="15"/>
        <v>9.9245189814814779E-3</v>
      </c>
      <c r="R15" s="360">
        <f t="shared" si="15"/>
        <v>9.9245189814814779E-3</v>
      </c>
      <c r="S15" s="360">
        <f t="shared" si="15"/>
        <v>9.9245189814814779E-3</v>
      </c>
      <c r="T15" s="360">
        <f t="shared" si="15"/>
        <v>9.9245189814814779E-3</v>
      </c>
      <c r="U15" s="360">
        <f>U14*U6*1000/3600</f>
        <v>1.4063323263888886E-2</v>
      </c>
      <c r="V15" s="360">
        <f t="shared" ref="V15:AS15" si="16">V14*V6*1000/3600</f>
        <v>1.4063323263888886E-2</v>
      </c>
      <c r="W15" s="360">
        <f t="shared" si="16"/>
        <v>1.4063323263888886E-2</v>
      </c>
      <c r="X15" s="360">
        <f t="shared" si="16"/>
        <v>1.4063323263888886E-2</v>
      </c>
      <c r="Y15" s="360">
        <f t="shared" si="16"/>
        <v>1.4063323263888886E-2</v>
      </c>
      <c r="Z15" s="360">
        <f t="shared" si="16"/>
        <v>1.4063323263888886E-2</v>
      </c>
      <c r="AA15" s="360">
        <f t="shared" si="16"/>
        <v>1.4063323263888886E-2</v>
      </c>
      <c r="AB15" s="360">
        <f t="shared" si="16"/>
        <v>1.4063323263888886E-2</v>
      </c>
      <c r="AC15" s="360">
        <f t="shared" si="16"/>
        <v>1.4063323263888886E-2</v>
      </c>
      <c r="AD15" s="360">
        <f t="shared" si="16"/>
        <v>1.4063323263888886E-2</v>
      </c>
      <c r="AE15" s="360">
        <f t="shared" si="16"/>
        <v>1.4063323263888886E-2</v>
      </c>
      <c r="AF15" s="360">
        <f t="shared" si="16"/>
        <v>1.4063323263888886E-2</v>
      </c>
      <c r="AG15" s="360">
        <f t="shared" si="16"/>
        <v>1.4063323263888886E-2</v>
      </c>
      <c r="AH15" s="360">
        <f t="shared" si="16"/>
        <v>1.4063323263888886E-2</v>
      </c>
      <c r="AI15" s="360">
        <f t="shared" si="16"/>
        <v>1.4063323263888886E-2</v>
      </c>
      <c r="AJ15" s="360">
        <f t="shared" si="16"/>
        <v>1.4063323263888886E-2</v>
      </c>
      <c r="AK15" s="360">
        <f t="shared" si="16"/>
        <v>1.4063323263888886E-2</v>
      </c>
      <c r="AL15" s="360">
        <f t="shared" si="16"/>
        <v>1.4063323263888886E-2</v>
      </c>
      <c r="AM15" s="360">
        <f t="shared" si="16"/>
        <v>1.4063323263888886E-2</v>
      </c>
      <c r="AN15" s="360">
        <f t="shared" si="16"/>
        <v>1.4063323263888886E-2</v>
      </c>
      <c r="AO15" s="360">
        <f t="shared" si="16"/>
        <v>1.4063323263888886E-2</v>
      </c>
      <c r="AP15" s="360">
        <f t="shared" si="16"/>
        <v>1.4063323263888886E-2</v>
      </c>
      <c r="AQ15" s="360">
        <f t="shared" si="16"/>
        <v>1.4063323263888886E-2</v>
      </c>
      <c r="AR15" s="360">
        <f t="shared" si="16"/>
        <v>1.4063323263888886E-2</v>
      </c>
      <c r="AS15" s="360">
        <f t="shared" si="16"/>
        <v>1.4063323263888886E-2</v>
      </c>
      <c r="AT15" s="360">
        <f>AT13*AT6*1000/3600</f>
        <v>9.9245189814814779E-3</v>
      </c>
      <c r="AU15" s="360">
        <f t="shared" ref="AU15:BE15" si="17">AU13*AU6*1000/3600</f>
        <v>9.9245189814814779E-3</v>
      </c>
      <c r="AV15" s="360">
        <f t="shared" si="17"/>
        <v>9.9245189814814779E-3</v>
      </c>
      <c r="AW15" s="360">
        <f t="shared" si="17"/>
        <v>9.9245189814814779E-3</v>
      </c>
      <c r="AX15" s="360">
        <f t="shared" si="17"/>
        <v>9.9245189814814779E-3</v>
      </c>
      <c r="AY15" s="360">
        <f t="shared" si="17"/>
        <v>9.9245189814814779E-3</v>
      </c>
      <c r="AZ15" s="360">
        <f t="shared" si="17"/>
        <v>9.9245189814814779E-3</v>
      </c>
      <c r="BA15" s="360">
        <f t="shared" si="17"/>
        <v>9.9245189814814779E-3</v>
      </c>
      <c r="BB15" s="360">
        <f t="shared" si="17"/>
        <v>9.9245189814814779E-3</v>
      </c>
      <c r="BC15" s="360">
        <f t="shared" si="17"/>
        <v>9.9245189814814779E-3</v>
      </c>
      <c r="BD15" s="360">
        <f t="shared" si="17"/>
        <v>9.9245189814814779E-3</v>
      </c>
      <c r="BE15" s="360">
        <f t="shared" si="17"/>
        <v>9.9245189814814779E-3</v>
      </c>
      <c r="BF15" s="360">
        <f>BF14*BF6*1000/3600</f>
        <v>1.4063323263888886E-2</v>
      </c>
      <c r="BG15" s="360">
        <f t="shared" ref="BG15:CA15" si="18">BG14*BG6*1000/3600</f>
        <v>1.4063323263888886E-2</v>
      </c>
      <c r="BH15" s="360">
        <f t="shared" si="18"/>
        <v>1.4063323263888886E-2</v>
      </c>
      <c r="BI15" s="360">
        <f t="shared" si="18"/>
        <v>1.4063323263888886E-2</v>
      </c>
      <c r="BJ15" s="360">
        <f t="shared" si="18"/>
        <v>1.4063323263888886E-2</v>
      </c>
      <c r="BK15" s="360">
        <f t="shared" si="18"/>
        <v>1.4063323263888886E-2</v>
      </c>
      <c r="BL15" s="360">
        <f t="shared" si="18"/>
        <v>1.4063323263888886E-2</v>
      </c>
      <c r="BM15" s="360">
        <f t="shared" si="18"/>
        <v>1.4063323263888886E-2</v>
      </c>
      <c r="BN15" s="360">
        <f t="shared" si="18"/>
        <v>1.4063323263888886E-2</v>
      </c>
      <c r="BO15" s="360">
        <f t="shared" si="18"/>
        <v>1.4063323263888886E-2</v>
      </c>
      <c r="BP15" s="360">
        <f t="shared" si="18"/>
        <v>1.4063323263888886E-2</v>
      </c>
      <c r="BQ15" s="360">
        <f t="shared" si="18"/>
        <v>1.4063323263888886E-2</v>
      </c>
      <c r="BR15" s="360">
        <f t="shared" si="18"/>
        <v>1.4063323263888886E-2</v>
      </c>
      <c r="BS15" s="360">
        <f t="shared" si="18"/>
        <v>1.4063323263888886E-2</v>
      </c>
      <c r="BT15" s="360">
        <f t="shared" si="18"/>
        <v>1.4063323263888886E-2</v>
      </c>
      <c r="BU15" s="360">
        <f t="shared" si="18"/>
        <v>1.4063323263888886E-2</v>
      </c>
      <c r="BV15" s="360">
        <f t="shared" si="18"/>
        <v>1.4063323263888886E-2</v>
      </c>
      <c r="BW15" s="360">
        <f t="shared" si="18"/>
        <v>1.4063323263888886E-2</v>
      </c>
      <c r="BX15" s="360">
        <f t="shared" si="18"/>
        <v>1.4063323263888886E-2</v>
      </c>
      <c r="BY15" s="360">
        <f t="shared" si="18"/>
        <v>1.4063323263888886E-2</v>
      </c>
      <c r="BZ15" s="360">
        <f t="shared" si="18"/>
        <v>1.4063323263888886E-2</v>
      </c>
      <c r="CA15" s="360">
        <f t="shared" si="18"/>
        <v>1.4063323263888886E-2</v>
      </c>
      <c r="CB15" s="217">
        <f>CB13*CB6*1000/3600</f>
        <v>9.9245189814814779E-3</v>
      </c>
      <c r="CC15" s="217"/>
      <c r="CD15" s="359"/>
    </row>
    <row r="16" spans="1:82">
      <c r="A16" s="10"/>
      <c r="B16" s="249"/>
      <c r="C16" s="249"/>
      <c r="G16" s="26"/>
      <c r="H16" s="26"/>
      <c r="I16" s="26"/>
      <c r="J16" s="280"/>
      <c r="K16" s="25"/>
      <c r="L16" s="25"/>
    </row>
    <row r="17" spans="1:80" ht="15.75" thickBot="1">
      <c r="A17" s="10"/>
      <c r="U17" s="249"/>
    </row>
    <row r="18" spans="1:80" ht="84">
      <c r="A18" s="10"/>
      <c r="B18" s="90" t="s">
        <v>35</v>
      </c>
      <c r="C18" s="90" t="s">
        <v>43</v>
      </c>
      <c r="D18" s="90" t="s">
        <v>32</v>
      </c>
      <c r="E18" s="90" t="s">
        <v>171</v>
      </c>
      <c r="F18" s="90" t="s">
        <v>172</v>
      </c>
      <c r="G18" s="90" t="s">
        <v>33</v>
      </c>
      <c r="H18" s="90" t="s">
        <v>36</v>
      </c>
      <c r="I18" s="90" t="s">
        <v>34</v>
      </c>
      <c r="J18" s="286" t="s">
        <v>37</v>
      </c>
      <c r="U18" s="249"/>
    </row>
    <row r="19" spans="1:80">
      <c r="A19" s="10"/>
      <c r="B19" s="59" t="s">
        <v>56</v>
      </c>
      <c r="C19" s="60">
        <v>1</v>
      </c>
      <c r="D19" s="61">
        <v>134</v>
      </c>
      <c r="E19" s="99">
        <v>44568</v>
      </c>
      <c r="F19" s="62">
        <v>44568</v>
      </c>
      <c r="G19" s="62">
        <f t="shared" ref="G19:G29" si="19">F19</f>
        <v>44568</v>
      </c>
      <c r="H19" s="62">
        <v>44895</v>
      </c>
      <c r="I19" s="63">
        <f>(H19-G19+1)/365</f>
        <v>0.89863013698630134</v>
      </c>
      <c r="J19" s="290">
        <f>D19*I19*C13*C6*C5*(C7+C8)*C12</f>
        <v>531.23917612544074</v>
      </c>
    </row>
    <row r="20" spans="1:80">
      <c r="A20" s="10"/>
      <c r="B20" s="59" t="s">
        <v>56</v>
      </c>
      <c r="C20" s="60">
        <v>1</v>
      </c>
      <c r="D20" s="61">
        <v>9370</v>
      </c>
      <c r="E20" s="99">
        <v>44669</v>
      </c>
      <c r="F20" s="62">
        <v>44680</v>
      </c>
      <c r="G20" s="62">
        <f t="shared" si="19"/>
        <v>44680</v>
      </c>
      <c r="H20" s="62">
        <f>H19</f>
        <v>44895</v>
      </c>
      <c r="I20" s="63">
        <f t="shared" ref="I20:I25" si="20">(H20-G20+1)/365</f>
        <v>0.59178082191780823</v>
      </c>
      <c r="J20" s="290">
        <f>D20*I20*C13*C6*C5*(C7+C8)*C12</f>
        <v>24462.722819070852</v>
      </c>
      <c r="O20" s="313"/>
    </row>
    <row r="21" spans="1:80">
      <c r="A21" s="10"/>
      <c r="B21" s="59" t="s">
        <v>56</v>
      </c>
      <c r="C21" s="60">
        <v>1</v>
      </c>
      <c r="D21" s="61">
        <v>496</v>
      </c>
      <c r="E21" s="99">
        <v>44685</v>
      </c>
      <c r="F21" s="62">
        <v>44687</v>
      </c>
      <c r="G21" s="62">
        <f t="shared" si="19"/>
        <v>44687</v>
      </c>
      <c r="H21" s="62">
        <f>H20</f>
        <v>44895</v>
      </c>
      <c r="I21" s="63">
        <f t="shared" si="20"/>
        <v>0.57260273972602738</v>
      </c>
      <c r="J21" s="290">
        <f>D21*I21*C5*C6*(C7+C8)*C12*C13</f>
        <v>1252.9663713566547</v>
      </c>
      <c r="N21" s="312"/>
    </row>
    <row r="22" spans="1:80">
      <c r="A22" s="10"/>
      <c r="B22" s="57" t="s">
        <v>57</v>
      </c>
      <c r="C22" s="50">
        <v>1</v>
      </c>
      <c r="D22" s="58">
        <f>90+1110+300</f>
        <v>1500</v>
      </c>
      <c r="E22" s="51">
        <v>44664</v>
      </c>
      <c r="F22" s="51">
        <v>44680</v>
      </c>
      <c r="G22" s="51">
        <f t="shared" si="19"/>
        <v>44680</v>
      </c>
      <c r="H22" s="51">
        <f>H19</f>
        <v>44895</v>
      </c>
      <c r="I22" s="52">
        <f t="shared" si="20"/>
        <v>0.59178082191780823</v>
      </c>
      <c r="J22" s="291">
        <f>D22*I22*D5*D6*(D7+D8)*D12*D13</f>
        <v>3916.1242506516833</v>
      </c>
    </row>
    <row r="23" spans="1:80">
      <c r="A23" s="10"/>
      <c r="B23" s="57" t="s">
        <v>57</v>
      </c>
      <c r="C23" s="50">
        <v>1</v>
      </c>
      <c r="D23" s="58">
        <f>1000+2000+2000+3500</f>
        <v>8500</v>
      </c>
      <c r="E23" s="51">
        <v>44774</v>
      </c>
      <c r="F23" s="51">
        <v>44782</v>
      </c>
      <c r="G23" s="51">
        <f t="shared" si="19"/>
        <v>44782</v>
      </c>
      <c r="H23" s="51">
        <f>H22</f>
        <v>44895</v>
      </c>
      <c r="I23" s="52">
        <f t="shared" si="20"/>
        <v>0.31232876712328766</v>
      </c>
      <c r="J23" s="291">
        <f>D23*I23*D5*D6*(D7+D8)*D12*D13</f>
        <v>11712.112342226794</v>
      </c>
    </row>
    <row r="24" spans="1:80">
      <c r="A24" s="10"/>
      <c r="B24" s="64" t="s">
        <v>58</v>
      </c>
      <c r="C24" s="55">
        <v>1</v>
      </c>
      <c r="D24" s="66">
        <f>2100+4070+2200+1630</f>
        <v>10000</v>
      </c>
      <c r="E24" s="56">
        <v>44774</v>
      </c>
      <c r="F24" s="56">
        <v>44781</v>
      </c>
      <c r="G24" s="56">
        <f t="shared" si="19"/>
        <v>44781</v>
      </c>
      <c r="H24" s="56">
        <f>H23</f>
        <v>44895</v>
      </c>
      <c r="I24" s="65">
        <f t="shared" si="20"/>
        <v>0.31506849315068491</v>
      </c>
      <c r="J24" s="292">
        <f>I24*E5*E6*(E7+E8)*E12*E13*D24</f>
        <v>13899.823729164929</v>
      </c>
    </row>
    <row r="25" spans="1:80">
      <c r="A25" s="10"/>
      <c r="B25" s="302" t="s">
        <v>173</v>
      </c>
      <c r="C25" s="303">
        <v>1</v>
      </c>
      <c r="D25" s="304">
        <v>5000</v>
      </c>
      <c r="E25" s="305">
        <v>44848</v>
      </c>
      <c r="F25" s="305">
        <v>44850</v>
      </c>
      <c r="G25" s="305">
        <f t="shared" si="19"/>
        <v>44850</v>
      </c>
      <c r="H25" s="305">
        <f>H24</f>
        <v>44895</v>
      </c>
      <c r="I25" s="306">
        <f t="shared" si="20"/>
        <v>0.12602739726027398</v>
      </c>
      <c r="J25" s="307">
        <f>D25*I25*F5*F6*(F7+F8)*F12*F13</f>
        <v>2779.9647458329855</v>
      </c>
    </row>
    <row r="26" spans="1:80">
      <c r="B26" s="68" t="s">
        <v>59</v>
      </c>
      <c r="C26" s="69">
        <v>1</v>
      </c>
      <c r="D26" s="70">
        <f>900+5277+1928+1195+700</f>
        <v>10000</v>
      </c>
      <c r="E26" s="71">
        <v>44668</v>
      </c>
      <c r="F26" s="95">
        <v>44673</v>
      </c>
      <c r="G26" s="71">
        <f t="shared" si="19"/>
        <v>44673</v>
      </c>
      <c r="H26" s="71">
        <f>H24</f>
        <v>44895</v>
      </c>
      <c r="I26" s="67">
        <f t="shared" ref="I26:I103" si="21">(H26-G26+1)/365</f>
        <v>0.61095890410958908</v>
      </c>
      <c r="J26" s="293">
        <f>D26*I26*G5*G6*(G7+G8)*G12*G13</f>
        <v>26953.57123133721</v>
      </c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49"/>
      <c r="Y26" s="49"/>
      <c r="Z26" s="49"/>
      <c r="AA26" s="49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49"/>
      <c r="AP26" s="49"/>
      <c r="AQ26" s="49"/>
      <c r="AR26" s="49"/>
      <c r="AS26" s="49"/>
      <c r="AT26" s="49"/>
      <c r="AU26" s="49"/>
      <c r="AV26" s="49"/>
      <c r="AW26" s="49"/>
      <c r="AX26" s="49"/>
      <c r="AY26" s="49"/>
      <c r="AZ26" s="49"/>
      <c r="BA26" s="49"/>
      <c r="BB26" s="49"/>
      <c r="BC26" s="49"/>
      <c r="BD26" s="49"/>
      <c r="BE26" s="49"/>
      <c r="BF26" s="49"/>
      <c r="BG26" s="49"/>
      <c r="BH26" s="49"/>
      <c r="BI26" s="49"/>
      <c r="BJ26" s="49"/>
      <c r="BK26" s="49"/>
      <c r="BL26" s="49"/>
      <c r="BM26" s="49"/>
      <c r="BN26" s="49"/>
      <c r="BO26" s="49"/>
      <c r="BP26" s="49"/>
      <c r="BQ26" s="49"/>
      <c r="BR26" s="49"/>
      <c r="BS26" s="49"/>
      <c r="BT26" s="49"/>
      <c r="BU26" s="49"/>
      <c r="BV26" s="49"/>
      <c r="BW26" s="49"/>
      <c r="BX26" s="49"/>
      <c r="BY26" s="49"/>
      <c r="BZ26" s="49"/>
      <c r="CA26" s="49"/>
      <c r="CB26" s="49"/>
    </row>
    <row r="27" spans="1:80">
      <c r="B27" s="77" t="s">
        <v>60</v>
      </c>
      <c r="C27" s="77">
        <v>1</v>
      </c>
      <c r="D27" s="78">
        <v>720</v>
      </c>
      <c r="E27" s="79">
        <v>44671</v>
      </c>
      <c r="F27" s="79">
        <v>44671</v>
      </c>
      <c r="G27" s="79">
        <f t="shared" si="19"/>
        <v>44671</v>
      </c>
      <c r="H27" s="79">
        <f t="shared" ref="H27:H32" si="22">H26</f>
        <v>44895</v>
      </c>
      <c r="I27" s="80">
        <f t="shared" si="21"/>
        <v>0.61643835616438358</v>
      </c>
      <c r="J27" s="294">
        <f>D27*I27*H5*H6*(H7+H8)*H12*H13</f>
        <v>1958.0621253258416</v>
      </c>
      <c r="AA27" s="53"/>
      <c r="AB27" s="53"/>
      <c r="AC27" s="53"/>
      <c r="AD27" s="53"/>
      <c r="AE27" s="53"/>
      <c r="AF27" s="53"/>
      <c r="AG27" s="53"/>
      <c r="AH27" s="53"/>
      <c r="AI27" s="53"/>
      <c r="AJ27" s="53"/>
      <c r="AK27" s="53"/>
      <c r="AL27" s="53"/>
      <c r="AM27" s="53"/>
      <c r="AN27" s="53"/>
      <c r="AO27" s="53"/>
      <c r="AP27" s="53"/>
      <c r="AQ27" s="53"/>
      <c r="AR27" s="53"/>
      <c r="AS27" s="53"/>
      <c r="AT27" s="53"/>
      <c r="AU27" s="53"/>
      <c r="AV27" s="53"/>
      <c r="AW27" s="53"/>
      <c r="AX27" s="53"/>
      <c r="AY27" s="53"/>
      <c r="AZ27" s="53"/>
      <c r="BA27" s="53"/>
      <c r="BB27" s="53"/>
      <c r="BC27" s="53"/>
      <c r="BD27" s="53"/>
      <c r="BE27" s="53"/>
      <c r="BF27" s="53"/>
      <c r="BG27" s="53"/>
      <c r="BH27" s="53"/>
      <c r="BI27" s="53"/>
      <c r="BJ27" s="53"/>
      <c r="BK27" s="53"/>
      <c r="BL27" s="53"/>
      <c r="BM27" s="53"/>
      <c r="BN27" s="53"/>
      <c r="BO27" s="53"/>
      <c r="BP27" s="53"/>
      <c r="BQ27" s="53"/>
      <c r="BR27" s="53"/>
      <c r="BS27" s="53"/>
      <c r="BT27" s="53"/>
      <c r="BU27" s="53"/>
      <c r="BV27" s="53"/>
      <c r="BW27" s="53"/>
      <c r="BX27" s="53"/>
      <c r="BY27" s="53"/>
      <c r="BZ27" s="53"/>
      <c r="CA27" s="53"/>
      <c r="CB27" s="53"/>
    </row>
    <row r="28" spans="1:80">
      <c r="B28" s="77" t="s">
        <v>60</v>
      </c>
      <c r="C28" s="77">
        <v>1</v>
      </c>
      <c r="D28" s="78">
        <f>1720+1050+840+1600</f>
        <v>5210</v>
      </c>
      <c r="E28" s="79">
        <v>44703</v>
      </c>
      <c r="F28" s="79">
        <v>44706</v>
      </c>
      <c r="G28" s="79">
        <f t="shared" si="19"/>
        <v>44706</v>
      </c>
      <c r="H28" s="79">
        <f t="shared" si="22"/>
        <v>44895</v>
      </c>
      <c r="I28" s="80">
        <f t="shared" si="21"/>
        <v>0.52054794520547942</v>
      </c>
      <c r="J28" s="294">
        <f>D28*I28*H5*H6*(H7+H8)*H12*H13</f>
        <v>11964.726530000313</v>
      </c>
      <c r="AA28" s="53"/>
      <c r="AB28" s="53"/>
      <c r="AC28" s="53"/>
      <c r="AD28" s="53"/>
      <c r="AE28" s="53"/>
      <c r="AF28" s="53"/>
      <c r="AG28" s="53"/>
      <c r="AH28" s="53"/>
      <c r="AI28" s="53"/>
      <c r="AJ28" s="53"/>
      <c r="AK28" s="53"/>
      <c r="AL28" s="53"/>
      <c r="AM28" s="53"/>
      <c r="AN28" s="53"/>
      <c r="AO28" s="53"/>
      <c r="AP28" s="53"/>
      <c r="AQ28" s="53"/>
      <c r="AR28" s="53"/>
      <c r="AS28" s="53"/>
      <c r="AT28" s="53"/>
      <c r="AU28" s="53"/>
      <c r="AV28" s="53"/>
      <c r="AW28" s="53"/>
      <c r="AX28" s="53"/>
      <c r="AY28" s="53"/>
      <c r="AZ28" s="53"/>
      <c r="BA28" s="53"/>
      <c r="BB28" s="53"/>
      <c r="BC28" s="53"/>
      <c r="BD28" s="53"/>
      <c r="BE28" s="53"/>
      <c r="BF28" s="53"/>
      <c r="BG28" s="53"/>
      <c r="BH28" s="53"/>
      <c r="BI28" s="53"/>
      <c r="BJ28" s="53"/>
      <c r="BK28" s="53"/>
      <c r="BL28" s="53"/>
      <c r="BM28" s="53"/>
      <c r="BN28" s="53"/>
      <c r="BO28" s="53"/>
      <c r="BP28" s="53"/>
      <c r="BQ28" s="53"/>
      <c r="BR28" s="53"/>
      <c r="BS28" s="53"/>
      <c r="BT28" s="53"/>
      <c r="BU28" s="53"/>
      <c r="BV28" s="53"/>
      <c r="BW28" s="53"/>
      <c r="BX28" s="53"/>
      <c r="BY28" s="53"/>
      <c r="BZ28" s="53"/>
      <c r="CA28" s="53"/>
      <c r="CB28" s="53"/>
    </row>
    <row r="29" spans="1:80">
      <c r="B29" s="77" t="s">
        <v>60</v>
      </c>
      <c r="C29" s="77">
        <v>1</v>
      </c>
      <c r="D29" s="78">
        <v>4070</v>
      </c>
      <c r="E29" s="79">
        <v>44724</v>
      </c>
      <c r="F29" s="79">
        <v>44724</v>
      </c>
      <c r="G29" s="79">
        <f t="shared" si="19"/>
        <v>44724</v>
      </c>
      <c r="H29" s="79">
        <f t="shared" si="22"/>
        <v>44895</v>
      </c>
      <c r="I29" s="80">
        <f t="shared" si="21"/>
        <v>0.47123287671232877</v>
      </c>
      <c r="J29" s="294">
        <f>D29*I29*H5*H6*(H7+H8)*H12*H13</f>
        <v>8461.2457420561877</v>
      </c>
      <c r="AA29" s="53"/>
      <c r="AB29" s="53"/>
      <c r="AC29" s="53"/>
      <c r="AD29" s="53"/>
      <c r="AE29" s="53"/>
      <c r="AF29" s="53"/>
      <c r="AG29" s="53"/>
      <c r="AH29" s="53"/>
      <c r="AI29" s="53"/>
      <c r="AJ29" s="53"/>
      <c r="AK29" s="53"/>
      <c r="AL29" s="53"/>
      <c r="AM29" s="53"/>
      <c r="AN29" s="53"/>
      <c r="AO29" s="53"/>
      <c r="AP29" s="53"/>
      <c r="AQ29" s="53"/>
      <c r="AR29" s="53"/>
      <c r="AS29" s="53"/>
      <c r="AT29" s="53"/>
      <c r="AU29" s="53"/>
      <c r="AV29" s="53"/>
      <c r="AW29" s="53"/>
      <c r="AX29" s="53"/>
      <c r="AY29" s="53"/>
      <c r="AZ29" s="53"/>
      <c r="BA29" s="53"/>
      <c r="BB29" s="53"/>
      <c r="BC29" s="53"/>
      <c r="BD29" s="53"/>
      <c r="BE29" s="53"/>
      <c r="BF29" s="53"/>
      <c r="BG29" s="53"/>
      <c r="BH29" s="53"/>
      <c r="BI29" s="53"/>
      <c r="BJ29" s="53"/>
      <c r="BK29" s="53"/>
      <c r="BL29" s="53"/>
      <c r="BM29" s="53"/>
      <c r="BN29" s="53"/>
      <c r="BO29" s="53"/>
      <c r="BP29" s="53"/>
      <c r="BQ29" s="53"/>
      <c r="BR29" s="53"/>
      <c r="BS29" s="53"/>
      <c r="BT29" s="53"/>
      <c r="BU29" s="53"/>
      <c r="BV29" s="53"/>
      <c r="BW29" s="53"/>
      <c r="BX29" s="53"/>
      <c r="BY29" s="53"/>
      <c r="BZ29" s="53"/>
      <c r="CA29" s="53"/>
      <c r="CB29" s="53"/>
    </row>
    <row r="30" spans="1:80">
      <c r="B30" s="96" t="s">
        <v>61</v>
      </c>
      <c r="C30" s="96">
        <v>1</v>
      </c>
      <c r="D30" s="97">
        <f>930+5298</f>
        <v>6228</v>
      </c>
      <c r="E30" s="98">
        <v>44724</v>
      </c>
      <c r="F30" s="98">
        <v>44732</v>
      </c>
      <c r="G30" s="98">
        <f t="shared" ref="G30:G114" si="23">F30</f>
        <v>44732</v>
      </c>
      <c r="H30" s="98">
        <f t="shared" si="22"/>
        <v>44895</v>
      </c>
      <c r="I30" s="189">
        <f t="shared" si="21"/>
        <v>0.44931506849315067</v>
      </c>
      <c r="J30" s="115">
        <f>D30*I30*I5*I6*(I7+I8)*I12*I13</f>
        <v>12345.364137721064</v>
      </c>
      <c r="AA30" s="53"/>
      <c r="AB30" s="53"/>
      <c r="AC30" s="53"/>
      <c r="AD30" s="53"/>
      <c r="AE30" s="53"/>
      <c r="AF30" s="53"/>
      <c r="AG30" s="53"/>
      <c r="AH30" s="53"/>
      <c r="AI30" s="53"/>
      <c r="AJ30" s="53"/>
      <c r="AK30" s="53"/>
      <c r="AL30" s="53"/>
      <c r="AM30" s="53"/>
      <c r="AN30" s="53"/>
      <c r="AO30" s="53"/>
      <c r="AP30" s="53"/>
      <c r="AQ30" s="53"/>
      <c r="AR30" s="53"/>
      <c r="AS30" s="53"/>
      <c r="AT30" s="53"/>
      <c r="AU30" s="53"/>
      <c r="AV30" s="53"/>
      <c r="AW30" s="53"/>
      <c r="AX30" s="53"/>
      <c r="AY30" s="53"/>
      <c r="AZ30" s="53"/>
      <c r="BA30" s="53"/>
      <c r="BB30" s="53"/>
      <c r="BC30" s="53"/>
      <c r="BD30" s="53"/>
      <c r="BE30" s="53"/>
      <c r="BF30" s="53"/>
      <c r="BG30" s="53"/>
      <c r="BH30" s="53"/>
      <c r="BI30" s="53"/>
      <c r="BJ30" s="53"/>
      <c r="BK30" s="53"/>
      <c r="BL30" s="53"/>
      <c r="BM30" s="53"/>
      <c r="BN30" s="53"/>
      <c r="BO30" s="53"/>
      <c r="BP30" s="53"/>
      <c r="BQ30" s="53"/>
      <c r="BR30" s="53"/>
      <c r="BS30" s="53"/>
      <c r="BT30" s="53"/>
      <c r="BU30" s="53"/>
      <c r="BV30" s="53"/>
      <c r="BW30" s="53"/>
      <c r="BX30" s="53"/>
      <c r="BY30" s="53"/>
      <c r="BZ30" s="53"/>
      <c r="CA30" s="53"/>
      <c r="CB30" s="53"/>
    </row>
    <row r="31" spans="1:80">
      <c r="B31" s="96" t="s">
        <v>61</v>
      </c>
      <c r="C31" s="96">
        <v>1</v>
      </c>
      <c r="D31" s="97">
        <v>3772</v>
      </c>
      <c r="E31" s="98">
        <v>44881</v>
      </c>
      <c r="F31" s="98">
        <v>44884</v>
      </c>
      <c r="G31" s="98">
        <f t="shared" si="23"/>
        <v>44884</v>
      </c>
      <c r="H31" s="98">
        <f t="shared" si="22"/>
        <v>44895</v>
      </c>
      <c r="I31" s="189">
        <f t="shared" si="21"/>
        <v>3.287671232876712E-2</v>
      </c>
      <c r="J31" s="115">
        <f>D31*I31*I5*I6*(I7+I8)*I12*I13</f>
        <v>547.09706197993148</v>
      </c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3"/>
      <c r="AL31" s="53"/>
      <c r="AM31" s="53"/>
      <c r="AN31" s="53"/>
      <c r="AO31" s="53"/>
      <c r="AP31" s="53"/>
      <c r="AQ31" s="53"/>
      <c r="AR31" s="53"/>
      <c r="AS31" s="53"/>
      <c r="AT31" s="53"/>
      <c r="AU31" s="53"/>
      <c r="AV31" s="53"/>
      <c r="AW31" s="53"/>
      <c r="AX31" s="53"/>
      <c r="AY31" s="53"/>
      <c r="AZ31" s="53"/>
      <c r="BA31" s="53"/>
      <c r="BB31" s="53"/>
      <c r="BC31" s="53"/>
      <c r="BD31" s="53"/>
      <c r="BE31" s="53"/>
      <c r="BF31" s="53"/>
      <c r="BG31" s="53"/>
      <c r="BH31" s="53"/>
      <c r="BI31" s="53"/>
      <c r="BJ31" s="53"/>
      <c r="BK31" s="53"/>
      <c r="BL31" s="53"/>
      <c r="BM31" s="53"/>
      <c r="BN31" s="53"/>
      <c r="BO31" s="53"/>
      <c r="BP31" s="53"/>
      <c r="BQ31" s="53"/>
      <c r="BR31" s="53"/>
      <c r="BS31" s="53"/>
      <c r="BT31" s="53"/>
      <c r="BU31" s="53"/>
      <c r="BV31" s="53"/>
      <c r="BW31" s="53"/>
      <c r="BX31" s="53"/>
      <c r="BY31" s="53"/>
      <c r="BZ31" s="53"/>
      <c r="CA31" s="53"/>
      <c r="CB31" s="53"/>
    </row>
    <row r="32" spans="1:80">
      <c r="B32" s="142" t="s">
        <v>156</v>
      </c>
      <c r="C32" s="142">
        <v>1</v>
      </c>
      <c r="D32" s="251">
        <v>4000</v>
      </c>
      <c r="E32" s="144">
        <v>44879</v>
      </c>
      <c r="F32" s="144">
        <v>44881</v>
      </c>
      <c r="G32" s="144">
        <f t="shared" si="23"/>
        <v>44881</v>
      </c>
      <c r="H32" s="144">
        <f t="shared" si="22"/>
        <v>44895</v>
      </c>
      <c r="I32" s="203">
        <f t="shared" si="21"/>
        <v>4.1095890410958902E-2</v>
      </c>
      <c r="J32" s="162">
        <f>D32*I32*J5*J6*(J7+J8)*J12*J13</f>
        <v>725.20819456512663</v>
      </c>
      <c r="AA32" s="53"/>
      <c r="AB32" s="53"/>
      <c r="AC32" s="53"/>
      <c r="AD32" s="53"/>
      <c r="AE32" s="53"/>
      <c r="AF32" s="53"/>
      <c r="AG32" s="53"/>
      <c r="AH32" s="53"/>
      <c r="AI32" s="53"/>
      <c r="AJ32" s="53"/>
      <c r="AK32" s="53"/>
      <c r="AL32" s="53"/>
      <c r="AM32" s="53"/>
      <c r="AN32" s="53"/>
      <c r="AO32" s="53"/>
      <c r="AP32" s="53"/>
      <c r="AQ32" s="53"/>
      <c r="AR32" s="53"/>
      <c r="AS32" s="53"/>
      <c r="AT32" s="53"/>
      <c r="AU32" s="53"/>
      <c r="AV32" s="53"/>
      <c r="AW32" s="53"/>
      <c r="AX32" s="53"/>
      <c r="AY32" s="53"/>
      <c r="AZ32" s="53"/>
      <c r="BA32" s="53"/>
      <c r="BB32" s="53"/>
      <c r="BC32" s="53"/>
      <c r="BD32" s="53"/>
      <c r="BE32" s="53"/>
      <c r="BF32" s="53"/>
      <c r="BG32" s="53"/>
      <c r="BH32" s="53"/>
      <c r="BI32" s="53"/>
      <c r="BJ32" s="53"/>
      <c r="BK32" s="53"/>
      <c r="BL32" s="53"/>
      <c r="BM32" s="53"/>
      <c r="BN32" s="53"/>
      <c r="BO32" s="53"/>
      <c r="BP32" s="53"/>
      <c r="BQ32" s="53"/>
      <c r="BR32" s="53"/>
      <c r="BS32" s="53"/>
      <c r="BT32" s="53"/>
      <c r="BU32" s="53"/>
      <c r="BV32" s="53"/>
      <c r="BW32" s="53"/>
      <c r="BX32" s="53"/>
      <c r="BY32" s="53"/>
      <c r="BZ32" s="53"/>
      <c r="CA32" s="53"/>
      <c r="CB32" s="53"/>
    </row>
    <row r="33" spans="2:80">
      <c r="B33" s="100" t="s">
        <v>62</v>
      </c>
      <c r="C33" s="100">
        <v>1</v>
      </c>
      <c r="D33" s="101">
        <f>1673+1597+900+830</f>
        <v>5000</v>
      </c>
      <c r="E33" s="102">
        <v>44696</v>
      </c>
      <c r="F33" s="102">
        <v>44705</v>
      </c>
      <c r="G33" s="102">
        <f t="shared" si="23"/>
        <v>44705</v>
      </c>
      <c r="H33" s="102">
        <f>H30</f>
        <v>44895</v>
      </c>
      <c r="I33" s="190">
        <f t="shared" si="21"/>
        <v>0.52328767123287667</v>
      </c>
      <c r="J33" s="172">
        <f>D33*I33*K5*K6*(K7+K8)*K12*K13</f>
        <v>11542.897096828265</v>
      </c>
      <c r="AA33" s="53"/>
      <c r="AB33" s="53"/>
      <c r="AC33" s="53"/>
      <c r="AD33" s="53"/>
      <c r="AE33" s="53"/>
      <c r="AF33" s="53"/>
      <c r="AG33" s="53"/>
      <c r="AH33" s="53"/>
      <c r="AI33" s="53"/>
      <c r="AJ33" s="53"/>
      <c r="AK33" s="53"/>
      <c r="AL33" s="53"/>
      <c r="AM33" s="53"/>
      <c r="AN33" s="53"/>
      <c r="AO33" s="53"/>
      <c r="AP33" s="53"/>
      <c r="AQ33" s="53"/>
      <c r="AR33" s="53"/>
      <c r="AS33" s="53"/>
      <c r="AT33" s="53"/>
      <c r="AU33" s="53"/>
      <c r="AV33" s="53"/>
      <c r="AW33" s="53"/>
      <c r="AX33" s="53"/>
      <c r="AY33" s="53"/>
      <c r="AZ33" s="53"/>
      <c r="BA33" s="53"/>
      <c r="BB33" s="53"/>
      <c r="BC33" s="53"/>
      <c r="BD33" s="53"/>
      <c r="BE33" s="53"/>
      <c r="BF33" s="53"/>
      <c r="BG33" s="53"/>
      <c r="BH33" s="53"/>
      <c r="BI33" s="53"/>
      <c r="BJ33" s="53"/>
      <c r="BK33" s="53"/>
      <c r="BL33" s="53"/>
      <c r="BM33" s="53"/>
      <c r="BN33" s="53"/>
      <c r="BO33" s="53"/>
      <c r="BP33" s="53"/>
      <c r="BQ33" s="53"/>
      <c r="BR33" s="53"/>
      <c r="BS33" s="53"/>
      <c r="BT33" s="53"/>
      <c r="BU33" s="53"/>
      <c r="BV33" s="53"/>
      <c r="BW33" s="53"/>
      <c r="BX33" s="53"/>
      <c r="BY33" s="53"/>
      <c r="BZ33" s="53"/>
      <c r="CA33" s="53"/>
      <c r="CB33" s="53"/>
    </row>
    <row r="34" spans="2:80">
      <c r="B34" s="100" t="s">
        <v>62</v>
      </c>
      <c r="C34" s="100">
        <v>1</v>
      </c>
      <c r="D34" s="101">
        <v>5000</v>
      </c>
      <c r="E34" s="102">
        <v>44722</v>
      </c>
      <c r="F34" s="102">
        <v>44727</v>
      </c>
      <c r="G34" s="102">
        <f t="shared" si="23"/>
        <v>44727</v>
      </c>
      <c r="H34" s="102">
        <f>H33</f>
        <v>44895</v>
      </c>
      <c r="I34" s="190">
        <f t="shared" si="21"/>
        <v>0.46301369863013697</v>
      </c>
      <c r="J34" s="172">
        <f>D34*I34*K5*K6*(K7+K8)*K12*K13</f>
        <v>10213.348740125532</v>
      </c>
      <c r="AA34" s="53"/>
      <c r="AB34" s="53"/>
      <c r="AC34" s="53"/>
      <c r="AD34" s="53"/>
      <c r="AE34" s="53"/>
      <c r="AF34" s="53"/>
      <c r="AG34" s="53"/>
      <c r="AH34" s="53"/>
      <c r="AI34" s="53"/>
      <c r="AJ34" s="53"/>
      <c r="AK34" s="53"/>
      <c r="AL34" s="53"/>
      <c r="AM34" s="53"/>
      <c r="AN34" s="53"/>
      <c r="AO34" s="53"/>
      <c r="AP34" s="53"/>
      <c r="AQ34" s="53"/>
      <c r="AR34" s="53"/>
      <c r="AS34" s="53"/>
      <c r="AT34" s="53"/>
      <c r="AU34" s="53"/>
      <c r="AV34" s="53"/>
      <c r="AW34" s="53"/>
      <c r="AX34" s="53"/>
      <c r="AY34" s="53"/>
      <c r="AZ34" s="53"/>
      <c r="BA34" s="53"/>
      <c r="BB34" s="53"/>
      <c r="BC34" s="53"/>
      <c r="BD34" s="53"/>
      <c r="BE34" s="53"/>
      <c r="BF34" s="53"/>
      <c r="BG34" s="53"/>
      <c r="BH34" s="53"/>
      <c r="BI34" s="53"/>
      <c r="BJ34" s="53"/>
      <c r="BK34" s="53"/>
      <c r="BL34" s="53"/>
      <c r="BM34" s="53"/>
      <c r="BN34" s="53"/>
      <c r="BO34" s="53"/>
      <c r="BP34" s="53"/>
      <c r="BQ34" s="53"/>
      <c r="BR34" s="53"/>
      <c r="BS34" s="53"/>
      <c r="BT34" s="53"/>
      <c r="BU34" s="53"/>
      <c r="BV34" s="53"/>
      <c r="BW34" s="53"/>
      <c r="BX34" s="53"/>
      <c r="BY34" s="53"/>
      <c r="BZ34" s="53"/>
      <c r="CA34" s="53"/>
      <c r="CB34" s="53"/>
    </row>
    <row r="35" spans="2:80">
      <c r="B35" s="103" t="s">
        <v>63</v>
      </c>
      <c r="C35" s="103">
        <v>1</v>
      </c>
      <c r="D35" s="104">
        <v>2180</v>
      </c>
      <c r="E35" s="105">
        <v>44727</v>
      </c>
      <c r="F35" s="105">
        <v>44727</v>
      </c>
      <c r="G35" s="105">
        <f t="shared" si="23"/>
        <v>44727</v>
      </c>
      <c r="H35" s="105">
        <f>H34</f>
        <v>44895</v>
      </c>
      <c r="I35" s="250">
        <f t="shared" si="21"/>
        <v>0.46301369863013697</v>
      </c>
      <c r="J35" s="295">
        <f>D35*I35*L5*L6*(L7+L8)*L12*L13</f>
        <v>4453.0200506947322</v>
      </c>
      <c r="AA35" s="53"/>
      <c r="AB35" s="53"/>
      <c r="AC35" s="53"/>
      <c r="AD35" s="53"/>
      <c r="AE35" s="53"/>
      <c r="AF35" s="53"/>
      <c r="AG35" s="53"/>
      <c r="AH35" s="53"/>
      <c r="AI35" s="53"/>
      <c r="AJ35" s="53"/>
      <c r="AK35" s="53"/>
      <c r="AL35" s="53"/>
      <c r="AM35" s="53"/>
      <c r="AN35" s="53"/>
      <c r="AO35" s="53"/>
      <c r="AP35" s="53"/>
      <c r="AQ35" s="53"/>
      <c r="AR35" s="53"/>
      <c r="AS35" s="53"/>
      <c r="AT35" s="53"/>
      <c r="AU35" s="53"/>
      <c r="AV35" s="53"/>
      <c r="AW35" s="53"/>
      <c r="AX35" s="53"/>
      <c r="AY35" s="53"/>
      <c r="AZ35" s="53"/>
      <c r="BA35" s="53"/>
      <c r="BB35" s="53"/>
      <c r="BC35" s="53"/>
      <c r="BD35" s="53"/>
      <c r="BE35" s="53"/>
      <c r="BF35" s="53"/>
      <c r="BG35" s="53"/>
      <c r="BH35" s="53"/>
      <c r="BI35" s="53"/>
      <c r="BJ35" s="53"/>
      <c r="BK35" s="53"/>
      <c r="BL35" s="53"/>
      <c r="BM35" s="53"/>
      <c r="BN35" s="53"/>
      <c r="BO35" s="53"/>
      <c r="BP35" s="53"/>
      <c r="BQ35" s="53"/>
      <c r="BR35" s="53"/>
      <c r="BS35" s="53"/>
      <c r="BT35" s="53"/>
      <c r="BU35" s="53"/>
      <c r="BV35" s="53"/>
      <c r="BW35" s="53"/>
      <c r="BX35" s="53"/>
      <c r="BY35" s="53"/>
      <c r="BZ35" s="53"/>
      <c r="CA35" s="53"/>
      <c r="CB35" s="53"/>
    </row>
    <row r="36" spans="2:80">
      <c r="B36" s="103" t="s">
        <v>63</v>
      </c>
      <c r="C36" s="103">
        <v>1</v>
      </c>
      <c r="D36" s="104">
        <v>2820</v>
      </c>
      <c r="E36" s="105">
        <v>44874</v>
      </c>
      <c r="F36" s="105">
        <v>44882</v>
      </c>
      <c r="G36" s="105">
        <f>F36</f>
        <v>44882</v>
      </c>
      <c r="H36" s="105">
        <f>H35</f>
        <v>44895</v>
      </c>
      <c r="I36" s="250">
        <f t="shared" si="21"/>
        <v>3.8356164383561646E-2</v>
      </c>
      <c r="J36" s="295">
        <f>D36*I36*L5*L6*(L7+L8)*L12*L13</f>
        <v>477.18699202385329</v>
      </c>
      <c r="AA36" s="53"/>
      <c r="AB36" s="53"/>
      <c r="AC36" s="53"/>
      <c r="AD36" s="53"/>
      <c r="AE36" s="53"/>
      <c r="AF36" s="53"/>
      <c r="AG36" s="53"/>
      <c r="AH36" s="53"/>
      <c r="AI36" s="53"/>
      <c r="AJ36" s="53"/>
      <c r="AK36" s="53"/>
      <c r="AL36" s="53"/>
      <c r="AM36" s="53"/>
      <c r="AN36" s="53"/>
      <c r="AO36" s="53"/>
      <c r="AP36" s="53"/>
      <c r="AQ36" s="53"/>
      <c r="AR36" s="53"/>
      <c r="AS36" s="53"/>
      <c r="AT36" s="53"/>
      <c r="AU36" s="53"/>
      <c r="AV36" s="53"/>
      <c r="AW36" s="53"/>
      <c r="AX36" s="53"/>
      <c r="AY36" s="53"/>
      <c r="AZ36" s="53"/>
      <c r="BA36" s="53"/>
      <c r="BB36" s="53"/>
      <c r="BC36" s="53"/>
      <c r="BD36" s="53"/>
      <c r="BE36" s="53"/>
      <c r="BF36" s="53"/>
      <c r="BG36" s="53"/>
      <c r="BH36" s="53"/>
      <c r="BI36" s="53"/>
      <c r="BJ36" s="53"/>
      <c r="BK36" s="53"/>
      <c r="BL36" s="53"/>
      <c r="BM36" s="53"/>
      <c r="BN36" s="53"/>
      <c r="BO36" s="53"/>
      <c r="BP36" s="53"/>
      <c r="BQ36" s="53"/>
      <c r="BR36" s="53"/>
      <c r="BS36" s="53"/>
      <c r="BT36" s="53"/>
      <c r="BU36" s="53"/>
      <c r="BV36" s="53"/>
      <c r="BW36" s="53"/>
      <c r="BX36" s="53"/>
      <c r="BY36" s="53"/>
      <c r="BZ36" s="53"/>
      <c r="CA36" s="53"/>
      <c r="CB36" s="53"/>
    </row>
    <row r="37" spans="2:80">
      <c r="B37" s="106" t="s">
        <v>64</v>
      </c>
      <c r="C37" s="106">
        <v>1</v>
      </c>
      <c r="D37" s="107">
        <f>2723+2313</f>
        <v>5036</v>
      </c>
      <c r="E37" s="108">
        <v>44698</v>
      </c>
      <c r="F37" s="108">
        <v>44700</v>
      </c>
      <c r="G37" s="108">
        <f t="shared" si="23"/>
        <v>44700</v>
      </c>
      <c r="H37" s="108">
        <f>H35</f>
        <v>44895</v>
      </c>
      <c r="I37" s="192">
        <f t="shared" si="21"/>
        <v>0.53698630136986303</v>
      </c>
      <c r="J37" s="296">
        <f>D37*I37*M5*M6*(M7+M8)*M12*M13</f>
        <v>11930.351661577928</v>
      </c>
      <c r="AA37" s="53"/>
      <c r="AB37" s="53"/>
      <c r="AC37" s="53"/>
      <c r="AD37" s="53"/>
      <c r="AE37" s="53"/>
      <c r="AF37" s="53"/>
      <c r="AG37" s="53"/>
      <c r="AH37" s="53"/>
      <c r="AI37" s="53"/>
      <c r="AJ37" s="53"/>
      <c r="AK37" s="53"/>
      <c r="AL37" s="53"/>
      <c r="AM37" s="53"/>
      <c r="AN37" s="53"/>
      <c r="AO37" s="53"/>
      <c r="AP37" s="53"/>
      <c r="AQ37" s="53"/>
      <c r="AR37" s="53"/>
      <c r="AS37" s="53"/>
      <c r="AT37" s="53"/>
      <c r="AU37" s="53"/>
      <c r="AV37" s="53"/>
      <c r="AW37" s="53"/>
      <c r="AX37" s="53"/>
      <c r="AY37" s="53"/>
      <c r="AZ37" s="53"/>
      <c r="BA37" s="53"/>
      <c r="BB37" s="53"/>
      <c r="BC37" s="53"/>
      <c r="BD37" s="53"/>
      <c r="BE37" s="53"/>
      <c r="BF37" s="53"/>
      <c r="BG37" s="53"/>
      <c r="BH37" s="53"/>
      <c r="BI37" s="53"/>
      <c r="BJ37" s="53"/>
      <c r="BK37" s="53"/>
      <c r="BL37" s="53"/>
      <c r="BM37" s="53"/>
      <c r="BN37" s="53"/>
      <c r="BO37" s="53"/>
      <c r="BP37" s="53"/>
      <c r="BQ37" s="53"/>
      <c r="BR37" s="53"/>
      <c r="BS37" s="53"/>
      <c r="BT37" s="53"/>
      <c r="BU37" s="53"/>
      <c r="BV37" s="53"/>
      <c r="BW37" s="53"/>
      <c r="BX37" s="53"/>
      <c r="BY37" s="53"/>
      <c r="BZ37" s="53"/>
      <c r="CA37" s="53"/>
      <c r="CB37" s="53"/>
    </row>
    <row r="38" spans="2:80">
      <c r="B38" s="109" t="s">
        <v>65</v>
      </c>
      <c r="C38" s="109">
        <v>1</v>
      </c>
      <c r="D38" s="110">
        <v>2860</v>
      </c>
      <c r="E38" s="111">
        <v>44747</v>
      </c>
      <c r="F38" s="111">
        <v>44747</v>
      </c>
      <c r="G38" s="111">
        <f t="shared" si="23"/>
        <v>44747</v>
      </c>
      <c r="H38" s="111">
        <f t="shared" ref="H38:H45" si="24">H37</f>
        <v>44895</v>
      </c>
      <c r="I38" s="193">
        <f t="shared" si="21"/>
        <v>0.40821917808219177</v>
      </c>
      <c r="J38" s="167">
        <f>D38*I38*N5*N6*(N7+N8)*N12*N13</f>
        <v>5150.6703338663838</v>
      </c>
      <c r="AA38" s="53"/>
      <c r="AB38" s="53"/>
      <c r="AC38" s="53"/>
      <c r="AD38" s="53"/>
      <c r="AE38" s="53"/>
      <c r="AF38" s="53"/>
      <c r="AG38" s="53"/>
      <c r="AH38" s="53"/>
      <c r="AI38" s="53"/>
      <c r="AJ38" s="53"/>
      <c r="AK38" s="53"/>
      <c r="AL38" s="53"/>
      <c r="AM38" s="53"/>
      <c r="AN38" s="53"/>
      <c r="AO38" s="53"/>
      <c r="AP38" s="53"/>
      <c r="AQ38" s="53"/>
      <c r="AR38" s="53"/>
      <c r="AS38" s="53"/>
      <c r="AT38" s="53"/>
      <c r="AU38" s="53"/>
      <c r="AV38" s="53"/>
      <c r="AW38" s="53"/>
      <c r="AX38" s="53"/>
      <c r="AY38" s="53"/>
      <c r="AZ38" s="53"/>
      <c r="BA38" s="53"/>
      <c r="BB38" s="53"/>
      <c r="BC38" s="53"/>
      <c r="BD38" s="53"/>
      <c r="BE38" s="53"/>
      <c r="BF38" s="53"/>
      <c r="BG38" s="53"/>
      <c r="BH38" s="53"/>
      <c r="BI38" s="53"/>
      <c r="BJ38" s="53"/>
      <c r="BK38" s="53"/>
      <c r="BL38" s="53"/>
      <c r="BM38" s="53"/>
      <c r="BN38" s="53"/>
      <c r="BO38" s="53"/>
      <c r="BP38" s="53"/>
      <c r="BQ38" s="53"/>
      <c r="BR38" s="53"/>
      <c r="BS38" s="53"/>
      <c r="BT38" s="53"/>
      <c r="BU38" s="53"/>
      <c r="BV38" s="53"/>
      <c r="BW38" s="53"/>
      <c r="BX38" s="53"/>
      <c r="BY38" s="53"/>
      <c r="BZ38" s="53"/>
      <c r="CA38" s="53"/>
      <c r="CB38" s="53"/>
    </row>
    <row r="39" spans="2:80">
      <c r="B39" s="112" t="s">
        <v>66</v>
      </c>
      <c r="C39" s="112">
        <v>1</v>
      </c>
      <c r="D39" s="113">
        <f>700+616+1451+4110+308</f>
        <v>7185</v>
      </c>
      <c r="E39" s="114">
        <v>44658</v>
      </c>
      <c r="F39" s="114">
        <v>44673</v>
      </c>
      <c r="G39" s="114">
        <f t="shared" si="23"/>
        <v>44673</v>
      </c>
      <c r="H39" s="114">
        <f t="shared" si="24"/>
        <v>44895</v>
      </c>
      <c r="I39" s="194">
        <f t="shared" si="21"/>
        <v>0.61095890410958908</v>
      </c>
      <c r="J39" s="113">
        <f>D39*I39*O5*O6*(O7+O8)*O12*O13</f>
        <v>19366.140929715784</v>
      </c>
      <c r="AA39" s="53"/>
      <c r="AB39" s="53"/>
      <c r="AC39" s="53"/>
      <c r="AD39" s="53"/>
      <c r="AE39" s="53"/>
      <c r="AF39" s="53"/>
      <c r="AG39" s="53"/>
      <c r="AH39" s="53"/>
      <c r="AI39" s="53"/>
      <c r="AJ39" s="53"/>
      <c r="AK39" s="53"/>
      <c r="AL39" s="53"/>
      <c r="AM39" s="53"/>
      <c r="AN39" s="53"/>
      <c r="AO39" s="53"/>
      <c r="AP39" s="53"/>
      <c r="AQ39" s="53"/>
      <c r="AR39" s="53"/>
      <c r="AS39" s="53"/>
      <c r="AT39" s="53"/>
      <c r="AU39" s="53"/>
      <c r="AV39" s="53"/>
      <c r="AW39" s="53"/>
      <c r="AX39" s="53"/>
      <c r="AY39" s="53"/>
      <c r="AZ39" s="53"/>
      <c r="BA39" s="53"/>
      <c r="BB39" s="53"/>
      <c r="BC39" s="53"/>
      <c r="BD39" s="53"/>
      <c r="BE39" s="53"/>
      <c r="BF39" s="53"/>
      <c r="BG39" s="53"/>
      <c r="BH39" s="53"/>
      <c r="BI39" s="53"/>
      <c r="BJ39" s="53"/>
      <c r="BK39" s="53"/>
      <c r="BL39" s="53"/>
      <c r="BM39" s="53"/>
      <c r="BN39" s="53"/>
      <c r="BO39" s="53"/>
      <c r="BP39" s="53"/>
      <c r="BQ39" s="53"/>
      <c r="BR39" s="53"/>
      <c r="BS39" s="53"/>
      <c r="BT39" s="53"/>
      <c r="BU39" s="53"/>
      <c r="BV39" s="53"/>
      <c r="BW39" s="53"/>
      <c r="BX39" s="53"/>
      <c r="BY39" s="53"/>
      <c r="BZ39" s="53"/>
      <c r="CA39" s="53"/>
      <c r="CB39" s="53"/>
    </row>
    <row r="40" spans="2:80">
      <c r="B40" s="112" t="s">
        <v>66</v>
      </c>
      <c r="C40" s="112">
        <v>1</v>
      </c>
      <c r="D40" s="113">
        <v>2815</v>
      </c>
      <c r="E40" s="114">
        <v>44687</v>
      </c>
      <c r="F40" s="114">
        <v>44687</v>
      </c>
      <c r="G40" s="114">
        <f t="shared" si="23"/>
        <v>44687</v>
      </c>
      <c r="H40" s="114">
        <f t="shared" si="24"/>
        <v>44895</v>
      </c>
      <c r="I40" s="194">
        <f t="shared" si="21"/>
        <v>0.57260273972602738</v>
      </c>
      <c r="J40" s="113">
        <f>D40*I40*O5*O6*(O7+O8)*O12*O13</f>
        <v>7111.0893858245627</v>
      </c>
      <c r="AA40" s="53"/>
      <c r="AB40" s="53"/>
      <c r="AC40" s="53"/>
      <c r="AD40" s="53"/>
      <c r="AE40" s="53"/>
      <c r="AF40" s="53"/>
      <c r="AG40" s="53"/>
      <c r="AH40" s="53"/>
      <c r="AI40" s="53"/>
      <c r="AJ40" s="53"/>
      <c r="AK40" s="53"/>
      <c r="AL40" s="53"/>
      <c r="AM40" s="53"/>
      <c r="AN40" s="53"/>
      <c r="AO40" s="53"/>
      <c r="AP40" s="53"/>
      <c r="AQ40" s="53"/>
      <c r="AR40" s="53"/>
      <c r="AS40" s="53"/>
      <c r="AT40" s="53"/>
      <c r="AU40" s="53"/>
      <c r="AV40" s="53"/>
      <c r="AW40" s="53"/>
      <c r="AX40" s="53"/>
      <c r="AY40" s="53"/>
      <c r="AZ40" s="53"/>
      <c r="BA40" s="53"/>
      <c r="BB40" s="53"/>
      <c r="BC40" s="53"/>
      <c r="BD40" s="53"/>
      <c r="BE40" s="53"/>
      <c r="BF40" s="53"/>
      <c r="BG40" s="53"/>
      <c r="BH40" s="53"/>
      <c r="BI40" s="53"/>
      <c r="BJ40" s="53"/>
      <c r="BK40" s="53"/>
      <c r="BL40" s="53"/>
      <c r="BM40" s="53"/>
      <c r="BN40" s="53"/>
      <c r="BO40" s="53"/>
      <c r="BP40" s="53"/>
      <c r="BQ40" s="53"/>
      <c r="BR40" s="53"/>
      <c r="BS40" s="53"/>
      <c r="BT40" s="53"/>
      <c r="BU40" s="53"/>
      <c r="BV40" s="53"/>
      <c r="BW40" s="53"/>
      <c r="BX40" s="53"/>
      <c r="BY40" s="53"/>
      <c r="BZ40" s="53"/>
      <c r="CA40" s="53"/>
      <c r="CB40" s="53"/>
    </row>
    <row r="41" spans="2:80">
      <c r="B41" s="96" t="s">
        <v>67</v>
      </c>
      <c r="C41" s="96">
        <v>1</v>
      </c>
      <c r="D41" s="115">
        <f>4070+2948+2982</f>
        <v>10000</v>
      </c>
      <c r="E41" s="98">
        <v>44756</v>
      </c>
      <c r="F41" s="98">
        <v>44764</v>
      </c>
      <c r="G41" s="98">
        <f t="shared" si="23"/>
        <v>44764</v>
      </c>
      <c r="H41" s="98">
        <f t="shared" si="24"/>
        <v>44895</v>
      </c>
      <c r="I41" s="189">
        <f t="shared" si="21"/>
        <v>0.36164383561643837</v>
      </c>
      <c r="J41" s="115">
        <f>D41*I41*P5*P6*(P7+P8)*P12*P13</f>
        <v>15954.580280432785</v>
      </c>
      <c r="AA41" s="53"/>
      <c r="AB41" s="53"/>
      <c r="AC41" s="53"/>
      <c r="AD41" s="53"/>
      <c r="AE41" s="53"/>
      <c r="AF41" s="53"/>
      <c r="AG41" s="53"/>
      <c r="AH41" s="53"/>
      <c r="AI41" s="53"/>
      <c r="AJ41" s="53"/>
      <c r="AK41" s="53"/>
      <c r="AL41" s="53"/>
      <c r="AM41" s="53"/>
      <c r="AN41" s="53"/>
      <c r="AO41" s="53"/>
      <c r="AP41" s="53"/>
      <c r="AQ41" s="53"/>
      <c r="AR41" s="53"/>
      <c r="AS41" s="53"/>
      <c r="AT41" s="53"/>
      <c r="AU41" s="53"/>
      <c r="AV41" s="53"/>
      <c r="AW41" s="53"/>
      <c r="AX41" s="53"/>
      <c r="AY41" s="53"/>
      <c r="AZ41" s="53"/>
      <c r="BA41" s="53"/>
      <c r="BB41" s="53"/>
      <c r="BC41" s="53"/>
      <c r="BD41" s="53"/>
      <c r="BE41" s="53"/>
      <c r="BF41" s="53"/>
      <c r="BG41" s="53"/>
      <c r="BH41" s="53"/>
      <c r="BI41" s="53"/>
      <c r="BJ41" s="53"/>
      <c r="BK41" s="53"/>
      <c r="BL41" s="53"/>
      <c r="BM41" s="53"/>
      <c r="BN41" s="53"/>
      <c r="BO41" s="53"/>
      <c r="BP41" s="53"/>
      <c r="BQ41" s="53"/>
      <c r="BR41" s="53"/>
      <c r="BS41" s="53"/>
      <c r="BT41" s="53"/>
      <c r="BU41" s="53"/>
      <c r="BV41" s="53"/>
      <c r="BW41" s="53"/>
      <c r="BX41" s="53"/>
      <c r="BY41" s="53"/>
      <c r="BZ41" s="53"/>
      <c r="CA41" s="53"/>
      <c r="CB41" s="53"/>
    </row>
    <row r="42" spans="2:80">
      <c r="B42" s="116" t="s">
        <v>68</v>
      </c>
      <c r="C42" s="116">
        <v>1</v>
      </c>
      <c r="D42" s="117">
        <v>625</v>
      </c>
      <c r="E42" s="118">
        <v>44758</v>
      </c>
      <c r="F42" s="118">
        <v>44758</v>
      </c>
      <c r="G42" s="118">
        <f t="shared" si="23"/>
        <v>44758</v>
      </c>
      <c r="H42" s="118">
        <f t="shared" si="24"/>
        <v>44895</v>
      </c>
      <c r="I42" s="195">
        <f t="shared" si="21"/>
        <v>0.37808219178082192</v>
      </c>
      <c r="J42" s="117">
        <f>D42*I42*Q5*Q6*(Q7+Q8)*Q12*Q13</f>
        <v>1042.4867796873693</v>
      </c>
      <c r="AA42" s="53"/>
      <c r="AB42" s="53"/>
      <c r="AC42" s="53"/>
      <c r="AD42" s="53"/>
      <c r="AE42" s="53"/>
      <c r="AF42" s="53"/>
      <c r="AG42" s="53"/>
      <c r="AH42" s="53"/>
      <c r="AI42" s="53"/>
      <c r="AJ42" s="53"/>
      <c r="AK42" s="53"/>
      <c r="AL42" s="53"/>
      <c r="AM42" s="53"/>
      <c r="AN42" s="53"/>
      <c r="AO42" s="53"/>
      <c r="AP42" s="53"/>
      <c r="AQ42" s="53"/>
      <c r="AR42" s="53"/>
      <c r="AS42" s="53"/>
      <c r="AT42" s="53"/>
      <c r="AU42" s="53"/>
      <c r="AV42" s="53"/>
      <c r="AW42" s="53"/>
      <c r="AX42" s="53"/>
      <c r="AY42" s="53"/>
      <c r="AZ42" s="53"/>
      <c r="BA42" s="53"/>
      <c r="BB42" s="53"/>
      <c r="BC42" s="53"/>
      <c r="BD42" s="53"/>
      <c r="BE42" s="53"/>
      <c r="BF42" s="53"/>
      <c r="BG42" s="53"/>
      <c r="BH42" s="53"/>
      <c r="BI42" s="53"/>
      <c r="BJ42" s="53"/>
      <c r="BK42" s="53"/>
      <c r="BL42" s="53"/>
      <c r="BM42" s="53"/>
      <c r="BN42" s="53"/>
      <c r="BO42" s="53"/>
      <c r="BP42" s="53"/>
      <c r="BQ42" s="53"/>
      <c r="BR42" s="53"/>
      <c r="BS42" s="53"/>
      <c r="BT42" s="53"/>
      <c r="BU42" s="53"/>
      <c r="BV42" s="53"/>
      <c r="BW42" s="53"/>
      <c r="BX42" s="53"/>
      <c r="BY42" s="53"/>
      <c r="BZ42" s="53"/>
      <c r="CA42" s="53"/>
      <c r="CB42" s="53"/>
    </row>
    <row r="43" spans="2:80">
      <c r="B43" s="116" t="s">
        <v>68</v>
      </c>
      <c r="C43" s="116">
        <v>1</v>
      </c>
      <c r="D43" s="117">
        <v>2890</v>
      </c>
      <c r="E43" s="118">
        <v>44813</v>
      </c>
      <c r="F43" s="118">
        <v>44813</v>
      </c>
      <c r="G43" s="118">
        <f t="shared" si="23"/>
        <v>44813</v>
      </c>
      <c r="H43" s="118">
        <f t="shared" si="24"/>
        <v>44895</v>
      </c>
      <c r="I43" s="195">
        <f t="shared" si="21"/>
        <v>0.22739726027397261</v>
      </c>
      <c r="J43" s="117">
        <f>D43*I43*Q5*Q6*(Q7+Q8)*Q12*Q13</f>
        <v>2899.2614938389488</v>
      </c>
      <c r="AA43" s="53"/>
      <c r="AB43" s="53"/>
      <c r="AC43" s="53"/>
      <c r="AD43" s="53"/>
      <c r="AE43" s="53"/>
      <c r="AF43" s="53"/>
      <c r="AG43" s="53"/>
      <c r="AH43" s="53"/>
      <c r="AI43" s="53"/>
      <c r="AJ43" s="53"/>
      <c r="AK43" s="53"/>
      <c r="AL43" s="53"/>
      <c r="AM43" s="53"/>
      <c r="AN43" s="53"/>
      <c r="AO43" s="53"/>
      <c r="AP43" s="53"/>
      <c r="AQ43" s="53"/>
      <c r="AR43" s="53"/>
      <c r="AS43" s="53"/>
      <c r="AT43" s="53"/>
      <c r="AU43" s="53"/>
      <c r="AV43" s="53"/>
      <c r="AW43" s="53"/>
      <c r="AX43" s="53"/>
      <c r="AY43" s="53"/>
      <c r="AZ43" s="53"/>
      <c r="BA43" s="53"/>
      <c r="BB43" s="53"/>
      <c r="BC43" s="53"/>
      <c r="BD43" s="53"/>
      <c r="BE43" s="53"/>
      <c r="BF43" s="53"/>
      <c r="BG43" s="53"/>
      <c r="BH43" s="53"/>
      <c r="BI43" s="53"/>
      <c r="BJ43" s="53"/>
      <c r="BK43" s="53"/>
      <c r="BL43" s="53"/>
      <c r="BM43" s="53"/>
      <c r="BN43" s="53"/>
      <c r="BO43" s="53"/>
      <c r="BP43" s="53"/>
      <c r="BQ43" s="53"/>
      <c r="BR43" s="53"/>
      <c r="BS43" s="53"/>
      <c r="BT43" s="53"/>
      <c r="BU43" s="53"/>
      <c r="BV43" s="53"/>
      <c r="BW43" s="53"/>
      <c r="BX43" s="53"/>
      <c r="BY43" s="53"/>
      <c r="BZ43" s="53"/>
      <c r="CA43" s="53"/>
      <c r="CB43" s="53"/>
    </row>
    <row r="44" spans="2:80">
      <c r="B44" s="57" t="s">
        <v>69</v>
      </c>
      <c r="C44" s="57">
        <v>1</v>
      </c>
      <c r="D44" s="119">
        <v>2300</v>
      </c>
      <c r="E44" s="51">
        <v>44760</v>
      </c>
      <c r="F44" s="51">
        <v>44760</v>
      </c>
      <c r="G44" s="51">
        <f t="shared" si="23"/>
        <v>44760</v>
      </c>
      <c r="H44" s="51">
        <f t="shared" si="24"/>
        <v>44895</v>
      </c>
      <c r="I44" s="196">
        <f t="shared" si="21"/>
        <v>0.37260273972602742</v>
      </c>
      <c r="J44" s="119">
        <f>D44*I44*R5*R6*(R7+R8)*R12*R13</f>
        <v>3780.7520543328601</v>
      </c>
      <c r="AA44" s="53"/>
      <c r="AB44" s="53"/>
      <c r="AC44" s="53"/>
      <c r="AD44" s="53"/>
      <c r="AE44" s="53"/>
      <c r="AF44" s="53"/>
      <c r="AG44" s="53"/>
      <c r="AH44" s="53"/>
      <c r="AI44" s="53"/>
      <c r="AJ44" s="53"/>
      <c r="AK44" s="53"/>
      <c r="AL44" s="53"/>
      <c r="AM44" s="53"/>
      <c r="AN44" s="53"/>
      <c r="AO44" s="53"/>
      <c r="AP44" s="53"/>
      <c r="AQ44" s="53"/>
      <c r="AR44" s="53"/>
      <c r="AS44" s="53"/>
      <c r="AT44" s="53"/>
      <c r="AU44" s="53"/>
      <c r="AV44" s="53"/>
      <c r="AW44" s="53"/>
      <c r="AX44" s="53"/>
      <c r="AY44" s="53"/>
      <c r="AZ44" s="53"/>
      <c r="BA44" s="53"/>
      <c r="BB44" s="53"/>
      <c r="BC44" s="53"/>
      <c r="BD44" s="53"/>
      <c r="BE44" s="53"/>
      <c r="BF44" s="53"/>
      <c r="BG44" s="53"/>
      <c r="BH44" s="53"/>
      <c r="BI44" s="53"/>
      <c r="BJ44" s="53"/>
      <c r="BK44" s="53"/>
      <c r="BL44" s="53"/>
      <c r="BM44" s="53"/>
      <c r="BN44" s="53"/>
      <c r="BO44" s="53"/>
      <c r="BP44" s="53"/>
      <c r="BQ44" s="53"/>
      <c r="BR44" s="53"/>
      <c r="BS44" s="53"/>
      <c r="BT44" s="53"/>
      <c r="BU44" s="53"/>
      <c r="BV44" s="53"/>
      <c r="BW44" s="53"/>
      <c r="BX44" s="53"/>
      <c r="BY44" s="53"/>
      <c r="BZ44" s="53"/>
      <c r="CA44" s="53"/>
      <c r="CB44" s="53"/>
    </row>
    <row r="45" spans="2:80">
      <c r="B45" s="57" t="s">
        <v>69</v>
      </c>
      <c r="C45" s="57">
        <v>1</v>
      </c>
      <c r="D45" s="119">
        <v>2700</v>
      </c>
      <c r="E45" s="51">
        <v>44837</v>
      </c>
      <c r="F45" s="51">
        <v>44839</v>
      </c>
      <c r="G45" s="51">
        <f>F45</f>
        <v>44839</v>
      </c>
      <c r="H45" s="51">
        <f t="shared" si="24"/>
        <v>44895</v>
      </c>
      <c r="I45" s="196">
        <f t="shared" si="21"/>
        <v>0.15616438356164383</v>
      </c>
      <c r="J45" s="119">
        <f>D45*I45*R5*R6*(R7+R8)*R12*R13</f>
        <v>1860.1590190595496</v>
      </c>
      <c r="AA45" s="53"/>
      <c r="AB45" s="53"/>
      <c r="AC45" s="53"/>
      <c r="AD45" s="53"/>
      <c r="AE45" s="53"/>
      <c r="AF45" s="53"/>
      <c r="AG45" s="53"/>
      <c r="AH45" s="53"/>
      <c r="AI45" s="53"/>
      <c r="AJ45" s="53"/>
      <c r="AK45" s="53"/>
      <c r="AL45" s="53"/>
      <c r="AM45" s="53"/>
      <c r="AN45" s="53"/>
      <c r="AO45" s="53"/>
      <c r="AP45" s="53"/>
      <c r="AQ45" s="53"/>
      <c r="AR45" s="53"/>
      <c r="AS45" s="53"/>
      <c r="AT45" s="53"/>
      <c r="AU45" s="53"/>
      <c r="AV45" s="53"/>
      <c r="AW45" s="53"/>
      <c r="AX45" s="53"/>
      <c r="AY45" s="53"/>
      <c r="AZ45" s="53"/>
      <c r="BA45" s="53"/>
      <c r="BB45" s="53"/>
      <c r="BC45" s="53"/>
      <c r="BD45" s="53"/>
      <c r="BE45" s="53"/>
      <c r="BF45" s="53"/>
      <c r="BG45" s="53"/>
      <c r="BH45" s="53"/>
      <c r="BI45" s="53"/>
      <c r="BJ45" s="53"/>
      <c r="BK45" s="53"/>
      <c r="BL45" s="53"/>
      <c r="BM45" s="53"/>
      <c r="BN45" s="53"/>
      <c r="BO45" s="53"/>
      <c r="BP45" s="53"/>
      <c r="BQ45" s="53"/>
      <c r="BR45" s="53"/>
      <c r="BS45" s="53"/>
      <c r="BT45" s="53"/>
      <c r="BU45" s="53"/>
      <c r="BV45" s="53"/>
      <c r="BW45" s="53"/>
      <c r="BX45" s="53"/>
      <c r="BY45" s="53"/>
      <c r="BZ45" s="53"/>
      <c r="CA45" s="53"/>
      <c r="CB45" s="53"/>
    </row>
    <row r="46" spans="2:80">
      <c r="B46" s="120" t="s">
        <v>70</v>
      </c>
      <c r="C46" s="120">
        <v>1</v>
      </c>
      <c r="D46" s="121">
        <v>2145</v>
      </c>
      <c r="E46" s="122">
        <v>44750</v>
      </c>
      <c r="F46" s="122">
        <v>44750</v>
      </c>
      <c r="G46" s="122">
        <f t="shared" si="23"/>
        <v>44750</v>
      </c>
      <c r="H46" s="122">
        <f>H44</f>
        <v>44895</v>
      </c>
      <c r="I46" s="197">
        <f t="shared" si="21"/>
        <v>0.4</v>
      </c>
      <c r="J46" s="121">
        <f>D46*I46*S5*S6*(S7+S8)*S12*S13</f>
        <v>3785.2241715326786</v>
      </c>
      <c r="AA46" s="53"/>
      <c r="AB46" s="53"/>
      <c r="AC46" s="53"/>
      <c r="AD46" s="53"/>
      <c r="AE46" s="53"/>
      <c r="AF46" s="53"/>
      <c r="AG46" s="53"/>
      <c r="AH46" s="53"/>
      <c r="AI46" s="53"/>
      <c r="AJ46" s="53"/>
      <c r="AK46" s="53"/>
      <c r="AL46" s="53"/>
      <c r="AM46" s="53"/>
      <c r="AN46" s="53"/>
      <c r="AO46" s="53"/>
      <c r="AP46" s="53"/>
      <c r="AQ46" s="53"/>
      <c r="AR46" s="53"/>
      <c r="AS46" s="53"/>
      <c r="AT46" s="53"/>
      <c r="AU46" s="53"/>
      <c r="AV46" s="53"/>
      <c r="AW46" s="53"/>
      <c r="AX46" s="53"/>
      <c r="AY46" s="53"/>
      <c r="AZ46" s="53"/>
      <c r="BA46" s="53"/>
      <c r="BB46" s="53"/>
      <c r="BC46" s="53"/>
      <c r="BD46" s="53"/>
      <c r="BE46" s="53"/>
      <c r="BF46" s="53"/>
      <c r="BG46" s="53"/>
      <c r="BH46" s="53"/>
      <c r="BI46" s="53"/>
      <c r="BJ46" s="53"/>
      <c r="BK46" s="53"/>
      <c r="BL46" s="53"/>
      <c r="BM46" s="53"/>
      <c r="BN46" s="53"/>
      <c r="BO46" s="53"/>
      <c r="BP46" s="53"/>
      <c r="BQ46" s="53"/>
      <c r="BR46" s="53"/>
      <c r="BS46" s="53"/>
      <c r="BT46" s="53"/>
      <c r="BU46" s="53"/>
      <c r="BV46" s="53"/>
      <c r="BW46" s="53"/>
      <c r="BX46" s="53"/>
      <c r="BY46" s="53"/>
      <c r="BZ46" s="53"/>
      <c r="CA46" s="53"/>
      <c r="CB46" s="53"/>
    </row>
    <row r="47" spans="2:80">
      <c r="B47" s="120" t="s">
        <v>70</v>
      </c>
      <c r="C47" s="120">
        <v>1</v>
      </c>
      <c r="D47" s="121">
        <f>2800+3632</f>
        <v>6432</v>
      </c>
      <c r="E47" s="122">
        <v>44787</v>
      </c>
      <c r="F47" s="122">
        <v>44790</v>
      </c>
      <c r="G47" s="122">
        <f t="shared" si="23"/>
        <v>44790</v>
      </c>
      <c r="H47" s="122">
        <f t="shared" ref="H47:H60" si="25">H46</f>
        <v>44895</v>
      </c>
      <c r="I47" s="197">
        <f t="shared" si="21"/>
        <v>0.29041095890410956</v>
      </c>
      <c r="J47" s="121">
        <f>D47*I47*S5*S6*(S7+S8)*S12*S13</f>
        <v>8240.685756482444</v>
      </c>
      <c r="AA47" s="53"/>
      <c r="AB47" s="53"/>
      <c r="AC47" s="53"/>
      <c r="AD47" s="53"/>
      <c r="AE47" s="53"/>
      <c r="AF47" s="53"/>
      <c r="AG47" s="53"/>
      <c r="AH47" s="53"/>
      <c r="AI47" s="53"/>
      <c r="AJ47" s="53"/>
      <c r="AK47" s="53"/>
      <c r="AL47" s="53"/>
      <c r="AM47" s="53"/>
      <c r="AN47" s="53"/>
      <c r="AO47" s="53"/>
      <c r="AP47" s="53"/>
      <c r="AQ47" s="53"/>
      <c r="AR47" s="53"/>
      <c r="AS47" s="53"/>
      <c r="AT47" s="53"/>
      <c r="AU47" s="53"/>
      <c r="AV47" s="53"/>
      <c r="AW47" s="53"/>
      <c r="AX47" s="53"/>
      <c r="AY47" s="53"/>
      <c r="AZ47" s="53"/>
      <c r="BA47" s="53"/>
      <c r="BB47" s="53"/>
      <c r="BC47" s="53"/>
      <c r="BD47" s="53"/>
      <c r="BE47" s="53"/>
      <c r="BF47" s="53"/>
      <c r="BG47" s="53"/>
      <c r="BH47" s="53"/>
      <c r="BI47" s="53"/>
      <c r="BJ47" s="53"/>
      <c r="BK47" s="53"/>
      <c r="BL47" s="53"/>
      <c r="BM47" s="53"/>
      <c r="BN47" s="53"/>
      <c r="BO47" s="53"/>
      <c r="BP47" s="53"/>
      <c r="BQ47" s="53"/>
      <c r="BR47" s="53"/>
      <c r="BS47" s="53"/>
      <c r="BT47" s="53"/>
      <c r="BU47" s="53"/>
      <c r="BV47" s="53"/>
      <c r="BW47" s="53"/>
      <c r="BX47" s="53"/>
      <c r="BY47" s="53"/>
      <c r="BZ47" s="53"/>
      <c r="CA47" s="53"/>
      <c r="CB47" s="53"/>
    </row>
    <row r="48" spans="2:80">
      <c r="B48" s="120" t="s">
        <v>70</v>
      </c>
      <c r="C48" s="120">
        <v>1</v>
      </c>
      <c r="D48" s="121">
        <v>1423</v>
      </c>
      <c r="E48" s="122">
        <v>44808</v>
      </c>
      <c r="F48" s="122">
        <v>44808</v>
      </c>
      <c r="G48" s="122">
        <f t="shared" si="23"/>
        <v>44808</v>
      </c>
      <c r="H48" s="122">
        <f t="shared" si="25"/>
        <v>44895</v>
      </c>
      <c r="I48" s="197">
        <f t="shared" si="21"/>
        <v>0.24109589041095891</v>
      </c>
      <c r="J48" s="121">
        <f>D48*I48*S5*S6*(S7+S8)*S12*S13</f>
        <v>1513.5578492703908</v>
      </c>
      <c r="AA48" s="53"/>
      <c r="AB48" s="53"/>
      <c r="AC48" s="53"/>
      <c r="AD48" s="53"/>
      <c r="AE48" s="53"/>
      <c r="AF48" s="53"/>
      <c r="AG48" s="53"/>
      <c r="AH48" s="53"/>
      <c r="AI48" s="53"/>
      <c r="AJ48" s="53"/>
      <c r="AK48" s="53"/>
      <c r="AL48" s="53"/>
      <c r="AM48" s="53"/>
      <c r="AN48" s="53"/>
      <c r="AO48" s="53"/>
      <c r="AP48" s="53"/>
      <c r="AQ48" s="53"/>
      <c r="AR48" s="53"/>
      <c r="AS48" s="53"/>
      <c r="AT48" s="53"/>
      <c r="AU48" s="53"/>
      <c r="AV48" s="53"/>
      <c r="AW48" s="53"/>
      <c r="AX48" s="53"/>
      <c r="AY48" s="53"/>
      <c r="AZ48" s="53"/>
      <c r="BA48" s="53"/>
      <c r="BB48" s="53"/>
      <c r="BC48" s="53"/>
      <c r="BD48" s="53"/>
      <c r="BE48" s="53"/>
      <c r="BF48" s="53"/>
      <c r="BG48" s="53"/>
      <c r="BH48" s="53"/>
      <c r="BI48" s="53"/>
      <c r="BJ48" s="53"/>
      <c r="BK48" s="53"/>
      <c r="BL48" s="53"/>
      <c r="BM48" s="53"/>
      <c r="BN48" s="53"/>
      <c r="BO48" s="53"/>
      <c r="BP48" s="53"/>
      <c r="BQ48" s="53"/>
      <c r="BR48" s="53"/>
      <c r="BS48" s="53"/>
      <c r="BT48" s="53"/>
      <c r="BU48" s="53"/>
      <c r="BV48" s="53"/>
      <c r="BW48" s="53"/>
      <c r="BX48" s="53"/>
      <c r="BY48" s="53"/>
      <c r="BZ48" s="53"/>
      <c r="CA48" s="53"/>
      <c r="CB48" s="53"/>
    </row>
    <row r="49" spans="2:80">
      <c r="B49" s="123" t="s">
        <v>71</v>
      </c>
      <c r="C49" s="123">
        <v>1</v>
      </c>
      <c r="D49" s="124">
        <f>2801+4780</f>
        <v>7581</v>
      </c>
      <c r="E49" s="125">
        <v>44808</v>
      </c>
      <c r="F49" s="125">
        <v>44810</v>
      </c>
      <c r="G49" s="125">
        <f t="shared" si="23"/>
        <v>44810</v>
      </c>
      <c r="H49" s="126">
        <f t="shared" si="25"/>
        <v>44895</v>
      </c>
      <c r="I49" s="198">
        <f t="shared" si="21"/>
        <v>0.23561643835616439</v>
      </c>
      <c r="J49" s="124">
        <f>D49*I49*T5*T6*(T7+T8)*T12*T13</f>
        <v>7880.1847629641215</v>
      </c>
      <c r="AA49" s="53"/>
      <c r="AB49" s="53"/>
      <c r="AC49" s="53"/>
      <c r="AD49" s="53"/>
      <c r="AE49" s="53"/>
      <c r="AF49" s="53"/>
      <c r="AG49" s="53"/>
      <c r="AH49" s="53"/>
      <c r="AI49" s="53"/>
      <c r="AJ49" s="53"/>
      <c r="AK49" s="53"/>
      <c r="AL49" s="53"/>
      <c r="AM49" s="53"/>
      <c r="AN49" s="53"/>
      <c r="AO49" s="53"/>
      <c r="AP49" s="53"/>
      <c r="AQ49" s="53"/>
      <c r="AR49" s="53"/>
      <c r="AS49" s="53"/>
      <c r="AT49" s="53"/>
      <c r="AU49" s="53"/>
      <c r="AV49" s="53"/>
      <c r="AW49" s="53"/>
      <c r="AX49" s="53"/>
      <c r="AY49" s="53"/>
      <c r="AZ49" s="53"/>
      <c r="BA49" s="53"/>
      <c r="BB49" s="53"/>
      <c r="BC49" s="53"/>
      <c r="BD49" s="53"/>
      <c r="BE49" s="53"/>
      <c r="BF49" s="53"/>
      <c r="BG49" s="53"/>
      <c r="BH49" s="53"/>
      <c r="BI49" s="53"/>
      <c r="BJ49" s="53"/>
      <c r="BK49" s="53"/>
      <c r="BL49" s="53"/>
      <c r="BM49" s="53"/>
      <c r="BN49" s="53"/>
      <c r="BO49" s="53"/>
      <c r="BP49" s="53"/>
      <c r="BQ49" s="53"/>
      <c r="BR49" s="53"/>
      <c r="BS49" s="53"/>
      <c r="BT49" s="53"/>
      <c r="BU49" s="53"/>
      <c r="BV49" s="53"/>
      <c r="BW49" s="53"/>
      <c r="BX49" s="53"/>
      <c r="BY49" s="53"/>
      <c r="BZ49" s="53"/>
      <c r="CA49" s="53"/>
      <c r="CB49" s="53"/>
    </row>
    <row r="50" spans="2:80">
      <c r="B50" s="127" t="s">
        <v>72</v>
      </c>
      <c r="C50" s="127">
        <v>1</v>
      </c>
      <c r="D50" s="128">
        <v>6000</v>
      </c>
      <c r="E50" s="129">
        <v>44717</v>
      </c>
      <c r="F50" s="129">
        <v>44731</v>
      </c>
      <c r="G50" s="129">
        <f t="shared" si="23"/>
        <v>44731</v>
      </c>
      <c r="H50" s="129">
        <f t="shared" si="25"/>
        <v>44895</v>
      </c>
      <c r="I50" s="199">
        <f t="shared" si="21"/>
        <v>0.45205479452054792</v>
      </c>
      <c r="J50" s="128">
        <f>D50*I50*U5*U6*(U7+U8)*U14*U12</f>
        <v>16956.067627211582</v>
      </c>
      <c r="AA50" s="53"/>
      <c r="AB50" s="53"/>
      <c r="AC50" s="53"/>
      <c r="AD50" s="53"/>
      <c r="AE50" s="53"/>
      <c r="AF50" s="53"/>
      <c r="AG50" s="53"/>
      <c r="AH50" s="53"/>
      <c r="AI50" s="53"/>
      <c r="AJ50" s="53"/>
      <c r="AK50" s="53"/>
      <c r="AL50" s="53"/>
      <c r="AM50" s="53"/>
      <c r="AN50" s="53"/>
      <c r="AO50" s="53"/>
      <c r="AP50" s="53"/>
      <c r="AQ50" s="53"/>
      <c r="AR50" s="53"/>
      <c r="AS50" s="53"/>
      <c r="AT50" s="53"/>
      <c r="AU50" s="53"/>
      <c r="AV50" s="53"/>
      <c r="AW50" s="53"/>
      <c r="AX50" s="53"/>
      <c r="AY50" s="53"/>
      <c r="AZ50" s="53"/>
      <c r="BA50" s="53"/>
      <c r="BB50" s="53"/>
      <c r="BC50" s="53"/>
      <c r="BD50" s="53"/>
      <c r="BE50" s="53"/>
      <c r="BF50" s="53"/>
      <c r="BG50" s="53"/>
      <c r="BH50" s="53"/>
      <c r="BI50" s="53"/>
      <c r="BJ50" s="53"/>
      <c r="BK50" s="53"/>
      <c r="BL50" s="53"/>
      <c r="BM50" s="53"/>
      <c r="BN50" s="53"/>
      <c r="BO50" s="53"/>
      <c r="BP50" s="53"/>
      <c r="BQ50" s="53"/>
      <c r="BR50" s="53"/>
      <c r="BS50" s="53"/>
      <c r="BT50" s="53"/>
      <c r="BU50" s="53"/>
      <c r="BV50" s="53"/>
      <c r="BW50" s="53"/>
      <c r="BX50" s="53"/>
      <c r="BY50" s="53"/>
      <c r="BZ50" s="53"/>
      <c r="CA50" s="53"/>
      <c r="CB50" s="53"/>
    </row>
    <row r="51" spans="2:80">
      <c r="B51" s="127" t="s">
        <v>72</v>
      </c>
      <c r="C51" s="127">
        <v>1</v>
      </c>
      <c r="D51" s="128">
        <v>4000</v>
      </c>
      <c r="E51" s="129">
        <v>44760</v>
      </c>
      <c r="F51" s="129">
        <v>44760</v>
      </c>
      <c r="G51" s="129">
        <f t="shared" si="23"/>
        <v>44760</v>
      </c>
      <c r="H51" s="129">
        <f t="shared" si="25"/>
        <v>44895</v>
      </c>
      <c r="I51" s="199">
        <f t="shared" si="21"/>
        <v>0.37260273972602742</v>
      </c>
      <c r="J51" s="128">
        <f>D51*I51*U5*U6*(U7+U8)*U12*U14</f>
        <v>9317.2735244475753</v>
      </c>
      <c r="AA51" s="53"/>
      <c r="AB51" s="53"/>
      <c r="AC51" s="53"/>
      <c r="AD51" s="53"/>
      <c r="AE51" s="53"/>
      <c r="AF51" s="53"/>
      <c r="AG51" s="53"/>
      <c r="AH51" s="53"/>
      <c r="AI51" s="53"/>
      <c r="AJ51" s="53"/>
      <c r="AK51" s="53"/>
      <c r="AL51" s="53"/>
      <c r="AM51" s="53"/>
      <c r="AN51" s="53"/>
      <c r="AO51" s="53"/>
      <c r="AP51" s="53"/>
      <c r="AQ51" s="53"/>
      <c r="AR51" s="53"/>
      <c r="AS51" s="53"/>
      <c r="AT51" s="53"/>
      <c r="AU51" s="53"/>
      <c r="AV51" s="53"/>
      <c r="AW51" s="53"/>
      <c r="AX51" s="53"/>
      <c r="AY51" s="53"/>
      <c r="AZ51" s="53"/>
      <c r="BA51" s="53"/>
      <c r="BB51" s="53"/>
      <c r="BC51" s="53"/>
      <c r="BD51" s="53"/>
      <c r="BE51" s="53"/>
      <c r="BF51" s="53"/>
      <c r="BG51" s="53"/>
      <c r="BH51" s="53"/>
      <c r="BI51" s="53"/>
      <c r="BJ51" s="53"/>
      <c r="BK51" s="53"/>
      <c r="BL51" s="53"/>
      <c r="BM51" s="53"/>
      <c r="BN51" s="53"/>
      <c r="BO51" s="53"/>
      <c r="BP51" s="53"/>
      <c r="BQ51" s="53"/>
      <c r="BR51" s="53"/>
      <c r="BS51" s="53"/>
      <c r="BT51" s="53"/>
      <c r="BU51" s="53"/>
      <c r="BV51" s="53"/>
      <c r="BW51" s="53"/>
      <c r="BX51" s="53"/>
      <c r="BY51" s="53"/>
      <c r="BZ51" s="53"/>
      <c r="CA51" s="53"/>
      <c r="CB51" s="53"/>
    </row>
    <row r="52" spans="2:80">
      <c r="B52" s="131" t="s">
        <v>73</v>
      </c>
      <c r="C52" s="131">
        <v>1</v>
      </c>
      <c r="D52" s="132">
        <f>4350+4550+1100</f>
        <v>10000</v>
      </c>
      <c r="E52" s="133">
        <v>44751</v>
      </c>
      <c r="F52" s="134">
        <v>44766</v>
      </c>
      <c r="G52" s="134">
        <f t="shared" si="23"/>
        <v>44766</v>
      </c>
      <c r="H52" s="134">
        <f t="shared" si="25"/>
        <v>44895</v>
      </c>
      <c r="I52" s="200">
        <f t="shared" si="21"/>
        <v>0.35616438356164382</v>
      </c>
      <c r="J52" s="132">
        <f>D52*I52*V5*V6*(V7+V8)*V12*V14</f>
        <v>22265.543348863692</v>
      </c>
      <c r="AA52" s="53"/>
      <c r="AB52" s="53"/>
      <c r="AC52" s="53"/>
      <c r="AD52" s="53"/>
      <c r="AE52" s="53"/>
      <c r="AF52" s="53"/>
      <c r="AG52" s="53"/>
      <c r="AH52" s="53"/>
      <c r="AI52" s="53"/>
      <c r="AJ52" s="53"/>
      <c r="AK52" s="53"/>
      <c r="AL52" s="53"/>
      <c r="AM52" s="53"/>
      <c r="AN52" s="53"/>
      <c r="AO52" s="53"/>
      <c r="AP52" s="53"/>
      <c r="AQ52" s="53"/>
      <c r="AR52" s="53"/>
      <c r="AS52" s="53"/>
      <c r="AT52" s="53"/>
      <c r="AU52" s="53"/>
      <c r="AV52" s="53"/>
      <c r="AW52" s="53"/>
      <c r="AX52" s="53"/>
      <c r="AY52" s="53"/>
      <c r="AZ52" s="53"/>
      <c r="BA52" s="53"/>
      <c r="BB52" s="53"/>
      <c r="BC52" s="53"/>
      <c r="BD52" s="53"/>
      <c r="BE52" s="53"/>
      <c r="BF52" s="53"/>
      <c r="BG52" s="53"/>
      <c r="BH52" s="53"/>
      <c r="BI52" s="53"/>
      <c r="BJ52" s="53"/>
      <c r="BK52" s="53"/>
      <c r="BL52" s="53"/>
      <c r="BM52" s="53"/>
      <c r="BN52" s="53"/>
      <c r="BO52" s="53"/>
      <c r="BP52" s="53"/>
      <c r="BQ52" s="53"/>
      <c r="BR52" s="53"/>
      <c r="BS52" s="53"/>
      <c r="BT52" s="53"/>
      <c r="BU52" s="53"/>
      <c r="BV52" s="53"/>
      <c r="BW52" s="53"/>
      <c r="BX52" s="53"/>
      <c r="BY52" s="53"/>
      <c r="BZ52" s="53"/>
      <c r="CA52" s="53"/>
      <c r="CB52" s="53"/>
    </row>
    <row r="53" spans="2:80">
      <c r="B53" s="135" t="s">
        <v>74</v>
      </c>
      <c r="C53" s="135">
        <v>1</v>
      </c>
      <c r="D53" s="136">
        <v>10000</v>
      </c>
      <c r="E53" s="137">
        <v>44764</v>
      </c>
      <c r="F53" s="137">
        <v>44766</v>
      </c>
      <c r="G53" s="137">
        <f t="shared" si="23"/>
        <v>44766</v>
      </c>
      <c r="H53" s="137">
        <f t="shared" si="25"/>
        <v>44895</v>
      </c>
      <c r="I53" s="201">
        <f t="shared" si="21"/>
        <v>0.35616438356164382</v>
      </c>
      <c r="J53" s="136">
        <f>D53*I53*W5*W6*(W7+W8)*W12*W14</f>
        <v>22265.543348863692</v>
      </c>
      <c r="AA53" s="53"/>
      <c r="AB53" s="53"/>
      <c r="AC53" s="53"/>
      <c r="AD53" s="53"/>
      <c r="AE53" s="53"/>
      <c r="AF53" s="53"/>
      <c r="AG53" s="53"/>
      <c r="AH53" s="53"/>
      <c r="AI53" s="53"/>
      <c r="AJ53" s="53"/>
      <c r="AK53" s="53"/>
      <c r="AL53" s="53"/>
      <c r="AM53" s="53"/>
      <c r="AN53" s="53"/>
      <c r="AO53" s="53"/>
      <c r="AP53" s="53"/>
      <c r="AQ53" s="53"/>
      <c r="AR53" s="53"/>
      <c r="AS53" s="53"/>
      <c r="AT53" s="53"/>
      <c r="AU53" s="53"/>
      <c r="AV53" s="53"/>
      <c r="AW53" s="53"/>
      <c r="AX53" s="53"/>
      <c r="AY53" s="53"/>
      <c r="AZ53" s="53"/>
      <c r="BA53" s="53"/>
      <c r="BB53" s="53"/>
      <c r="BC53" s="53"/>
      <c r="BD53" s="53"/>
      <c r="BE53" s="53"/>
      <c r="BF53" s="53"/>
      <c r="BG53" s="53"/>
      <c r="BH53" s="53"/>
      <c r="BI53" s="53"/>
      <c r="BJ53" s="53"/>
      <c r="BK53" s="53"/>
      <c r="BL53" s="53"/>
      <c r="BM53" s="53"/>
      <c r="BN53" s="53"/>
      <c r="BO53" s="53"/>
      <c r="BP53" s="53"/>
      <c r="BQ53" s="53"/>
      <c r="BR53" s="53"/>
      <c r="BS53" s="53"/>
      <c r="BT53" s="53"/>
      <c r="BU53" s="53"/>
      <c r="BV53" s="53"/>
      <c r="BW53" s="53"/>
      <c r="BX53" s="53"/>
      <c r="BY53" s="53"/>
      <c r="BZ53" s="53"/>
      <c r="CA53" s="53"/>
      <c r="CB53" s="53"/>
    </row>
    <row r="54" spans="2:80">
      <c r="B54" s="138" t="s">
        <v>75</v>
      </c>
      <c r="C54" s="138">
        <v>1</v>
      </c>
      <c r="D54" s="139">
        <v>3580</v>
      </c>
      <c r="E54" s="140">
        <v>44723</v>
      </c>
      <c r="F54" s="140">
        <v>44723</v>
      </c>
      <c r="G54" s="140">
        <f t="shared" si="23"/>
        <v>44723</v>
      </c>
      <c r="H54" s="140">
        <f t="shared" si="25"/>
        <v>44895</v>
      </c>
      <c r="I54" s="202">
        <f t="shared" si="21"/>
        <v>0.47397260273972602</v>
      </c>
      <c r="J54" s="139">
        <f>D54*I54*X5*X6*(X7+X8)*X12*X14</f>
        <v>10607.647398219415</v>
      </c>
      <c r="AA54" s="53"/>
      <c r="AB54" s="53"/>
      <c r="AC54" s="53"/>
      <c r="AD54" s="53"/>
      <c r="AE54" s="53"/>
      <c r="AF54" s="53"/>
      <c r="AG54" s="53"/>
      <c r="AH54" s="53"/>
      <c r="AI54" s="53"/>
      <c r="AJ54" s="53"/>
      <c r="AK54" s="53"/>
      <c r="AL54" s="53"/>
      <c r="AM54" s="53"/>
      <c r="AN54" s="53"/>
      <c r="AO54" s="53"/>
      <c r="AP54" s="53"/>
      <c r="AQ54" s="53"/>
      <c r="AR54" s="53"/>
      <c r="AS54" s="53"/>
      <c r="AT54" s="53"/>
      <c r="AU54" s="53"/>
      <c r="AV54" s="53"/>
      <c r="AW54" s="53"/>
      <c r="AX54" s="53"/>
      <c r="AY54" s="53"/>
      <c r="AZ54" s="53"/>
      <c r="BA54" s="53"/>
      <c r="BB54" s="53"/>
      <c r="BC54" s="53"/>
      <c r="BD54" s="53"/>
      <c r="BE54" s="53"/>
      <c r="BF54" s="53"/>
      <c r="BG54" s="53"/>
      <c r="BH54" s="53"/>
      <c r="BI54" s="53"/>
      <c r="BJ54" s="53"/>
      <c r="BK54" s="53"/>
      <c r="BL54" s="53"/>
      <c r="BM54" s="53"/>
      <c r="BN54" s="53"/>
      <c r="BO54" s="53"/>
      <c r="BP54" s="53"/>
      <c r="BQ54" s="53"/>
      <c r="BR54" s="53"/>
      <c r="BS54" s="53"/>
      <c r="BT54" s="53"/>
      <c r="BU54" s="53"/>
      <c r="BV54" s="53"/>
      <c r="BW54" s="53"/>
      <c r="BX54" s="53"/>
      <c r="BY54" s="53"/>
      <c r="BZ54" s="53"/>
      <c r="CA54" s="53"/>
      <c r="CB54" s="53"/>
    </row>
    <row r="55" spans="2:80">
      <c r="B55" s="138" t="s">
        <v>75</v>
      </c>
      <c r="C55" s="138">
        <v>1</v>
      </c>
      <c r="D55" s="139">
        <f>2000+4000+420</f>
        <v>6420</v>
      </c>
      <c r="E55" s="140">
        <v>44745</v>
      </c>
      <c r="F55" s="140">
        <v>44763</v>
      </c>
      <c r="G55" s="140">
        <f t="shared" si="23"/>
        <v>44763</v>
      </c>
      <c r="H55" s="140">
        <f t="shared" si="25"/>
        <v>44895</v>
      </c>
      <c r="I55" s="202">
        <f t="shared" si="21"/>
        <v>0.36438356164383562</v>
      </c>
      <c r="J55" s="139">
        <f>D55*I55*X5*X6*(X7+X8)*Y12*Y14</f>
        <v>14624.351418354421</v>
      </c>
      <c r="AA55" s="53"/>
      <c r="AB55" s="53"/>
      <c r="AC55" s="53"/>
      <c r="AD55" s="53"/>
      <c r="AE55" s="53"/>
      <c r="AF55" s="53"/>
      <c r="AG55" s="53"/>
      <c r="AH55" s="53"/>
      <c r="AI55" s="53"/>
      <c r="AJ55" s="53"/>
      <c r="AK55" s="53"/>
      <c r="AL55" s="53"/>
      <c r="AM55" s="53"/>
      <c r="AN55" s="53"/>
      <c r="AO55" s="53"/>
      <c r="AP55" s="53"/>
      <c r="AQ55" s="53"/>
      <c r="AR55" s="53"/>
      <c r="AS55" s="53"/>
      <c r="AT55" s="53"/>
      <c r="AU55" s="53"/>
      <c r="AV55" s="53"/>
      <c r="AW55" s="53"/>
      <c r="AX55" s="53"/>
      <c r="AY55" s="53"/>
      <c r="AZ55" s="53"/>
      <c r="BA55" s="53"/>
      <c r="BB55" s="53"/>
      <c r="BC55" s="53"/>
      <c r="BD55" s="53"/>
      <c r="BE55" s="53"/>
      <c r="BF55" s="53"/>
      <c r="BG55" s="53"/>
      <c r="BH55" s="53"/>
      <c r="BI55" s="53"/>
      <c r="BJ55" s="53"/>
      <c r="BK55" s="53"/>
      <c r="BL55" s="53"/>
      <c r="BM55" s="53"/>
      <c r="BN55" s="53"/>
      <c r="BO55" s="53"/>
      <c r="BP55" s="53"/>
      <c r="BQ55" s="53"/>
      <c r="BR55" s="53"/>
      <c r="BS55" s="53"/>
      <c r="BT55" s="53"/>
      <c r="BU55" s="53"/>
      <c r="BV55" s="53"/>
      <c r="BW55" s="53"/>
      <c r="BX55" s="53"/>
      <c r="BY55" s="53"/>
      <c r="BZ55" s="53"/>
      <c r="CA55" s="53"/>
      <c r="CB55" s="53"/>
    </row>
    <row r="56" spans="2:80">
      <c r="B56" s="127" t="s">
        <v>76</v>
      </c>
      <c r="C56" s="127">
        <v>1</v>
      </c>
      <c r="D56" s="141">
        <v>4796</v>
      </c>
      <c r="E56" s="129">
        <v>44763</v>
      </c>
      <c r="F56" s="129">
        <v>44763</v>
      </c>
      <c r="G56" s="129">
        <f t="shared" si="23"/>
        <v>44763</v>
      </c>
      <c r="H56" s="129">
        <f t="shared" si="25"/>
        <v>44895</v>
      </c>
      <c r="I56" s="199">
        <f t="shared" si="21"/>
        <v>0.36438356164383562</v>
      </c>
      <c r="J56" s="128">
        <f>D56*I56*Y5*Y6*(Y7+Y8)*Y12*Y14</f>
        <v>10924.982772963835</v>
      </c>
      <c r="AA56" s="53"/>
      <c r="AB56" s="53"/>
      <c r="AC56" s="53"/>
      <c r="AD56" s="53"/>
      <c r="AE56" s="53"/>
      <c r="AF56" s="53"/>
      <c r="AG56" s="53"/>
      <c r="AH56" s="53"/>
      <c r="AI56" s="53"/>
      <c r="AJ56" s="53"/>
      <c r="AK56" s="53"/>
      <c r="AL56" s="53"/>
      <c r="AM56" s="53"/>
      <c r="AN56" s="53"/>
      <c r="AO56" s="53"/>
      <c r="AP56" s="53"/>
      <c r="AQ56" s="53"/>
      <c r="AR56" s="53"/>
      <c r="AS56" s="53"/>
      <c r="AT56" s="53"/>
      <c r="AU56" s="53"/>
      <c r="AV56" s="53"/>
      <c r="AW56" s="53"/>
      <c r="AX56" s="53"/>
      <c r="AY56" s="53"/>
      <c r="AZ56" s="53"/>
      <c r="BA56" s="53"/>
      <c r="BB56" s="53"/>
      <c r="BC56" s="53"/>
      <c r="BD56" s="53"/>
      <c r="BE56" s="53"/>
      <c r="BF56" s="53"/>
      <c r="BG56" s="53"/>
      <c r="BH56" s="53"/>
      <c r="BI56" s="53"/>
      <c r="BJ56" s="53"/>
      <c r="BK56" s="53"/>
      <c r="BL56" s="53"/>
      <c r="BM56" s="53"/>
      <c r="BN56" s="53"/>
      <c r="BO56" s="53"/>
      <c r="BP56" s="53"/>
      <c r="BQ56" s="53"/>
      <c r="BR56" s="53"/>
      <c r="BS56" s="53"/>
      <c r="BT56" s="53"/>
      <c r="BU56" s="53"/>
      <c r="BV56" s="53"/>
      <c r="BW56" s="53"/>
      <c r="BX56" s="53"/>
      <c r="BY56" s="53"/>
      <c r="BZ56" s="53"/>
      <c r="CA56" s="53"/>
      <c r="CB56" s="53"/>
    </row>
    <row r="57" spans="2:80">
      <c r="B57" s="127" t="s">
        <v>76</v>
      </c>
      <c r="C57" s="127">
        <v>1</v>
      </c>
      <c r="D57" s="128">
        <v>5204</v>
      </c>
      <c r="E57" s="129">
        <v>44777</v>
      </c>
      <c r="F57" s="129">
        <v>44777</v>
      </c>
      <c r="G57" s="129">
        <f t="shared" si="23"/>
        <v>44777</v>
      </c>
      <c r="H57" s="129">
        <f t="shared" si="25"/>
        <v>44895</v>
      </c>
      <c r="I57" s="199">
        <f t="shared" si="21"/>
        <v>0.32602739726027397</v>
      </c>
      <c r="J57" s="128">
        <f>D57*I57*Y5*Y6*(Y7+Y8)*Y12*Y14</f>
        <v>10606.551248393009</v>
      </c>
      <c r="AA57" s="53"/>
      <c r="AB57" s="53"/>
      <c r="AC57" s="53"/>
      <c r="AD57" s="53"/>
      <c r="AE57" s="53"/>
      <c r="AF57" s="53"/>
      <c r="AG57" s="53"/>
      <c r="AH57" s="53"/>
      <c r="AI57" s="53"/>
      <c r="AJ57" s="53"/>
      <c r="AK57" s="53"/>
      <c r="AL57" s="53"/>
      <c r="AM57" s="53"/>
      <c r="AN57" s="53"/>
      <c r="AO57" s="53"/>
      <c r="AP57" s="53"/>
      <c r="AQ57" s="53"/>
      <c r="AR57" s="53"/>
      <c r="AS57" s="53"/>
      <c r="AT57" s="53"/>
      <c r="AU57" s="53"/>
      <c r="AV57" s="53"/>
      <c r="AW57" s="53"/>
      <c r="AX57" s="53"/>
      <c r="AY57" s="53"/>
      <c r="AZ57" s="53"/>
      <c r="BA57" s="53"/>
      <c r="BB57" s="53"/>
      <c r="BC57" s="53"/>
      <c r="BD57" s="53"/>
      <c r="BE57" s="53"/>
      <c r="BF57" s="53"/>
      <c r="BG57" s="53"/>
      <c r="BH57" s="53"/>
      <c r="BI57" s="53"/>
      <c r="BJ57" s="53"/>
      <c r="BK57" s="53"/>
      <c r="BL57" s="53"/>
      <c r="BM57" s="53"/>
      <c r="BN57" s="53"/>
      <c r="BO57" s="53"/>
      <c r="BP57" s="53"/>
      <c r="BQ57" s="53"/>
      <c r="BR57" s="53"/>
      <c r="BS57" s="53"/>
      <c r="BT57" s="53"/>
      <c r="BU57" s="53"/>
      <c r="BV57" s="53"/>
      <c r="BW57" s="53"/>
      <c r="BX57" s="53"/>
      <c r="BY57" s="53"/>
      <c r="BZ57" s="53"/>
      <c r="CA57" s="53"/>
      <c r="CB57" s="53"/>
    </row>
    <row r="58" spans="2:80">
      <c r="B58" s="142" t="s">
        <v>77</v>
      </c>
      <c r="C58" s="142">
        <v>1</v>
      </c>
      <c r="D58" s="143">
        <v>10000</v>
      </c>
      <c r="E58" s="144">
        <v>44777</v>
      </c>
      <c r="F58" s="144">
        <v>44788</v>
      </c>
      <c r="G58" s="144">
        <f t="shared" si="23"/>
        <v>44788</v>
      </c>
      <c r="H58" s="144">
        <f t="shared" si="25"/>
        <v>44895</v>
      </c>
      <c r="I58" s="203">
        <f t="shared" si="21"/>
        <v>0.29589041095890412</v>
      </c>
      <c r="J58" s="162">
        <f>D58*I58*Z5*Z6*(Z7+Z8)*Z12*Z14</f>
        <v>18497.528320594451</v>
      </c>
      <c r="AA58" s="53"/>
      <c r="AB58" s="53"/>
      <c r="AC58" s="53"/>
      <c r="AD58" s="53"/>
      <c r="AE58" s="53"/>
      <c r="AF58" s="53"/>
      <c r="AG58" s="53"/>
      <c r="AH58" s="53"/>
      <c r="AI58" s="53"/>
      <c r="AJ58" s="53"/>
      <c r="AK58" s="53"/>
      <c r="AL58" s="53"/>
      <c r="AM58" s="53"/>
      <c r="AN58" s="53"/>
      <c r="AO58" s="53"/>
      <c r="AP58" s="53"/>
      <c r="AQ58" s="53"/>
      <c r="AR58" s="53"/>
      <c r="AS58" s="53"/>
      <c r="AT58" s="53"/>
      <c r="AU58" s="53"/>
      <c r="AV58" s="53"/>
      <c r="AW58" s="53"/>
      <c r="AX58" s="53"/>
      <c r="AY58" s="53"/>
      <c r="AZ58" s="53"/>
      <c r="BA58" s="53"/>
      <c r="BB58" s="53"/>
      <c r="BC58" s="53"/>
      <c r="BD58" s="53"/>
      <c r="BE58" s="53"/>
      <c r="BF58" s="53"/>
      <c r="BG58" s="53"/>
      <c r="BH58" s="53"/>
      <c r="BI58" s="53"/>
      <c r="BJ58" s="53"/>
      <c r="BK58" s="53"/>
      <c r="BL58" s="53"/>
      <c r="BM58" s="53"/>
      <c r="BN58" s="53"/>
      <c r="BO58" s="53"/>
      <c r="BP58" s="53"/>
      <c r="BQ58" s="53"/>
      <c r="BR58" s="53"/>
      <c r="BS58" s="53"/>
      <c r="BT58" s="53"/>
      <c r="BU58" s="53"/>
      <c r="BV58" s="53"/>
      <c r="BW58" s="53"/>
      <c r="BX58" s="53"/>
      <c r="BY58" s="53"/>
      <c r="BZ58" s="53"/>
      <c r="CA58" s="53"/>
      <c r="CB58" s="53"/>
    </row>
    <row r="59" spans="2:80">
      <c r="B59" s="96" t="s">
        <v>78</v>
      </c>
      <c r="C59" s="96">
        <v>1</v>
      </c>
      <c r="D59" s="145">
        <v>10000</v>
      </c>
      <c r="E59" s="98">
        <v>44663</v>
      </c>
      <c r="F59" s="98">
        <v>44666</v>
      </c>
      <c r="G59" s="98">
        <f t="shared" si="23"/>
        <v>44666</v>
      </c>
      <c r="H59" s="98">
        <f t="shared" si="25"/>
        <v>44895</v>
      </c>
      <c r="I59" s="189">
        <f t="shared" si="21"/>
        <v>0.63013698630136983</v>
      </c>
      <c r="J59" s="115">
        <f>D59*I59*AA5*AA6*(AA7+AA8)*AA12*AA14</f>
        <v>39392.884386451151</v>
      </c>
      <c r="AA59" s="53"/>
      <c r="AB59" s="53"/>
      <c r="AC59" s="53"/>
      <c r="AD59" s="53"/>
      <c r="AE59" s="53"/>
      <c r="AF59" s="53"/>
      <c r="AG59" s="53"/>
      <c r="AH59" s="53"/>
      <c r="AI59" s="53"/>
      <c r="AJ59" s="53"/>
      <c r="AK59" s="53"/>
      <c r="AL59" s="53"/>
      <c r="AM59" s="53"/>
      <c r="AN59" s="53"/>
      <c r="AO59" s="53"/>
      <c r="AP59" s="53"/>
      <c r="AQ59" s="53"/>
      <c r="AR59" s="53"/>
      <c r="AS59" s="53"/>
      <c r="AT59" s="53"/>
      <c r="AU59" s="53"/>
      <c r="AV59" s="53"/>
      <c r="AW59" s="53"/>
      <c r="AX59" s="53"/>
      <c r="AY59" s="53"/>
      <c r="AZ59" s="53"/>
      <c r="BA59" s="53"/>
      <c r="BB59" s="53"/>
      <c r="BC59" s="53"/>
      <c r="BD59" s="53"/>
      <c r="BE59" s="53"/>
      <c r="BF59" s="53"/>
      <c r="BG59" s="53"/>
      <c r="BH59" s="53"/>
      <c r="BI59" s="53"/>
      <c r="BJ59" s="53"/>
      <c r="BK59" s="53"/>
      <c r="BL59" s="53"/>
      <c r="BM59" s="53"/>
      <c r="BN59" s="53"/>
      <c r="BO59" s="53"/>
      <c r="BP59" s="53"/>
      <c r="BQ59" s="53"/>
      <c r="BR59" s="53"/>
      <c r="BS59" s="53"/>
      <c r="BT59" s="53"/>
      <c r="BU59" s="53"/>
      <c r="BV59" s="53"/>
      <c r="BW59" s="53"/>
      <c r="BX59" s="53"/>
      <c r="BY59" s="53"/>
      <c r="BZ59" s="53"/>
      <c r="CA59" s="53"/>
      <c r="CB59" s="53"/>
    </row>
    <row r="60" spans="2:80">
      <c r="B60" s="109" t="s">
        <v>79</v>
      </c>
      <c r="C60" s="109">
        <v>1</v>
      </c>
      <c r="D60" s="146">
        <v>5000</v>
      </c>
      <c r="E60" s="111">
        <v>44663</v>
      </c>
      <c r="F60" s="111">
        <v>44663</v>
      </c>
      <c r="G60" s="111">
        <f t="shared" si="23"/>
        <v>44663</v>
      </c>
      <c r="H60" s="111">
        <f t="shared" si="25"/>
        <v>44895</v>
      </c>
      <c r="I60" s="193">
        <f t="shared" si="21"/>
        <v>0.63835616438356169</v>
      </c>
      <c r="J60" s="167">
        <f>D60*I60*AB5*AB6*(AB7+AB8)*AB12*AB14</f>
        <v>19953.352308789385</v>
      </c>
      <c r="AA60" s="53"/>
      <c r="AB60" s="53"/>
      <c r="AC60" s="53"/>
      <c r="AD60" s="53"/>
      <c r="AE60" s="53"/>
      <c r="AF60" s="53"/>
      <c r="AG60" s="53"/>
      <c r="AH60" s="53"/>
      <c r="AI60" s="53"/>
      <c r="AJ60" s="53"/>
      <c r="AK60" s="53"/>
      <c r="AL60" s="53"/>
      <c r="AM60" s="53"/>
      <c r="AN60" s="53"/>
      <c r="AO60" s="53"/>
      <c r="AP60" s="53"/>
      <c r="AQ60" s="53"/>
      <c r="AR60" s="53"/>
      <c r="AS60" s="53"/>
      <c r="AT60" s="53"/>
      <c r="AU60" s="53"/>
      <c r="AV60" s="53"/>
      <c r="AW60" s="53"/>
      <c r="AX60" s="53"/>
      <c r="AY60" s="53"/>
      <c r="AZ60" s="53"/>
      <c r="BA60" s="53"/>
      <c r="BB60" s="53"/>
      <c r="BC60" s="53"/>
      <c r="BD60" s="53"/>
      <c r="BE60" s="53"/>
      <c r="BF60" s="53"/>
      <c r="BG60" s="53"/>
      <c r="BH60" s="53"/>
      <c r="BI60" s="53"/>
      <c r="BJ60" s="53"/>
      <c r="BK60" s="53"/>
      <c r="BL60" s="53"/>
      <c r="BM60" s="53"/>
      <c r="BN60" s="53"/>
      <c r="BO60" s="53"/>
      <c r="BP60" s="53"/>
      <c r="BQ60" s="53"/>
      <c r="BR60" s="53"/>
      <c r="BS60" s="53"/>
      <c r="BT60" s="53"/>
      <c r="BU60" s="53"/>
      <c r="BV60" s="53"/>
      <c r="BW60" s="53"/>
      <c r="BX60" s="53"/>
      <c r="BY60" s="53"/>
      <c r="BZ60" s="53"/>
      <c r="CA60" s="53"/>
      <c r="CB60" s="53"/>
    </row>
    <row r="61" spans="2:80">
      <c r="B61" s="109" t="s">
        <v>79</v>
      </c>
      <c r="C61" s="109">
        <v>1</v>
      </c>
      <c r="D61" s="146">
        <v>2800</v>
      </c>
      <c r="E61" s="111">
        <v>44692</v>
      </c>
      <c r="F61" s="111">
        <v>44693</v>
      </c>
      <c r="G61" s="111">
        <f t="shared" si="23"/>
        <v>44693</v>
      </c>
      <c r="H61" s="111">
        <f t="shared" ref="H61:H68" si="26">H60</f>
        <v>44895</v>
      </c>
      <c r="I61" s="193">
        <f t="shared" si="21"/>
        <v>0.55616438356164388</v>
      </c>
      <c r="J61" s="167">
        <f>D61*I61*AB5*AB6*(AB7+AB8)*AB12*AB14</f>
        <v>9735.1806457647108</v>
      </c>
      <c r="AA61" s="53"/>
      <c r="AB61" s="53"/>
      <c r="AC61" s="53"/>
      <c r="AD61" s="53"/>
      <c r="AE61" s="53"/>
      <c r="AF61" s="53"/>
      <c r="AG61" s="53"/>
      <c r="AH61" s="53"/>
      <c r="AI61" s="53"/>
      <c r="AJ61" s="53"/>
      <c r="AK61" s="53"/>
      <c r="AL61" s="53"/>
      <c r="AM61" s="53"/>
      <c r="AN61" s="53"/>
      <c r="AO61" s="53"/>
      <c r="AP61" s="53"/>
      <c r="AQ61" s="53"/>
      <c r="AR61" s="53"/>
      <c r="AS61" s="53"/>
      <c r="AT61" s="53"/>
      <c r="AU61" s="53"/>
      <c r="AV61" s="53"/>
      <c r="AW61" s="53"/>
      <c r="AX61" s="53"/>
      <c r="AY61" s="53"/>
      <c r="AZ61" s="53"/>
      <c r="BA61" s="53"/>
      <c r="BB61" s="53"/>
      <c r="BC61" s="53"/>
      <c r="BD61" s="53"/>
      <c r="BE61" s="53"/>
      <c r="BF61" s="53"/>
      <c r="BG61" s="53"/>
      <c r="BH61" s="53"/>
      <c r="BI61" s="53"/>
      <c r="BJ61" s="53"/>
      <c r="BK61" s="53"/>
      <c r="BL61" s="53"/>
      <c r="BM61" s="53"/>
      <c r="BN61" s="53"/>
      <c r="BO61" s="53"/>
      <c r="BP61" s="53"/>
      <c r="BQ61" s="53"/>
      <c r="BR61" s="53"/>
      <c r="BS61" s="53"/>
      <c r="BT61" s="53"/>
      <c r="BU61" s="53"/>
      <c r="BV61" s="53"/>
      <c r="BW61" s="53"/>
      <c r="BX61" s="53"/>
      <c r="BY61" s="53"/>
      <c r="BZ61" s="53"/>
      <c r="CA61" s="53"/>
      <c r="CB61" s="53"/>
    </row>
    <row r="62" spans="2:80">
      <c r="B62" s="109" t="s">
        <v>79</v>
      </c>
      <c r="C62" s="109">
        <v>1</v>
      </c>
      <c r="D62" s="146">
        <v>2200</v>
      </c>
      <c r="E62" s="111">
        <v>44717</v>
      </c>
      <c r="F62" s="111">
        <v>44717</v>
      </c>
      <c r="G62" s="111">
        <f t="shared" si="23"/>
        <v>44717</v>
      </c>
      <c r="H62" s="111">
        <f t="shared" si="26"/>
        <v>44895</v>
      </c>
      <c r="I62" s="193">
        <f t="shared" si="21"/>
        <v>0.49041095890410957</v>
      </c>
      <c r="J62" s="167">
        <f>D62*I62*AB5*AB6*(AB7+AB8)*AB12*AB14</f>
        <v>6744.7469006019392</v>
      </c>
      <c r="AA62" s="53"/>
      <c r="AB62" s="53"/>
      <c r="AC62" s="53"/>
      <c r="AD62" s="53"/>
      <c r="AE62" s="53"/>
      <c r="AF62" s="53"/>
      <c r="AG62" s="53"/>
      <c r="AH62" s="53"/>
      <c r="AI62" s="53"/>
      <c r="AJ62" s="53"/>
      <c r="AK62" s="53"/>
      <c r="AL62" s="53"/>
      <c r="AM62" s="53"/>
      <c r="AN62" s="53"/>
      <c r="AO62" s="53"/>
      <c r="AP62" s="53"/>
      <c r="AQ62" s="53"/>
      <c r="AR62" s="53"/>
      <c r="AS62" s="53"/>
      <c r="AT62" s="53"/>
      <c r="AU62" s="53"/>
      <c r="AV62" s="53"/>
      <c r="AW62" s="53"/>
      <c r="AX62" s="53"/>
      <c r="AY62" s="53"/>
      <c r="AZ62" s="53"/>
      <c r="BA62" s="53"/>
      <c r="BB62" s="53"/>
      <c r="BC62" s="53"/>
      <c r="BD62" s="53"/>
      <c r="BE62" s="53"/>
      <c r="BF62" s="53"/>
      <c r="BG62" s="53"/>
      <c r="BH62" s="53"/>
      <c r="BI62" s="53"/>
      <c r="BJ62" s="53"/>
      <c r="BK62" s="53"/>
      <c r="BL62" s="53"/>
      <c r="BM62" s="53"/>
      <c r="BN62" s="53"/>
      <c r="BO62" s="53"/>
      <c r="BP62" s="53"/>
      <c r="BQ62" s="53"/>
      <c r="BR62" s="53"/>
      <c r="BS62" s="53"/>
      <c r="BT62" s="53"/>
      <c r="BU62" s="53"/>
      <c r="BV62" s="53"/>
      <c r="BW62" s="53"/>
      <c r="BX62" s="53"/>
      <c r="BY62" s="53"/>
      <c r="BZ62" s="53"/>
      <c r="CA62" s="53"/>
      <c r="CB62" s="53"/>
    </row>
    <row r="63" spans="2:80">
      <c r="B63" s="147" t="s">
        <v>80</v>
      </c>
      <c r="C63" s="147">
        <v>1</v>
      </c>
      <c r="D63" s="148">
        <v>10000</v>
      </c>
      <c r="E63" s="149">
        <v>44809</v>
      </c>
      <c r="F63" s="149">
        <v>44811</v>
      </c>
      <c r="G63" s="149">
        <f t="shared" si="23"/>
        <v>44811</v>
      </c>
      <c r="H63" s="149">
        <f t="shared" si="26"/>
        <v>44895</v>
      </c>
      <c r="I63" s="204">
        <f t="shared" si="21"/>
        <v>0.23287671232876711</v>
      </c>
      <c r="J63" s="148">
        <f>D63*I63*AC5*AC6*(AC7+AC8)*AC12*AC14</f>
        <v>14558.239881949336</v>
      </c>
      <c r="AA63" s="53"/>
      <c r="AB63" s="53"/>
      <c r="AC63" s="53"/>
      <c r="AD63" s="53"/>
      <c r="AE63" s="53"/>
      <c r="AF63" s="53"/>
      <c r="AG63" s="53"/>
      <c r="AH63" s="53"/>
      <c r="AI63" s="53"/>
      <c r="AJ63" s="53"/>
      <c r="AK63" s="53"/>
      <c r="AL63" s="53"/>
      <c r="AM63" s="53"/>
      <c r="AN63" s="53"/>
      <c r="AO63" s="53"/>
      <c r="AP63" s="53"/>
      <c r="AQ63" s="53"/>
      <c r="AR63" s="53"/>
      <c r="AS63" s="53"/>
      <c r="AT63" s="53"/>
      <c r="AU63" s="53"/>
      <c r="AV63" s="53"/>
      <c r="AW63" s="53"/>
      <c r="AX63" s="53"/>
      <c r="AY63" s="53"/>
      <c r="AZ63" s="53"/>
      <c r="BA63" s="53"/>
      <c r="BB63" s="53"/>
      <c r="BC63" s="53"/>
      <c r="BD63" s="53"/>
      <c r="BE63" s="53"/>
      <c r="BF63" s="53"/>
      <c r="BG63" s="53"/>
      <c r="BH63" s="53"/>
      <c r="BI63" s="53"/>
      <c r="BJ63" s="53"/>
      <c r="BK63" s="53"/>
      <c r="BL63" s="53"/>
      <c r="BM63" s="53"/>
      <c r="BN63" s="53"/>
      <c r="BO63" s="53"/>
      <c r="BP63" s="53"/>
      <c r="BQ63" s="53"/>
      <c r="BR63" s="53"/>
      <c r="BS63" s="53"/>
      <c r="BT63" s="53"/>
      <c r="BU63" s="53"/>
      <c r="BV63" s="53"/>
      <c r="BW63" s="53"/>
      <c r="BX63" s="53"/>
      <c r="BY63" s="53"/>
      <c r="BZ63" s="53"/>
      <c r="CA63" s="53"/>
      <c r="CB63" s="53"/>
    </row>
    <row r="64" spans="2:80">
      <c r="B64" s="150" t="s">
        <v>81</v>
      </c>
      <c r="C64" s="150">
        <v>1</v>
      </c>
      <c r="D64" s="151">
        <v>8500</v>
      </c>
      <c r="E64" s="152">
        <v>44805</v>
      </c>
      <c r="F64" s="152">
        <v>44809</v>
      </c>
      <c r="G64" s="152">
        <f t="shared" si="23"/>
        <v>44809</v>
      </c>
      <c r="H64" s="152">
        <f t="shared" si="26"/>
        <v>44895</v>
      </c>
      <c r="I64" s="205">
        <f t="shared" si="21"/>
        <v>0.23835616438356164</v>
      </c>
      <c r="J64" s="151">
        <f>D64*I64*AD5*AD6*(AD7+AD8)*AD12*AD14</f>
        <v>12665.668697295923</v>
      </c>
      <c r="AA64" s="53"/>
      <c r="AB64" s="53"/>
      <c r="AC64" s="53"/>
      <c r="AD64" s="53"/>
      <c r="AE64" s="53"/>
      <c r="AF64" s="53"/>
      <c r="AG64" s="53"/>
      <c r="AH64" s="53"/>
      <c r="AI64" s="53"/>
      <c r="AJ64" s="53"/>
      <c r="AK64" s="53"/>
      <c r="AL64" s="53"/>
      <c r="AM64" s="53"/>
      <c r="AN64" s="53"/>
      <c r="AO64" s="53"/>
      <c r="AP64" s="53"/>
      <c r="AQ64" s="53"/>
      <c r="AR64" s="53"/>
      <c r="AS64" s="53"/>
      <c r="AT64" s="53"/>
      <c r="AU64" s="53"/>
      <c r="AV64" s="53"/>
      <c r="AW64" s="53"/>
      <c r="AX64" s="53"/>
      <c r="AY64" s="53"/>
      <c r="AZ64" s="53"/>
      <c r="BA64" s="53"/>
      <c r="BB64" s="53"/>
      <c r="BC64" s="53"/>
      <c r="BD64" s="53"/>
      <c r="BE64" s="53"/>
      <c r="BF64" s="53"/>
      <c r="BG64" s="53"/>
      <c r="BH64" s="53"/>
      <c r="BI64" s="53"/>
      <c r="BJ64" s="53"/>
      <c r="BK64" s="53"/>
      <c r="BL64" s="53"/>
      <c r="BM64" s="53"/>
      <c r="BN64" s="53"/>
      <c r="BO64" s="53"/>
      <c r="BP64" s="53"/>
      <c r="BQ64" s="53"/>
      <c r="BR64" s="53"/>
      <c r="BS64" s="53"/>
      <c r="BT64" s="53"/>
      <c r="BU64" s="53"/>
      <c r="BV64" s="53"/>
      <c r="BW64" s="53"/>
      <c r="BX64" s="53"/>
      <c r="BY64" s="53"/>
      <c r="BZ64" s="53"/>
      <c r="CA64" s="53"/>
      <c r="CB64" s="53"/>
    </row>
    <row r="65" spans="2:80">
      <c r="B65" s="150" t="s">
        <v>81</v>
      </c>
      <c r="C65" s="150">
        <v>1</v>
      </c>
      <c r="D65" s="151">
        <v>1500</v>
      </c>
      <c r="E65" s="152">
        <v>44835</v>
      </c>
      <c r="F65" s="152">
        <v>44835</v>
      </c>
      <c r="G65" s="152">
        <f t="shared" si="23"/>
        <v>44835</v>
      </c>
      <c r="H65" s="152">
        <f>H64</f>
        <v>44895</v>
      </c>
      <c r="I65" s="205">
        <f t="shared" si="21"/>
        <v>0.16712328767123288</v>
      </c>
      <c r="J65" s="151">
        <f>D65*I65*AD5*AD6*(AD7+AD8)*AD12*AD14</f>
        <v>1567.1517049392521</v>
      </c>
      <c r="AA65" s="53"/>
      <c r="AB65" s="53"/>
      <c r="AC65" s="53"/>
      <c r="AD65" s="53"/>
      <c r="AE65" s="53"/>
      <c r="AF65" s="53"/>
      <c r="AG65" s="53"/>
      <c r="AH65" s="53"/>
      <c r="AI65" s="53"/>
      <c r="AJ65" s="53"/>
      <c r="AK65" s="53"/>
      <c r="AL65" s="53"/>
      <c r="AM65" s="53"/>
      <c r="AN65" s="53"/>
      <c r="AO65" s="53"/>
      <c r="AP65" s="53"/>
      <c r="AQ65" s="53"/>
      <c r="AR65" s="53"/>
      <c r="AS65" s="53"/>
      <c r="AT65" s="53"/>
      <c r="AU65" s="53"/>
      <c r="AV65" s="53"/>
      <c r="AW65" s="53"/>
      <c r="AX65" s="53"/>
      <c r="AY65" s="53"/>
      <c r="AZ65" s="53"/>
      <c r="BA65" s="53"/>
      <c r="BB65" s="53"/>
      <c r="BC65" s="53"/>
      <c r="BD65" s="53"/>
      <c r="BE65" s="53"/>
      <c r="BF65" s="53"/>
      <c r="BG65" s="53"/>
      <c r="BH65" s="53"/>
      <c r="BI65" s="53"/>
      <c r="BJ65" s="53"/>
      <c r="BK65" s="53"/>
      <c r="BL65" s="53"/>
      <c r="BM65" s="53"/>
      <c r="BN65" s="53"/>
      <c r="BO65" s="53"/>
      <c r="BP65" s="53"/>
      <c r="BQ65" s="53"/>
      <c r="BR65" s="53"/>
      <c r="BS65" s="53"/>
      <c r="BT65" s="53"/>
      <c r="BU65" s="53"/>
      <c r="BV65" s="53"/>
      <c r="BW65" s="53"/>
      <c r="BX65" s="53"/>
      <c r="BY65" s="53"/>
      <c r="BZ65" s="53"/>
      <c r="CA65" s="53"/>
      <c r="CB65" s="53"/>
    </row>
    <row r="66" spans="2:80">
      <c r="B66" s="77" t="s">
        <v>157</v>
      </c>
      <c r="C66" s="77">
        <v>1</v>
      </c>
      <c r="D66" s="252">
        <v>5000</v>
      </c>
      <c r="E66" s="79">
        <v>44835</v>
      </c>
      <c r="F66" s="79">
        <v>44841</v>
      </c>
      <c r="G66" s="79">
        <f>F66</f>
        <v>44841</v>
      </c>
      <c r="H66" s="79">
        <f>H65</f>
        <v>44895</v>
      </c>
      <c r="I66" s="273">
        <f>(H66-G66+1)/365</f>
        <v>0.15068493150684931</v>
      </c>
      <c r="J66" s="252">
        <f>D66*I66*AE5*AE6*(AE7+AE8)*AE12*AE14</f>
        <v>4710.0187853365496</v>
      </c>
      <c r="AA66" s="53"/>
      <c r="AB66" s="53"/>
      <c r="AC66" s="53"/>
      <c r="AD66" s="53"/>
      <c r="AE66" s="53"/>
      <c r="AF66" s="53"/>
      <c r="AG66" s="53"/>
      <c r="AH66" s="53"/>
      <c r="AI66" s="53"/>
      <c r="AJ66" s="53"/>
      <c r="AK66" s="53"/>
      <c r="AL66" s="53"/>
      <c r="AM66" s="53"/>
      <c r="AN66" s="53"/>
      <c r="AO66" s="53"/>
      <c r="AP66" s="53"/>
      <c r="AQ66" s="53"/>
      <c r="AR66" s="53"/>
      <c r="AS66" s="53"/>
      <c r="AT66" s="53"/>
      <c r="AU66" s="53"/>
      <c r="AV66" s="53"/>
      <c r="AW66" s="53"/>
      <c r="AX66" s="53"/>
      <c r="AY66" s="53"/>
      <c r="AZ66" s="53"/>
      <c r="BA66" s="53"/>
      <c r="BB66" s="53"/>
      <c r="BC66" s="53"/>
      <c r="BD66" s="53"/>
      <c r="BE66" s="53"/>
      <c r="BF66" s="53"/>
      <c r="BG66" s="53"/>
      <c r="BH66" s="53"/>
      <c r="BI66" s="53"/>
      <c r="BJ66" s="53"/>
      <c r="BK66" s="53"/>
      <c r="BL66" s="53"/>
      <c r="BM66" s="53"/>
      <c r="BN66" s="53"/>
      <c r="BO66" s="53"/>
      <c r="BP66" s="53"/>
      <c r="BQ66" s="53"/>
      <c r="BR66" s="53"/>
      <c r="BS66" s="53"/>
      <c r="BT66" s="53"/>
      <c r="BU66" s="53"/>
      <c r="BV66" s="53"/>
      <c r="BW66" s="53"/>
      <c r="BX66" s="53"/>
      <c r="BY66" s="53"/>
      <c r="BZ66" s="53"/>
      <c r="CA66" s="53"/>
      <c r="CB66" s="53"/>
    </row>
    <row r="67" spans="2:80">
      <c r="B67" s="153" t="s">
        <v>82</v>
      </c>
      <c r="C67" s="153">
        <v>1</v>
      </c>
      <c r="D67" s="154">
        <f>2800+1030+3260+730+430+200+570+500</f>
        <v>9520</v>
      </c>
      <c r="E67" s="155">
        <v>44691</v>
      </c>
      <c r="F67" s="155">
        <v>44706</v>
      </c>
      <c r="G67" s="155">
        <f t="shared" si="23"/>
        <v>44706</v>
      </c>
      <c r="H67" s="155">
        <f>H64</f>
        <v>44895</v>
      </c>
      <c r="I67" s="206">
        <f t="shared" si="21"/>
        <v>0.52054794520547942</v>
      </c>
      <c r="J67" s="154">
        <f>D67*I67*AF5*AF6*(AF7+AF8)*AF12*AF14</f>
        <v>30979.934468788186</v>
      </c>
      <c r="AA67" s="53"/>
      <c r="AB67" s="53"/>
      <c r="AC67" s="53"/>
      <c r="AD67" s="53"/>
      <c r="AE67" s="53"/>
      <c r="AF67" s="53"/>
      <c r="AG67" s="53"/>
      <c r="AH67" s="53"/>
      <c r="AI67" s="53"/>
      <c r="AJ67" s="53"/>
      <c r="AK67" s="53"/>
      <c r="AL67" s="53"/>
      <c r="AM67" s="53"/>
      <c r="AN67" s="53"/>
      <c r="AO67" s="53"/>
      <c r="AP67" s="53"/>
      <c r="AQ67" s="53"/>
      <c r="AR67" s="53"/>
      <c r="AS67" s="53"/>
      <c r="AT67" s="53"/>
      <c r="AU67" s="53"/>
      <c r="AV67" s="53"/>
      <c r="AW67" s="53"/>
      <c r="AX67" s="53"/>
      <c r="AY67" s="53"/>
      <c r="AZ67" s="53"/>
      <c r="BA67" s="53"/>
      <c r="BB67" s="53"/>
      <c r="BC67" s="53"/>
      <c r="BD67" s="53"/>
      <c r="BE67" s="53"/>
      <c r="BF67" s="53"/>
      <c r="BG67" s="53"/>
      <c r="BH67" s="53"/>
      <c r="BI67" s="53"/>
      <c r="BJ67" s="53"/>
      <c r="BK67" s="53"/>
      <c r="BL67" s="53"/>
      <c r="BM67" s="53"/>
      <c r="BN67" s="53"/>
      <c r="BO67" s="53"/>
      <c r="BP67" s="53"/>
      <c r="BQ67" s="53"/>
      <c r="BR67" s="53"/>
      <c r="BS67" s="53"/>
      <c r="BT67" s="53"/>
      <c r="BU67" s="53"/>
      <c r="BV67" s="53"/>
      <c r="BW67" s="53"/>
      <c r="BX67" s="53"/>
      <c r="BY67" s="53"/>
      <c r="BZ67" s="53"/>
      <c r="CA67" s="53"/>
      <c r="CB67" s="53"/>
    </row>
    <row r="68" spans="2:80">
      <c r="B68" s="153" t="s">
        <v>82</v>
      </c>
      <c r="C68" s="153">
        <v>1</v>
      </c>
      <c r="D68" s="156">
        <v>480</v>
      </c>
      <c r="E68" s="155">
        <v>44714</v>
      </c>
      <c r="F68" s="155">
        <v>44714</v>
      </c>
      <c r="G68" s="155">
        <f t="shared" si="23"/>
        <v>44714</v>
      </c>
      <c r="H68" s="155">
        <f t="shared" si="26"/>
        <v>44895</v>
      </c>
      <c r="I68" s="206">
        <f t="shared" si="21"/>
        <v>0.49863013698630138</v>
      </c>
      <c r="J68" s="154">
        <f>D68*I68*AF5*AF6*(AF7+AF8)*AF12*AF14</f>
        <v>1496.2445130436402</v>
      </c>
      <c r="AA68" s="53"/>
      <c r="AB68" s="53"/>
      <c r="AC68" s="53"/>
      <c r="AD68" s="53"/>
      <c r="AE68" s="53"/>
      <c r="AF68" s="53"/>
      <c r="AG68" s="53"/>
      <c r="AH68" s="53"/>
      <c r="AI68" s="53"/>
      <c r="AJ68" s="53"/>
      <c r="AK68" s="53"/>
      <c r="AL68" s="53"/>
      <c r="AM68" s="53"/>
      <c r="AN68" s="53"/>
      <c r="AO68" s="53"/>
      <c r="AP68" s="53"/>
      <c r="AQ68" s="53"/>
      <c r="AR68" s="53"/>
      <c r="AS68" s="53"/>
      <c r="AT68" s="53"/>
      <c r="AU68" s="53"/>
      <c r="AV68" s="53"/>
      <c r="AW68" s="53"/>
      <c r="AX68" s="53"/>
      <c r="AY68" s="53"/>
      <c r="AZ68" s="53"/>
      <c r="BA68" s="53"/>
      <c r="BB68" s="53"/>
      <c r="BC68" s="53"/>
      <c r="BD68" s="53"/>
      <c r="BE68" s="53"/>
      <c r="BF68" s="53"/>
      <c r="BG68" s="53"/>
      <c r="BH68" s="53"/>
      <c r="BI68" s="53"/>
      <c r="BJ68" s="53"/>
      <c r="BK68" s="53"/>
      <c r="BL68" s="53"/>
      <c r="BM68" s="53"/>
      <c r="BN68" s="53"/>
      <c r="BO68" s="53"/>
      <c r="BP68" s="53"/>
      <c r="BQ68" s="53"/>
      <c r="BR68" s="53"/>
      <c r="BS68" s="53"/>
      <c r="BT68" s="53"/>
      <c r="BU68" s="53"/>
      <c r="BV68" s="53"/>
      <c r="BW68" s="53"/>
      <c r="BX68" s="53"/>
      <c r="BY68" s="53"/>
      <c r="BZ68" s="53"/>
      <c r="CA68" s="53"/>
      <c r="CB68" s="53"/>
    </row>
    <row r="69" spans="2:80">
      <c r="B69" s="159" t="s">
        <v>83</v>
      </c>
      <c r="C69" s="159">
        <v>1</v>
      </c>
      <c r="D69" s="160">
        <v>20</v>
      </c>
      <c r="E69" s="161">
        <v>44697</v>
      </c>
      <c r="F69" s="161">
        <v>44697</v>
      </c>
      <c r="G69" s="161">
        <f t="shared" si="23"/>
        <v>44697</v>
      </c>
      <c r="H69" s="161">
        <f t="shared" ref="H69:H88" si="27">H68</f>
        <v>44895</v>
      </c>
      <c r="I69" s="207">
        <f t="shared" si="21"/>
        <v>0.54520547945205478</v>
      </c>
      <c r="J69" s="297">
        <f>D69*I69*AG5*AG6*(AG7+AG8)*AG12*AG14</f>
        <v>68.166817329598061</v>
      </c>
      <c r="AA69" s="53"/>
      <c r="AB69" s="53"/>
      <c r="AC69" s="53"/>
      <c r="AD69" s="53"/>
      <c r="AE69" s="53"/>
      <c r="AF69" s="53"/>
      <c r="AG69" s="53"/>
      <c r="AH69" s="53"/>
      <c r="AI69" s="53"/>
      <c r="AJ69" s="53"/>
      <c r="AK69" s="53"/>
      <c r="AL69" s="53"/>
      <c r="AM69" s="53"/>
      <c r="AN69" s="53"/>
      <c r="AO69" s="53"/>
      <c r="AP69" s="53"/>
      <c r="AQ69" s="53"/>
      <c r="AR69" s="53"/>
      <c r="AS69" s="53"/>
      <c r="AT69" s="53"/>
      <c r="AU69" s="53"/>
      <c r="AV69" s="53"/>
      <c r="AW69" s="53"/>
      <c r="AX69" s="53"/>
      <c r="AY69" s="53"/>
      <c r="AZ69" s="53"/>
      <c r="BA69" s="53"/>
      <c r="BB69" s="53"/>
      <c r="BC69" s="53"/>
      <c r="BD69" s="53"/>
      <c r="BE69" s="53"/>
      <c r="BF69" s="53"/>
      <c r="BG69" s="53"/>
      <c r="BH69" s="53"/>
      <c r="BI69" s="53"/>
      <c r="BJ69" s="53"/>
      <c r="BK69" s="53"/>
      <c r="BL69" s="53"/>
      <c r="BM69" s="53"/>
      <c r="BN69" s="53"/>
      <c r="BO69" s="53"/>
      <c r="BP69" s="53"/>
      <c r="BQ69" s="53"/>
      <c r="BR69" s="53"/>
      <c r="BS69" s="53"/>
      <c r="BT69" s="53"/>
      <c r="BU69" s="53"/>
      <c r="BV69" s="53"/>
      <c r="BW69" s="53"/>
      <c r="BX69" s="53"/>
      <c r="BY69" s="53"/>
      <c r="BZ69" s="53"/>
      <c r="CA69" s="53"/>
      <c r="CB69" s="53"/>
    </row>
    <row r="70" spans="2:80">
      <c r="B70" s="142" t="s">
        <v>84</v>
      </c>
      <c r="C70" s="142">
        <v>1</v>
      </c>
      <c r="D70" s="143">
        <v>5500</v>
      </c>
      <c r="E70" s="144">
        <v>44691</v>
      </c>
      <c r="F70" s="144">
        <v>44704</v>
      </c>
      <c r="G70" s="144">
        <f t="shared" si="23"/>
        <v>44704</v>
      </c>
      <c r="H70" s="144">
        <f t="shared" si="27"/>
        <v>44895</v>
      </c>
      <c r="I70" s="203">
        <f t="shared" si="21"/>
        <v>0.52602739726027392</v>
      </c>
      <c r="J70" s="162">
        <f>D70*I70*AH5*AH6*(AH7+AH8)*AH12*AH14</f>
        <v>18086.472135692355</v>
      </c>
      <c r="AA70" s="53"/>
      <c r="AB70" s="53"/>
      <c r="AC70" s="53"/>
      <c r="AD70" s="53"/>
      <c r="AE70" s="53"/>
      <c r="AF70" s="53"/>
      <c r="AG70" s="53"/>
      <c r="AH70" s="53"/>
      <c r="AI70" s="53"/>
      <c r="AJ70" s="53"/>
      <c r="AK70" s="53"/>
      <c r="AL70" s="53"/>
      <c r="AM70" s="53"/>
      <c r="AN70" s="53"/>
      <c r="AO70" s="53"/>
      <c r="AP70" s="53"/>
      <c r="AQ70" s="53"/>
      <c r="AR70" s="53"/>
      <c r="AS70" s="53"/>
      <c r="AT70" s="53"/>
      <c r="AU70" s="53"/>
      <c r="AV70" s="53"/>
      <c r="AW70" s="53"/>
      <c r="AX70" s="53"/>
      <c r="AY70" s="53"/>
      <c r="AZ70" s="53"/>
      <c r="BA70" s="53"/>
      <c r="BB70" s="53"/>
      <c r="BC70" s="53"/>
      <c r="BD70" s="53"/>
      <c r="BE70" s="53"/>
      <c r="BF70" s="53"/>
      <c r="BG70" s="53"/>
      <c r="BH70" s="53"/>
      <c r="BI70" s="53"/>
      <c r="BJ70" s="53"/>
      <c r="BK70" s="53"/>
      <c r="BL70" s="53"/>
      <c r="BM70" s="53"/>
      <c r="BN70" s="53"/>
      <c r="BO70" s="53"/>
      <c r="BP70" s="53"/>
      <c r="BQ70" s="53"/>
      <c r="BR70" s="53"/>
      <c r="BS70" s="53"/>
      <c r="BT70" s="53"/>
      <c r="BU70" s="53"/>
      <c r="BV70" s="53"/>
      <c r="BW70" s="53"/>
      <c r="BX70" s="53"/>
      <c r="BY70" s="53"/>
      <c r="BZ70" s="53"/>
      <c r="CA70" s="53"/>
      <c r="CB70" s="53"/>
    </row>
    <row r="71" spans="2:80">
      <c r="B71" s="142" t="s">
        <v>84</v>
      </c>
      <c r="C71" s="142">
        <v>1</v>
      </c>
      <c r="D71" s="162">
        <v>1300</v>
      </c>
      <c r="E71" s="144">
        <v>44714</v>
      </c>
      <c r="F71" s="144">
        <v>44714</v>
      </c>
      <c r="G71" s="144">
        <f t="shared" si="23"/>
        <v>44714</v>
      </c>
      <c r="H71" s="144">
        <f t="shared" si="27"/>
        <v>44895</v>
      </c>
      <c r="I71" s="203">
        <f t="shared" si="21"/>
        <v>0.49863013698630138</v>
      </c>
      <c r="J71" s="162">
        <f>D71*I71*AH5*AH6*(AH7+AH8)*AH12*AH14</f>
        <v>4052.328889493192</v>
      </c>
      <c r="AA71" s="53"/>
      <c r="AB71" s="53"/>
      <c r="AC71" s="53"/>
      <c r="AD71" s="53"/>
      <c r="AE71" s="53"/>
      <c r="AF71" s="53"/>
      <c r="AG71" s="53"/>
      <c r="AH71" s="53"/>
      <c r="AI71" s="53"/>
      <c r="AJ71" s="53"/>
      <c r="AK71" s="53"/>
      <c r="AL71" s="53"/>
      <c r="AM71" s="53"/>
      <c r="AN71" s="53"/>
      <c r="AO71" s="53"/>
      <c r="AP71" s="53"/>
      <c r="AQ71" s="53"/>
      <c r="AR71" s="53"/>
      <c r="AS71" s="53"/>
      <c r="AT71" s="53"/>
      <c r="AU71" s="53"/>
      <c r="AV71" s="53"/>
      <c r="AW71" s="53"/>
      <c r="AX71" s="53"/>
      <c r="AY71" s="53"/>
      <c r="AZ71" s="53"/>
      <c r="BA71" s="53"/>
      <c r="BB71" s="53"/>
      <c r="BC71" s="53"/>
      <c r="BD71" s="53"/>
      <c r="BE71" s="53"/>
      <c r="BF71" s="53"/>
      <c r="BG71" s="53"/>
      <c r="BH71" s="53"/>
      <c r="BI71" s="53"/>
      <c r="BJ71" s="53"/>
      <c r="BK71" s="53"/>
      <c r="BL71" s="53"/>
      <c r="BM71" s="53"/>
      <c r="BN71" s="53"/>
      <c r="BO71" s="53"/>
      <c r="BP71" s="53"/>
      <c r="BQ71" s="53"/>
      <c r="BR71" s="53"/>
      <c r="BS71" s="53"/>
      <c r="BT71" s="53"/>
      <c r="BU71" s="53"/>
      <c r="BV71" s="53"/>
      <c r="BW71" s="53"/>
      <c r="BX71" s="53"/>
      <c r="BY71" s="53"/>
      <c r="BZ71" s="53"/>
      <c r="CA71" s="53"/>
      <c r="CB71" s="53"/>
    </row>
    <row r="72" spans="2:80">
      <c r="B72" s="59" t="s">
        <v>85</v>
      </c>
      <c r="C72" s="59">
        <v>1</v>
      </c>
      <c r="D72" s="163">
        <v>4129</v>
      </c>
      <c r="E72" s="62">
        <v>44669</v>
      </c>
      <c r="F72" s="62">
        <v>44669</v>
      </c>
      <c r="G72" s="62">
        <f t="shared" si="23"/>
        <v>44669</v>
      </c>
      <c r="H72" s="62">
        <f t="shared" si="27"/>
        <v>44895</v>
      </c>
      <c r="I72" s="63">
        <f t="shared" si="21"/>
        <v>0.62191780821917808</v>
      </c>
      <c r="J72" s="290">
        <f>D72*I72*AI5*AI6*(AI7+AI8)*AI12*AI14</f>
        <v>16053.165589733084</v>
      </c>
      <c r="AA72" s="53"/>
      <c r="AB72" s="53"/>
      <c r="AC72" s="53"/>
      <c r="AD72" s="53"/>
      <c r="AE72" s="53"/>
      <c r="AF72" s="53"/>
      <c r="AG72" s="53"/>
      <c r="AH72" s="53"/>
      <c r="AI72" s="53"/>
      <c r="AJ72" s="53"/>
      <c r="AK72" s="53"/>
      <c r="AL72" s="53"/>
      <c r="AM72" s="53"/>
      <c r="AN72" s="53"/>
      <c r="AO72" s="53"/>
      <c r="AP72" s="53"/>
      <c r="AQ72" s="53"/>
      <c r="AR72" s="53"/>
      <c r="AS72" s="53"/>
      <c r="AT72" s="53"/>
      <c r="AU72" s="53"/>
      <c r="AV72" s="53"/>
      <c r="AW72" s="53"/>
      <c r="AX72" s="53"/>
      <c r="AY72" s="53"/>
      <c r="AZ72" s="53"/>
      <c r="BA72" s="53"/>
      <c r="BB72" s="53"/>
      <c r="BC72" s="53"/>
      <c r="BD72" s="53"/>
      <c r="BE72" s="53"/>
      <c r="BF72" s="53"/>
      <c r="BG72" s="53"/>
      <c r="BH72" s="53"/>
      <c r="BI72" s="53"/>
      <c r="BJ72" s="53"/>
      <c r="BK72" s="53"/>
      <c r="BL72" s="53"/>
      <c r="BM72" s="53"/>
      <c r="BN72" s="53"/>
      <c r="BO72" s="53"/>
      <c r="BP72" s="53"/>
      <c r="BQ72" s="53"/>
      <c r="BR72" s="53"/>
      <c r="BS72" s="53"/>
      <c r="BT72" s="53"/>
      <c r="BU72" s="53"/>
      <c r="BV72" s="53"/>
      <c r="BW72" s="53"/>
      <c r="BX72" s="53"/>
      <c r="BY72" s="53"/>
      <c r="BZ72" s="53"/>
      <c r="CA72" s="53"/>
      <c r="CB72" s="53"/>
    </row>
    <row r="73" spans="2:80">
      <c r="B73" s="59" t="s">
        <v>85</v>
      </c>
      <c r="C73" s="59">
        <v>1</v>
      </c>
      <c r="D73" s="163">
        <v>460</v>
      </c>
      <c r="E73" s="62">
        <v>44696</v>
      </c>
      <c r="F73" s="62">
        <v>44696</v>
      </c>
      <c r="G73" s="62">
        <f t="shared" si="23"/>
        <v>44696</v>
      </c>
      <c r="H73" s="62">
        <f t="shared" si="27"/>
        <v>44895</v>
      </c>
      <c r="I73" s="63">
        <f t="shared" si="21"/>
        <v>0.54794520547945202</v>
      </c>
      <c r="J73" s="290">
        <f>D73*I73*AI5*AI6*(AI7+AI8)*AI12*AI14</f>
        <v>1575.7153754580459</v>
      </c>
      <c r="AA73" s="53"/>
      <c r="AB73" s="53"/>
      <c r="AC73" s="53"/>
      <c r="AD73" s="53"/>
      <c r="AE73" s="53"/>
      <c r="AF73" s="53"/>
      <c r="AG73" s="53"/>
      <c r="AH73" s="53"/>
      <c r="AI73" s="53"/>
      <c r="AJ73" s="53"/>
      <c r="AK73" s="53"/>
      <c r="AL73" s="53"/>
      <c r="AM73" s="53"/>
      <c r="AN73" s="53"/>
      <c r="AO73" s="53"/>
      <c r="AP73" s="53"/>
      <c r="AQ73" s="53"/>
      <c r="AR73" s="53"/>
      <c r="AS73" s="53"/>
      <c r="AT73" s="53"/>
      <c r="AU73" s="53"/>
      <c r="AV73" s="53"/>
      <c r="AW73" s="53"/>
      <c r="AX73" s="53"/>
      <c r="AY73" s="53"/>
      <c r="AZ73" s="53"/>
      <c r="BA73" s="53"/>
      <c r="BB73" s="53"/>
      <c r="BC73" s="53"/>
      <c r="BD73" s="53"/>
      <c r="BE73" s="53"/>
      <c r="BF73" s="53"/>
      <c r="BG73" s="53"/>
      <c r="BH73" s="53"/>
      <c r="BI73" s="53"/>
      <c r="BJ73" s="53"/>
      <c r="BK73" s="53"/>
      <c r="BL73" s="53"/>
      <c r="BM73" s="53"/>
      <c r="BN73" s="53"/>
      <c r="BO73" s="53"/>
      <c r="BP73" s="53"/>
      <c r="BQ73" s="53"/>
      <c r="BR73" s="53"/>
      <c r="BS73" s="53"/>
      <c r="BT73" s="53"/>
      <c r="BU73" s="53"/>
      <c r="BV73" s="53"/>
      <c r="BW73" s="53"/>
      <c r="BX73" s="53"/>
      <c r="BY73" s="53"/>
      <c r="BZ73" s="53"/>
      <c r="CA73" s="53"/>
      <c r="CB73" s="53"/>
    </row>
    <row r="74" spans="2:80">
      <c r="B74" s="59" t="s">
        <v>85</v>
      </c>
      <c r="C74" s="59">
        <v>1</v>
      </c>
      <c r="D74" s="163">
        <v>5411</v>
      </c>
      <c r="E74" s="62">
        <v>44760</v>
      </c>
      <c r="F74" s="62">
        <v>44767</v>
      </c>
      <c r="G74" s="62">
        <f t="shared" si="23"/>
        <v>44767</v>
      </c>
      <c r="H74" s="62">
        <f t="shared" si="27"/>
        <v>44895</v>
      </c>
      <c r="I74" s="63">
        <f t="shared" si="21"/>
        <v>0.35342465753424657</v>
      </c>
      <c r="J74" s="290">
        <f>D74*I74*AI5*AI6*(AI7+AI8)*AI12*AI14</f>
        <v>11955.209463715757</v>
      </c>
      <c r="AA74" s="53"/>
      <c r="AB74" s="53"/>
      <c r="AC74" s="53"/>
      <c r="AD74" s="53"/>
      <c r="AE74" s="53"/>
      <c r="AF74" s="53"/>
      <c r="AG74" s="53"/>
      <c r="AH74" s="53"/>
      <c r="AI74" s="53"/>
      <c r="AJ74" s="53"/>
      <c r="AK74" s="53"/>
      <c r="AL74" s="53"/>
      <c r="AM74" s="53"/>
      <c r="AN74" s="53"/>
      <c r="AO74" s="53"/>
      <c r="AP74" s="53"/>
      <c r="AQ74" s="53"/>
      <c r="AR74" s="53"/>
      <c r="AS74" s="53"/>
      <c r="AT74" s="53"/>
      <c r="AU74" s="53"/>
      <c r="AV74" s="53"/>
      <c r="AW74" s="53"/>
      <c r="AX74" s="53"/>
      <c r="AY74" s="53"/>
      <c r="AZ74" s="53"/>
      <c r="BA74" s="53"/>
      <c r="BB74" s="53"/>
      <c r="BC74" s="53"/>
      <c r="BD74" s="53"/>
      <c r="BE74" s="53"/>
      <c r="BF74" s="53"/>
      <c r="BG74" s="53"/>
      <c r="BH74" s="53"/>
      <c r="BI74" s="53"/>
      <c r="BJ74" s="53"/>
      <c r="BK74" s="53"/>
      <c r="BL74" s="53"/>
      <c r="BM74" s="53"/>
      <c r="BN74" s="53"/>
      <c r="BO74" s="53"/>
      <c r="BP74" s="53"/>
      <c r="BQ74" s="53"/>
      <c r="BR74" s="53"/>
      <c r="BS74" s="53"/>
      <c r="BT74" s="53"/>
      <c r="BU74" s="53"/>
      <c r="BV74" s="53"/>
      <c r="BW74" s="53"/>
      <c r="BX74" s="53"/>
      <c r="BY74" s="53"/>
      <c r="BZ74" s="53"/>
      <c r="CA74" s="53"/>
      <c r="CB74" s="53"/>
    </row>
    <row r="75" spans="2:80">
      <c r="B75" s="164" t="s">
        <v>86</v>
      </c>
      <c r="C75" s="164">
        <v>1</v>
      </c>
      <c r="D75" s="165">
        <f>150+2024</f>
        <v>2174</v>
      </c>
      <c r="E75" s="166">
        <v>44760</v>
      </c>
      <c r="F75" s="166">
        <v>44767</v>
      </c>
      <c r="G75" s="166">
        <f t="shared" si="23"/>
        <v>44767</v>
      </c>
      <c r="H75" s="166">
        <f t="shared" si="27"/>
        <v>44895</v>
      </c>
      <c r="I75" s="208">
        <f t="shared" si="21"/>
        <v>0.35342465753424657</v>
      </c>
      <c r="J75" s="165">
        <f>D75*I75*AJ5*AJ6*(AJ7+AJ8)*AJ12*AJ14</f>
        <v>4803.2942846272517</v>
      </c>
      <c r="AA75" s="53"/>
      <c r="AB75" s="53"/>
      <c r="AC75" s="53"/>
      <c r="AD75" s="53"/>
      <c r="AE75" s="53"/>
      <c r="AF75" s="53"/>
      <c r="AG75" s="53"/>
      <c r="AH75" s="53"/>
      <c r="AI75" s="53"/>
      <c r="AJ75" s="53"/>
      <c r="AK75" s="53"/>
      <c r="AL75" s="53"/>
      <c r="AM75" s="53"/>
      <c r="AN75" s="53"/>
      <c r="AO75" s="53"/>
      <c r="AP75" s="53"/>
      <c r="AQ75" s="53"/>
      <c r="AR75" s="53"/>
      <c r="AS75" s="53"/>
      <c r="AT75" s="53"/>
      <c r="AU75" s="53"/>
      <c r="AV75" s="53"/>
      <c r="AW75" s="53"/>
      <c r="AX75" s="53"/>
      <c r="AY75" s="53"/>
      <c r="AZ75" s="53"/>
      <c r="BA75" s="53"/>
      <c r="BB75" s="53"/>
      <c r="BC75" s="53"/>
      <c r="BD75" s="53"/>
      <c r="BE75" s="53"/>
      <c r="BF75" s="53"/>
      <c r="BG75" s="53"/>
      <c r="BH75" s="53"/>
      <c r="BI75" s="53"/>
      <c r="BJ75" s="53"/>
      <c r="BK75" s="53"/>
      <c r="BL75" s="53"/>
      <c r="BM75" s="53"/>
      <c r="BN75" s="53"/>
      <c r="BO75" s="53"/>
      <c r="BP75" s="53"/>
      <c r="BQ75" s="53"/>
      <c r="BR75" s="53"/>
      <c r="BS75" s="53"/>
      <c r="BT75" s="53"/>
      <c r="BU75" s="53"/>
      <c r="BV75" s="53"/>
      <c r="BW75" s="53"/>
      <c r="BX75" s="53"/>
      <c r="BY75" s="53"/>
      <c r="BZ75" s="53"/>
      <c r="CA75" s="53"/>
      <c r="CB75" s="53"/>
    </row>
    <row r="76" spans="2:80">
      <c r="B76" s="164" t="s">
        <v>86</v>
      </c>
      <c r="C76" s="164">
        <v>1</v>
      </c>
      <c r="D76" s="165">
        <f>1520+2150+4156</f>
        <v>7826</v>
      </c>
      <c r="E76" s="166">
        <v>44786</v>
      </c>
      <c r="F76" s="166">
        <v>44791</v>
      </c>
      <c r="G76" s="166">
        <f t="shared" si="23"/>
        <v>44791</v>
      </c>
      <c r="H76" s="166">
        <f t="shared" si="27"/>
        <v>44895</v>
      </c>
      <c r="I76" s="208">
        <f t="shared" si="21"/>
        <v>0.28767123287671231</v>
      </c>
      <c r="J76" s="165">
        <f>D76*I76*AJ5*AJ6*(AJ7+AJ8)*AJ12*AJ14</f>
        <v>14074.04995081674</v>
      </c>
      <c r="AA76" s="53"/>
      <c r="AB76" s="53"/>
      <c r="AC76" s="53"/>
      <c r="AD76" s="53"/>
      <c r="AE76" s="53"/>
      <c r="AF76" s="53"/>
      <c r="AG76" s="53"/>
      <c r="AH76" s="53"/>
      <c r="AI76" s="53"/>
      <c r="AJ76" s="53"/>
      <c r="AK76" s="53"/>
      <c r="AL76" s="53"/>
      <c r="AM76" s="53"/>
      <c r="AN76" s="53"/>
      <c r="AO76" s="53"/>
      <c r="AP76" s="53"/>
      <c r="AQ76" s="53"/>
      <c r="AR76" s="53"/>
      <c r="AS76" s="53"/>
      <c r="AT76" s="53"/>
      <c r="AU76" s="53"/>
      <c r="AV76" s="53"/>
      <c r="AW76" s="53"/>
      <c r="AX76" s="53"/>
      <c r="AY76" s="53"/>
      <c r="AZ76" s="53"/>
      <c r="BA76" s="53"/>
      <c r="BB76" s="53"/>
      <c r="BC76" s="53"/>
      <c r="BD76" s="53"/>
      <c r="BE76" s="53"/>
      <c r="BF76" s="53"/>
      <c r="BG76" s="53"/>
      <c r="BH76" s="53"/>
      <c r="BI76" s="53"/>
      <c r="BJ76" s="53"/>
      <c r="BK76" s="53"/>
      <c r="BL76" s="53"/>
      <c r="BM76" s="53"/>
      <c r="BN76" s="53"/>
      <c r="BO76" s="53"/>
      <c r="BP76" s="53"/>
      <c r="BQ76" s="53"/>
      <c r="BR76" s="53"/>
      <c r="BS76" s="53"/>
      <c r="BT76" s="53"/>
      <c r="BU76" s="53"/>
      <c r="BV76" s="53"/>
      <c r="BW76" s="53"/>
      <c r="BX76" s="53"/>
      <c r="BY76" s="53"/>
      <c r="BZ76" s="53"/>
      <c r="CA76" s="53"/>
      <c r="CB76" s="53"/>
    </row>
    <row r="77" spans="2:80">
      <c r="B77" s="103" t="s">
        <v>87</v>
      </c>
      <c r="C77" s="103">
        <v>1</v>
      </c>
      <c r="D77" s="130">
        <v>10000</v>
      </c>
      <c r="E77" s="105">
        <v>44778</v>
      </c>
      <c r="F77" s="105">
        <v>44791</v>
      </c>
      <c r="G77" s="105">
        <f t="shared" si="23"/>
        <v>44791</v>
      </c>
      <c r="H77" s="105">
        <f t="shared" si="27"/>
        <v>44895</v>
      </c>
      <c r="I77" s="191">
        <f t="shared" si="21"/>
        <v>0.28767123287671231</v>
      </c>
      <c r="J77" s="130">
        <f>D77*I77*AK5*AK6*(AK7+AK8)*AK12*AK14</f>
        <v>17983.708089466829</v>
      </c>
      <c r="AA77" s="53"/>
      <c r="AB77" s="53"/>
      <c r="AC77" s="53"/>
      <c r="AD77" s="53"/>
      <c r="AE77" s="53"/>
      <c r="AF77" s="53"/>
      <c r="AG77" s="53"/>
      <c r="AH77" s="53"/>
      <c r="AI77" s="53"/>
      <c r="AJ77" s="53"/>
      <c r="AK77" s="53"/>
      <c r="AL77" s="53"/>
      <c r="AM77" s="53"/>
      <c r="AN77" s="53"/>
      <c r="AO77" s="53"/>
      <c r="AP77" s="53"/>
      <c r="AQ77" s="53"/>
      <c r="AR77" s="53"/>
      <c r="AS77" s="53"/>
      <c r="AT77" s="53"/>
      <c r="AU77" s="53"/>
      <c r="AV77" s="53"/>
      <c r="AW77" s="53"/>
      <c r="AX77" s="53"/>
      <c r="AY77" s="53"/>
      <c r="AZ77" s="53"/>
      <c r="BA77" s="53"/>
      <c r="BB77" s="53"/>
      <c r="BC77" s="53"/>
      <c r="BD77" s="53"/>
      <c r="BE77" s="53"/>
      <c r="BF77" s="53"/>
      <c r="BG77" s="53"/>
      <c r="BH77" s="53"/>
      <c r="BI77" s="53"/>
      <c r="BJ77" s="53"/>
      <c r="BK77" s="53"/>
      <c r="BL77" s="53"/>
      <c r="BM77" s="53"/>
      <c r="BN77" s="53"/>
      <c r="BO77" s="53"/>
      <c r="BP77" s="53"/>
      <c r="BQ77" s="53"/>
      <c r="BR77" s="53"/>
      <c r="BS77" s="53"/>
      <c r="BT77" s="53"/>
      <c r="BU77" s="53"/>
      <c r="BV77" s="53"/>
      <c r="BW77" s="53"/>
      <c r="BX77" s="53"/>
      <c r="BY77" s="53"/>
      <c r="BZ77" s="53"/>
      <c r="CA77" s="53"/>
      <c r="CB77" s="53"/>
    </row>
    <row r="78" spans="2:80">
      <c r="B78" s="109" t="s">
        <v>88</v>
      </c>
      <c r="C78" s="109">
        <v>1</v>
      </c>
      <c r="D78" s="167">
        <v>10000</v>
      </c>
      <c r="E78" s="111">
        <v>44778</v>
      </c>
      <c r="F78" s="111">
        <v>44786</v>
      </c>
      <c r="G78" s="111">
        <f t="shared" si="23"/>
        <v>44786</v>
      </c>
      <c r="H78" s="111">
        <f t="shared" si="27"/>
        <v>44895</v>
      </c>
      <c r="I78" s="193">
        <f t="shared" si="21"/>
        <v>0.30136986301369861</v>
      </c>
      <c r="J78" s="167">
        <f>D78*I78*AL5*AL6*(AL7+AL8)*AL12*AL14</f>
        <v>18840.075141346199</v>
      </c>
      <c r="AA78" s="53"/>
      <c r="AB78" s="53"/>
      <c r="AC78" s="53"/>
      <c r="AD78" s="53"/>
      <c r="AE78" s="53"/>
      <c r="AF78" s="53"/>
      <c r="AG78" s="53"/>
      <c r="AH78" s="53"/>
      <c r="AI78" s="53"/>
      <c r="AJ78" s="53"/>
      <c r="AK78" s="53"/>
      <c r="AL78" s="53"/>
      <c r="AM78" s="53"/>
      <c r="AN78" s="53"/>
      <c r="AO78" s="53"/>
      <c r="AP78" s="53"/>
      <c r="AQ78" s="53"/>
      <c r="AR78" s="53"/>
      <c r="AS78" s="53"/>
      <c r="AT78" s="53"/>
      <c r="AU78" s="53"/>
      <c r="AV78" s="53"/>
      <c r="AW78" s="53"/>
      <c r="AX78" s="53"/>
      <c r="AY78" s="53"/>
      <c r="AZ78" s="53"/>
      <c r="BA78" s="53"/>
      <c r="BB78" s="53"/>
      <c r="BC78" s="53"/>
      <c r="BD78" s="53"/>
      <c r="BE78" s="53"/>
      <c r="BF78" s="53"/>
      <c r="BG78" s="53"/>
      <c r="BH78" s="53"/>
      <c r="BI78" s="53"/>
      <c r="BJ78" s="53"/>
      <c r="BK78" s="53"/>
      <c r="BL78" s="53"/>
      <c r="BM78" s="53"/>
      <c r="BN78" s="53"/>
      <c r="BO78" s="53"/>
      <c r="BP78" s="53"/>
      <c r="BQ78" s="53"/>
      <c r="BR78" s="53"/>
      <c r="BS78" s="53"/>
      <c r="BT78" s="53"/>
      <c r="BU78" s="53"/>
      <c r="BV78" s="53"/>
      <c r="BW78" s="53"/>
      <c r="BX78" s="53"/>
      <c r="BY78" s="53"/>
      <c r="BZ78" s="53"/>
      <c r="CA78" s="53"/>
      <c r="CB78" s="53"/>
    </row>
    <row r="79" spans="2:80">
      <c r="B79" s="120" t="s">
        <v>89</v>
      </c>
      <c r="C79" s="120">
        <v>1</v>
      </c>
      <c r="D79" s="121">
        <f>813+828+5150</f>
        <v>6791</v>
      </c>
      <c r="E79" s="122">
        <v>44778</v>
      </c>
      <c r="F79" s="122">
        <v>44794</v>
      </c>
      <c r="G79" s="122">
        <f t="shared" si="23"/>
        <v>44794</v>
      </c>
      <c r="H79" s="122">
        <f t="shared" si="27"/>
        <v>44895</v>
      </c>
      <c r="I79" s="197">
        <f t="shared" si="21"/>
        <v>0.27945205479452057</v>
      </c>
      <c r="J79" s="121">
        <f>D79*I79*AM5*AM6*(AM7+AM8)*AM12*AM14</f>
        <v>11863.800844598154</v>
      </c>
      <c r="AA79" s="53"/>
      <c r="AB79" s="53"/>
      <c r="AC79" s="53"/>
      <c r="AD79" s="53"/>
      <c r="AE79" s="53"/>
      <c r="AF79" s="53"/>
      <c r="AG79" s="53"/>
      <c r="AH79" s="53"/>
      <c r="AI79" s="53"/>
      <c r="AJ79" s="53"/>
      <c r="AK79" s="53"/>
      <c r="AL79" s="53"/>
      <c r="AM79" s="53"/>
      <c r="AN79" s="53"/>
      <c r="AO79" s="53"/>
      <c r="AP79" s="53"/>
      <c r="AQ79" s="53"/>
      <c r="AR79" s="53"/>
      <c r="AS79" s="53"/>
      <c r="AT79" s="53"/>
      <c r="AU79" s="53"/>
      <c r="AV79" s="53"/>
      <c r="AW79" s="53"/>
      <c r="AX79" s="53"/>
      <c r="AY79" s="53"/>
      <c r="AZ79" s="53"/>
      <c r="BA79" s="53"/>
      <c r="BB79" s="53"/>
      <c r="BC79" s="53"/>
      <c r="BD79" s="53"/>
      <c r="BE79" s="53"/>
      <c r="BF79" s="53"/>
      <c r="BG79" s="53"/>
      <c r="BH79" s="53"/>
      <c r="BI79" s="53"/>
      <c r="BJ79" s="53"/>
      <c r="BK79" s="53"/>
      <c r="BL79" s="53"/>
      <c r="BM79" s="53"/>
      <c r="BN79" s="53"/>
      <c r="BO79" s="53"/>
      <c r="BP79" s="53"/>
      <c r="BQ79" s="53"/>
      <c r="BR79" s="53"/>
      <c r="BS79" s="53"/>
      <c r="BT79" s="53"/>
      <c r="BU79" s="53"/>
      <c r="BV79" s="53"/>
      <c r="BW79" s="53"/>
      <c r="BX79" s="53"/>
      <c r="BY79" s="53"/>
      <c r="BZ79" s="53"/>
      <c r="CA79" s="53"/>
      <c r="CB79" s="53"/>
    </row>
    <row r="80" spans="2:80">
      <c r="B80" s="120" t="s">
        <v>89</v>
      </c>
      <c r="C80" s="120">
        <v>1</v>
      </c>
      <c r="D80" s="121">
        <f>2450+359+400</f>
        <v>3209</v>
      </c>
      <c r="E80" s="122">
        <v>44805</v>
      </c>
      <c r="F80" s="122">
        <v>44815</v>
      </c>
      <c r="G80" s="122">
        <f t="shared" si="23"/>
        <v>44815</v>
      </c>
      <c r="H80" s="122">
        <f t="shared" si="27"/>
        <v>44895</v>
      </c>
      <c r="I80" s="197">
        <f t="shared" si="21"/>
        <v>0.22191780821917809</v>
      </c>
      <c r="J80" s="121">
        <f>D80*I80*AM5*AM6*(AM7+AM8)*AM12*AM14</f>
        <v>4451.8926285590696</v>
      </c>
      <c r="AA80" s="53"/>
      <c r="AB80" s="53"/>
      <c r="AC80" s="53"/>
      <c r="AD80" s="53"/>
      <c r="AE80" s="53"/>
      <c r="AF80" s="53"/>
      <c r="AG80" s="53"/>
      <c r="AH80" s="53"/>
      <c r="AI80" s="53"/>
      <c r="AJ80" s="53"/>
      <c r="AK80" s="53"/>
      <c r="AL80" s="53"/>
      <c r="AM80" s="53"/>
      <c r="AN80" s="53"/>
      <c r="AO80" s="53"/>
      <c r="AP80" s="53"/>
      <c r="AQ80" s="53"/>
      <c r="AR80" s="53"/>
      <c r="AS80" s="53"/>
      <c r="AT80" s="53"/>
      <c r="AU80" s="53"/>
      <c r="AV80" s="53"/>
      <c r="AW80" s="53"/>
      <c r="AX80" s="53"/>
      <c r="AY80" s="53"/>
      <c r="AZ80" s="53"/>
      <c r="BA80" s="53"/>
      <c r="BB80" s="53"/>
      <c r="BC80" s="53"/>
      <c r="BD80" s="53"/>
      <c r="BE80" s="53"/>
      <c r="BF80" s="53"/>
      <c r="BG80" s="53"/>
      <c r="BH80" s="53"/>
      <c r="BI80" s="53"/>
      <c r="BJ80" s="53"/>
      <c r="BK80" s="53"/>
      <c r="BL80" s="53"/>
      <c r="BM80" s="53"/>
      <c r="BN80" s="53"/>
      <c r="BO80" s="53"/>
      <c r="BP80" s="53"/>
      <c r="BQ80" s="53"/>
      <c r="BR80" s="53"/>
      <c r="BS80" s="53"/>
      <c r="BT80" s="53"/>
      <c r="BU80" s="53"/>
      <c r="BV80" s="53"/>
      <c r="BW80" s="53"/>
      <c r="BX80" s="53"/>
      <c r="BY80" s="53"/>
      <c r="BZ80" s="53"/>
      <c r="CA80" s="53"/>
      <c r="CB80" s="53"/>
    </row>
    <row r="81" spans="2:80">
      <c r="B81" s="168" t="s">
        <v>90</v>
      </c>
      <c r="C81" s="168">
        <v>1</v>
      </c>
      <c r="D81" s="169">
        <v>10000</v>
      </c>
      <c r="E81" s="170">
        <v>44807</v>
      </c>
      <c r="F81" s="170">
        <v>44808</v>
      </c>
      <c r="G81" s="170">
        <f t="shared" si="23"/>
        <v>44808</v>
      </c>
      <c r="H81" s="170">
        <f t="shared" si="27"/>
        <v>44895</v>
      </c>
      <c r="I81" s="209">
        <f t="shared" si="21"/>
        <v>0.24109589041095891</v>
      </c>
      <c r="J81" s="169">
        <f>D81*I81*AN5*AN6*(AN7+AN8)*AN12*AN14</f>
        <v>15072.060113076961</v>
      </c>
      <c r="AA81" s="53"/>
      <c r="AB81" s="53"/>
      <c r="AC81" s="53"/>
      <c r="AD81" s="53"/>
      <c r="AE81" s="53"/>
      <c r="AF81" s="53"/>
      <c r="AG81" s="53"/>
      <c r="AH81" s="53"/>
      <c r="AI81" s="53"/>
      <c r="AJ81" s="53"/>
      <c r="AK81" s="53"/>
      <c r="AL81" s="53"/>
      <c r="AM81" s="53"/>
      <c r="AN81" s="53"/>
      <c r="AO81" s="53"/>
      <c r="AP81" s="53"/>
      <c r="AQ81" s="53"/>
      <c r="AR81" s="53"/>
      <c r="AS81" s="53"/>
      <c r="AT81" s="53"/>
      <c r="AU81" s="53"/>
      <c r="AV81" s="53"/>
      <c r="AW81" s="53"/>
      <c r="AX81" s="53"/>
      <c r="AY81" s="53"/>
      <c r="AZ81" s="53"/>
      <c r="BA81" s="53"/>
      <c r="BB81" s="53"/>
      <c r="BC81" s="53"/>
      <c r="BD81" s="53"/>
      <c r="BE81" s="53"/>
      <c r="BF81" s="53"/>
      <c r="BG81" s="53"/>
      <c r="BH81" s="53"/>
      <c r="BI81" s="53"/>
      <c r="BJ81" s="53"/>
      <c r="BK81" s="53"/>
      <c r="BL81" s="53"/>
      <c r="BM81" s="53"/>
      <c r="BN81" s="53"/>
      <c r="BO81" s="53"/>
      <c r="BP81" s="53"/>
      <c r="BQ81" s="53"/>
      <c r="BR81" s="53"/>
      <c r="BS81" s="53"/>
      <c r="BT81" s="53"/>
      <c r="BU81" s="53"/>
      <c r="BV81" s="53"/>
      <c r="BW81" s="53"/>
      <c r="BX81" s="53"/>
      <c r="BY81" s="53"/>
      <c r="BZ81" s="53"/>
      <c r="CA81" s="53"/>
      <c r="CB81" s="53"/>
    </row>
    <row r="82" spans="2:80">
      <c r="B82" s="150" t="s">
        <v>91</v>
      </c>
      <c r="C82" s="150">
        <v>1</v>
      </c>
      <c r="D82" s="151">
        <f>2158+4327+3515</f>
        <v>10000</v>
      </c>
      <c r="E82" s="152">
        <v>44808</v>
      </c>
      <c r="F82" s="152">
        <v>44817</v>
      </c>
      <c r="G82" s="152">
        <f t="shared" si="23"/>
        <v>44817</v>
      </c>
      <c r="H82" s="152">
        <f t="shared" si="27"/>
        <v>44895</v>
      </c>
      <c r="I82" s="205">
        <f t="shared" si="21"/>
        <v>0.21643835616438356</v>
      </c>
      <c r="J82" s="151">
        <f>D82*I82*AO5*AO6*(AO7+AO8)*AO14*AO12</f>
        <v>13530.59941969409</v>
      </c>
      <c r="AA82" s="53"/>
      <c r="AB82" s="53"/>
      <c r="AC82" s="53"/>
      <c r="AD82" s="53"/>
      <c r="AE82" s="53"/>
      <c r="AF82" s="53"/>
      <c r="AG82" s="53"/>
      <c r="AH82" s="53"/>
      <c r="AI82" s="53"/>
      <c r="AJ82" s="53"/>
      <c r="AK82" s="53"/>
      <c r="AL82" s="53"/>
      <c r="AM82" s="53"/>
      <c r="AN82" s="53"/>
      <c r="AO82" s="53"/>
      <c r="AP82" s="53"/>
      <c r="AQ82" s="53"/>
      <c r="AR82" s="53"/>
      <c r="AS82" s="53"/>
      <c r="AT82" s="53"/>
      <c r="AU82" s="53"/>
      <c r="AV82" s="53"/>
      <c r="AW82" s="53"/>
      <c r="AX82" s="53"/>
      <c r="AY82" s="53"/>
      <c r="AZ82" s="53"/>
      <c r="BA82" s="53"/>
      <c r="BB82" s="53"/>
      <c r="BC82" s="53"/>
      <c r="BD82" s="53"/>
      <c r="BE82" s="53"/>
      <c r="BF82" s="53"/>
      <c r="BG82" s="53"/>
      <c r="BH82" s="53"/>
      <c r="BI82" s="53"/>
      <c r="BJ82" s="53"/>
      <c r="BK82" s="53"/>
      <c r="BL82" s="53"/>
      <c r="BM82" s="53"/>
      <c r="BN82" s="53"/>
      <c r="BO82" s="53"/>
      <c r="BP82" s="53"/>
      <c r="BQ82" s="53"/>
      <c r="BR82" s="53"/>
      <c r="BS82" s="53"/>
      <c r="BT82" s="53"/>
      <c r="BU82" s="53"/>
      <c r="BV82" s="53"/>
      <c r="BW82" s="53"/>
      <c r="BX82" s="53"/>
      <c r="BY82" s="53"/>
      <c r="BZ82" s="53"/>
      <c r="CA82" s="53"/>
      <c r="CB82" s="53"/>
    </row>
    <row r="83" spans="2:80">
      <c r="B83" s="135" t="s">
        <v>92</v>
      </c>
      <c r="C83" s="135">
        <v>1</v>
      </c>
      <c r="D83" s="136">
        <f>400+2461</f>
        <v>2861</v>
      </c>
      <c r="E83" s="137">
        <v>44808</v>
      </c>
      <c r="F83" s="137">
        <v>44817</v>
      </c>
      <c r="G83" s="137">
        <f t="shared" si="23"/>
        <v>44817</v>
      </c>
      <c r="H83" s="137">
        <f t="shared" si="27"/>
        <v>44895</v>
      </c>
      <c r="I83" s="201">
        <f t="shared" si="21"/>
        <v>0.21643835616438356</v>
      </c>
      <c r="J83" s="136">
        <f>D83*I83*AP5*AP6*(AP7+AP8)*AP12*AP14</f>
        <v>3871.1044939744779</v>
      </c>
      <c r="AA83" s="53"/>
      <c r="AB83" s="53"/>
      <c r="AC83" s="53"/>
      <c r="AD83" s="53"/>
      <c r="AE83" s="53"/>
      <c r="AF83" s="53"/>
      <c r="AG83" s="53"/>
      <c r="AH83" s="53"/>
      <c r="AI83" s="53"/>
      <c r="AJ83" s="53"/>
      <c r="AK83" s="53"/>
      <c r="AL83" s="53"/>
      <c r="AM83" s="53"/>
      <c r="AN83" s="53"/>
      <c r="AO83" s="53"/>
      <c r="AP83" s="53"/>
      <c r="AQ83" s="53"/>
      <c r="AR83" s="53"/>
      <c r="AS83" s="53"/>
      <c r="AT83" s="53"/>
      <c r="AU83" s="53"/>
      <c r="AV83" s="53"/>
      <c r="AW83" s="53"/>
      <c r="AX83" s="53"/>
      <c r="AY83" s="53"/>
      <c r="AZ83" s="53"/>
      <c r="BA83" s="53"/>
      <c r="BB83" s="53"/>
      <c r="BC83" s="53"/>
      <c r="BD83" s="53"/>
      <c r="BE83" s="53"/>
      <c r="BF83" s="53"/>
      <c r="BG83" s="53"/>
      <c r="BH83" s="53"/>
      <c r="BI83" s="53"/>
      <c r="BJ83" s="53"/>
      <c r="BK83" s="53"/>
      <c r="BL83" s="53"/>
      <c r="BM83" s="53"/>
      <c r="BN83" s="53"/>
      <c r="BO83" s="53"/>
      <c r="BP83" s="53"/>
      <c r="BQ83" s="53"/>
      <c r="BR83" s="53"/>
      <c r="BS83" s="53"/>
      <c r="BT83" s="53"/>
      <c r="BU83" s="53"/>
      <c r="BV83" s="53"/>
      <c r="BW83" s="53"/>
      <c r="BX83" s="53"/>
      <c r="BY83" s="53"/>
      <c r="BZ83" s="53"/>
      <c r="CA83" s="53"/>
      <c r="CB83" s="53"/>
    </row>
    <row r="84" spans="2:80">
      <c r="B84" s="157" t="s">
        <v>93</v>
      </c>
      <c r="C84" s="157">
        <v>1</v>
      </c>
      <c r="D84" s="171">
        <v>5100</v>
      </c>
      <c r="E84" s="158">
        <v>44673</v>
      </c>
      <c r="F84" s="158">
        <v>44673</v>
      </c>
      <c r="G84" s="158">
        <f t="shared" si="23"/>
        <v>44673</v>
      </c>
      <c r="H84" s="158">
        <f t="shared" si="27"/>
        <v>44895</v>
      </c>
      <c r="I84" s="210">
        <f t="shared" si="21"/>
        <v>0.61095890410958908</v>
      </c>
      <c r="J84" s="171">
        <f>D84*I84*AQ5*AQ6*(AQ7+AQ8)*AQ12*AQ14</f>
        <v>19478.924962048215</v>
      </c>
      <c r="AA84" s="53"/>
      <c r="AB84" s="53"/>
      <c r="AC84" s="53"/>
      <c r="AD84" s="53"/>
      <c r="AE84" s="53"/>
      <c r="AF84" s="53"/>
      <c r="AG84" s="53"/>
      <c r="AH84" s="53"/>
      <c r="AI84" s="53"/>
      <c r="AJ84" s="53"/>
      <c r="AK84" s="53"/>
      <c r="AL84" s="53"/>
      <c r="AM84" s="53"/>
      <c r="AN84" s="53"/>
      <c r="AO84" s="53"/>
      <c r="AP84" s="53"/>
      <c r="AQ84" s="53"/>
      <c r="AR84" s="53"/>
      <c r="AS84" s="53"/>
      <c r="AT84" s="53"/>
      <c r="AU84" s="53"/>
      <c r="AV84" s="53"/>
      <c r="AW84" s="53"/>
      <c r="AX84" s="53"/>
      <c r="AY84" s="53"/>
      <c r="AZ84" s="53"/>
      <c r="BA84" s="53"/>
      <c r="BB84" s="53"/>
      <c r="BC84" s="53"/>
      <c r="BD84" s="53"/>
      <c r="BE84" s="53"/>
      <c r="BF84" s="53"/>
      <c r="BG84" s="53"/>
      <c r="BH84" s="53"/>
      <c r="BI84" s="53"/>
      <c r="BJ84" s="53"/>
      <c r="BK84" s="53"/>
      <c r="BL84" s="53"/>
      <c r="BM84" s="53"/>
      <c r="BN84" s="53"/>
      <c r="BO84" s="53"/>
      <c r="BP84" s="53"/>
      <c r="BQ84" s="53"/>
      <c r="BR84" s="53"/>
      <c r="BS84" s="53"/>
      <c r="BT84" s="53"/>
      <c r="BU84" s="53"/>
      <c r="BV84" s="53"/>
      <c r="BW84" s="53"/>
      <c r="BX84" s="53"/>
      <c r="BY84" s="53"/>
      <c r="BZ84" s="53"/>
      <c r="CA84" s="53"/>
      <c r="CB84" s="53"/>
    </row>
    <row r="85" spans="2:80">
      <c r="B85" s="157" t="s">
        <v>93</v>
      </c>
      <c r="C85" s="157">
        <v>1</v>
      </c>
      <c r="D85" s="171">
        <v>4900</v>
      </c>
      <c r="E85" s="158">
        <v>44817</v>
      </c>
      <c r="F85" s="158">
        <v>44818</v>
      </c>
      <c r="G85" s="158">
        <f t="shared" si="23"/>
        <v>44818</v>
      </c>
      <c r="H85" s="158">
        <f t="shared" si="27"/>
        <v>44895</v>
      </c>
      <c r="I85" s="210">
        <f t="shared" si="21"/>
        <v>0.21369863013698631</v>
      </c>
      <c r="J85" s="171">
        <f>D85*I85*AQ5*AQ6*(AQ7+AQ8)*AQ12*AQ14</f>
        <v>6546.0697445659243</v>
      </c>
      <c r="AA85" s="53"/>
      <c r="AB85" s="53"/>
      <c r="AC85" s="53"/>
      <c r="AD85" s="53"/>
      <c r="AE85" s="53"/>
      <c r="AF85" s="53"/>
      <c r="AG85" s="53"/>
      <c r="AH85" s="53"/>
      <c r="AI85" s="53"/>
      <c r="AJ85" s="53"/>
      <c r="AK85" s="53"/>
      <c r="AL85" s="53"/>
      <c r="AM85" s="53"/>
      <c r="AN85" s="53"/>
      <c r="AO85" s="53"/>
      <c r="AP85" s="53"/>
      <c r="AQ85" s="53"/>
      <c r="AR85" s="53"/>
      <c r="AS85" s="53"/>
      <c r="AT85" s="53"/>
      <c r="AU85" s="53"/>
      <c r="AV85" s="53"/>
      <c r="AW85" s="53"/>
      <c r="AX85" s="53"/>
      <c r="AY85" s="53"/>
      <c r="AZ85" s="53"/>
      <c r="BA85" s="53"/>
      <c r="BB85" s="53"/>
      <c r="BC85" s="53"/>
      <c r="BD85" s="53"/>
      <c r="BE85" s="53"/>
      <c r="BF85" s="53"/>
      <c r="BG85" s="53"/>
      <c r="BH85" s="53"/>
      <c r="BI85" s="53"/>
      <c r="BJ85" s="53"/>
      <c r="BK85" s="53"/>
      <c r="BL85" s="53"/>
      <c r="BM85" s="53"/>
      <c r="BN85" s="53"/>
      <c r="BO85" s="53"/>
      <c r="BP85" s="53"/>
      <c r="BQ85" s="53"/>
      <c r="BR85" s="53"/>
      <c r="BS85" s="53"/>
      <c r="BT85" s="53"/>
      <c r="BU85" s="53"/>
      <c r="BV85" s="53"/>
      <c r="BW85" s="53"/>
      <c r="BX85" s="53"/>
      <c r="BY85" s="53"/>
      <c r="BZ85" s="53"/>
      <c r="CA85" s="53"/>
      <c r="CB85" s="53"/>
    </row>
    <row r="86" spans="2:80">
      <c r="B86" s="100" t="s">
        <v>94</v>
      </c>
      <c r="C86" s="100">
        <v>1</v>
      </c>
      <c r="D86" s="172">
        <f>3831+1731+2756</f>
        <v>8318</v>
      </c>
      <c r="E86" s="102">
        <v>44811</v>
      </c>
      <c r="F86" s="102">
        <v>44818</v>
      </c>
      <c r="G86" s="102">
        <f t="shared" si="23"/>
        <v>44818</v>
      </c>
      <c r="H86" s="102">
        <f t="shared" si="27"/>
        <v>44895</v>
      </c>
      <c r="I86" s="190">
        <f t="shared" si="21"/>
        <v>0.21369863013698631</v>
      </c>
      <c r="J86" s="172">
        <f>D86*I86*AR5*AR6*(AS7+AS8)*AS12*AS14</f>
        <v>11112.287374550891</v>
      </c>
      <c r="AA86" s="53"/>
      <c r="AB86" s="53"/>
      <c r="AC86" s="53"/>
      <c r="AD86" s="53"/>
      <c r="AE86" s="53"/>
      <c r="AF86" s="53"/>
      <c r="AG86" s="53"/>
      <c r="AH86" s="53"/>
      <c r="AI86" s="53"/>
      <c r="AJ86" s="53"/>
      <c r="AK86" s="53"/>
      <c r="AL86" s="53"/>
      <c r="AM86" s="53"/>
      <c r="AN86" s="53"/>
      <c r="AO86" s="53"/>
      <c r="AP86" s="53"/>
      <c r="AQ86" s="53"/>
      <c r="AR86" s="53"/>
      <c r="AS86" s="53"/>
      <c r="AT86" s="53"/>
      <c r="AU86" s="53"/>
      <c r="AV86" s="53"/>
      <c r="AW86" s="53"/>
      <c r="AX86" s="53"/>
      <c r="AY86" s="53"/>
      <c r="AZ86" s="53"/>
      <c r="BA86" s="53"/>
      <c r="BB86" s="53"/>
      <c r="BC86" s="53"/>
      <c r="BD86" s="53"/>
      <c r="BE86" s="53"/>
      <c r="BF86" s="53"/>
      <c r="BG86" s="53"/>
      <c r="BH86" s="53"/>
      <c r="BI86" s="53"/>
      <c r="BJ86" s="53"/>
      <c r="BK86" s="53"/>
      <c r="BL86" s="53"/>
      <c r="BM86" s="53"/>
      <c r="BN86" s="53"/>
      <c r="BO86" s="53"/>
      <c r="BP86" s="53"/>
      <c r="BQ86" s="53"/>
      <c r="BR86" s="53"/>
      <c r="BS86" s="53"/>
      <c r="BT86" s="53"/>
      <c r="BU86" s="53"/>
      <c r="BV86" s="53"/>
      <c r="BW86" s="53"/>
      <c r="BX86" s="53"/>
      <c r="BY86" s="53"/>
      <c r="BZ86" s="53"/>
      <c r="CA86" s="53"/>
      <c r="CB86" s="53"/>
    </row>
    <row r="87" spans="2:80">
      <c r="B87" s="100" t="s">
        <v>94</v>
      </c>
      <c r="C87" s="100">
        <v>1</v>
      </c>
      <c r="D87" s="172">
        <v>1682</v>
      </c>
      <c r="E87" s="102">
        <v>44856</v>
      </c>
      <c r="F87" s="102">
        <v>44856</v>
      </c>
      <c r="G87" s="102">
        <f>F87</f>
        <v>44856</v>
      </c>
      <c r="H87" s="102">
        <f t="shared" si="27"/>
        <v>44895</v>
      </c>
      <c r="I87" s="190">
        <f t="shared" si="21"/>
        <v>0.1095890410958904</v>
      </c>
      <c r="J87" s="172">
        <f>D87*I87*AR5*AR6*(AS7+AS8)*AS12*AS14</f>
        <v>1152.3275050088839</v>
      </c>
      <c r="AA87" s="53"/>
      <c r="AB87" s="53"/>
      <c r="AC87" s="53"/>
      <c r="AD87" s="53"/>
      <c r="AE87" s="53"/>
      <c r="AF87" s="53"/>
      <c r="AG87" s="53"/>
      <c r="AH87" s="53"/>
      <c r="AI87" s="53"/>
      <c r="AJ87" s="53"/>
      <c r="AK87" s="53"/>
      <c r="AL87" s="53"/>
      <c r="AM87" s="53"/>
      <c r="AN87" s="53"/>
      <c r="AO87" s="53"/>
      <c r="AP87" s="53"/>
      <c r="AQ87" s="53"/>
      <c r="AR87" s="53"/>
      <c r="AS87" s="53"/>
      <c r="AT87" s="53"/>
      <c r="AU87" s="53"/>
      <c r="AV87" s="53"/>
      <c r="AW87" s="53"/>
      <c r="AX87" s="53"/>
      <c r="AY87" s="53"/>
      <c r="AZ87" s="53"/>
      <c r="BA87" s="53"/>
      <c r="BB87" s="53"/>
      <c r="BC87" s="53"/>
      <c r="BD87" s="53"/>
      <c r="BE87" s="53"/>
      <c r="BF87" s="53"/>
      <c r="BG87" s="53"/>
      <c r="BH87" s="53"/>
      <c r="BI87" s="53"/>
      <c r="BJ87" s="53"/>
      <c r="BK87" s="53"/>
      <c r="BL87" s="53"/>
      <c r="BM87" s="53"/>
      <c r="BN87" s="53"/>
      <c r="BO87" s="53"/>
      <c r="BP87" s="53"/>
      <c r="BQ87" s="53"/>
      <c r="BR87" s="53"/>
      <c r="BS87" s="53"/>
      <c r="BT87" s="53"/>
      <c r="BU87" s="53"/>
      <c r="BV87" s="53"/>
      <c r="BW87" s="53"/>
      <c r="BX87" s="53"/>
      <c r="BY87" s="53"/>
      <c r="BZ87" s="53"/>
      <c r="CA87" s="53"/>
      <c r="CB87" s="53"/>
    </row>
    <row r="88" spans="2:80">
      <c r="B88" s="253" t="s">
        <v>158</v>
      </c>
      <c r="C88" s="253">
        <v>1</v>
      </c>
      <c r="D88" s="254">
        <v>10000</v>
      </c>
      <c r="E88" s="255">
        <v>44846</v>
      </c>
      <c r="F88" s="255">
        <v>44856</v>
      </c>
      <c r="G88" s="255">
        <f>F88</f>
        <v>44856</v>
      </c>
      <c r="H88" s="255">
        <f t="shared" si="27"/>
        <v>44895</v>
      </c>
      <c r="I88" s="274">
        <f t="shared" si="21"/>
        <v>0.1095890410958904</v>
      </c>
      <c r="J88" s="254">
        <f>D88*I88*AS5*AS6*(AS7+AS8)*AS12*AS14</f>
        <v>6850.9364150349811</v>
      </c>
      <c r="AA88" s="53"/>
      <c r="AB88" s="53"/>
      <c r="AC88" s="53"/>
      <c r="AD88" s="53"/>
      <c r="AE88" s="53"/>
      <c r="AF88" s="53"/>
      <c r="AG88" s="53"/>
      <c r="AH88" s="53"/>
      <c r="AI88" s="53"/>
      <c r="AJ88" s="53"/>
      <c r="AK88" s="53"/>
      <c r="AL88" s="53"/>
      <c r="AM88" s="53"/>
      <c r="AN88" s="53"/>
      <c r="AO88" s="53"/>
      <c r="AP88" s="53"/>
      <c r="AQ88" s="53"/>
      <c r="AR88" s="53"/>
      <c r="AS88" s="53"/>
      <c r="AT88" s="53"/>
      <c r="AU88" s="53"/>
      <c r="AV88" s="53"/>
      <c r="AW88" s="53"/>
      <c r="AX88" s="53"/>
      <c r="AY88" s="53"/>
      <c r="AZ88" s="53"/>
      <c r="BA88" s="53"/>
      <c r="BB88" s="53"/>
      <c r="BC88" s="53"/>
      <c r="BD88" s="53"/>
      <c r="BE88" s="53"/>
      <c r="BF88" s="53"/>
      <c r="BG88" s="53"/>
      <c r="BH88" s="53"/>
      <c r="BI88" s="53"/>
      <c r="BJ88" s="53"/>
      <c r="BK88" s="53"/>
      <c r="BL88" s="53"/>
      <c r="BM88" s="53"/>
      <c r="BN88" s="53"/>
      <c r="BO88" s="53"/>
      <c r="BP88" s="53"/>
      <c r="BQ88" s="53"/>
      <c r="BR88" s="53"/>
      <c r="BS88" s="53"/>
      <c r="BT88" s="53"/>
      <c r="BU88" s="53"/>
      <c r="BV88" s="53"/>
      <c r="BW88" s="53"/>
      <c r="BX88" s="53"/>
      <c r="BY88" s="53"/>
      <c r="BZ88" s="53"/>
      <c r="CA88" s="53"/>
      <c r="CB88" s="53"/>
    </row>
    <row r="89" spans="2:80">
      <c r="B89" s="138" t="s">
        <v>95</v>
      </c>
      <c r="C89" s="138">
        <v>1</v>
      </c>
      <c r="D89" s="139">
        <v>10000</v>
      </c>
      <c r="E89" s="140">
        <v>44822</v>
      </c>
      <c r="F89" s="140">
        <v>44826</v>
      </c>
      <c r="G89" s="140">
        <f t="shared" si="23"/>
        <v>44826</v>
      </c>
      <c r="H89" s="140">
        <f>H86</f>
        <v>44895</v>
      </c>
      <c r="I89" s="202">
        <f t="shared" si="21"/>
        <v>0.19178082191780821</v>
      </c>
      <c r="J89" s="139">
        <f>D89*I89*AT5*AT6*(AT7+AT8)*AT13*AT12</f>
        <v>8460.7622699264775</v>
      </c>
      <c r="AA89" s="53"/>
      <c r="AB89" s="53"/>
      <c r="AC89" s="53"/>
      <c r="AD89" s="53"/>
      <c r="AE89" s="53"/>
      <c r="AF89" s="53"/>
      <c r="AG89" s="53"/>
      <c r="AH89" s="53"/>
      <c r="AI89" s="53"/>
      <c r="AJ89" s="53"/>
      <c r="AK89" s="53"/>
      <c r="AL89" s="53"/>
      <c r="AM89" s="53"/>
      <c r="AN89" s="53"/>
      <c r="AO89" s="53"/>
      <c r="AP89" s="53"/>
      <c r="AQ89" s="53"/>
      <c r="AR89" s="53"/>
      <c r="AS89" s="53"/>
      <c r="AT89" s="53"/>
      <c r="AU89" s="53"/>
      <c r="AV89" s="53"/>
      <c r="AW89" s="53"/>
      <c r="AX89" s="53"/>
      <c r="AY89" s="53"/>
      <c r="AZ89" s="53"/>
      <c r="BA89" s="53"/>
      <c r="BB89" s="53"/>
      <c r="BC89" s="53"/>
      <c r="BD89" s="53"/>
      <c r="BE89" s="53"/>
      <c r="BF89" s="53"/>
      <c r="BG89" s="53"/>
      <c r="BH89" s="53"/>
      <c r="BI89" s="53"/>
      <c r="BJ89" s="53"/>
      <c r="BK89" s="53"/>
      <c r="BL89" s="53"/>
      <c r="BM89" s="53"/>
      <c r="BN89" s="53"/>
      <c r="BO89" s="53"/>
      <c r="BP89" s="53"/>
      <c r="BQ89" s="53"/>
      <c r="BR89" s="53"/>
      <c r="BS89" s="53"/>
      <c r="BT89" s="53"/>
      <c r="BU89" s="53"/>
      <c r="BV89" s="53"/>
      <c r="BW89" s="53"/>
      <c r="BX89" s="53"/>
      <c r="BY89" s="53"/>
      <c r="BZ89" s="53"/>
      <c r="CA89" s="53"/>
      <c r="CB89" s="53"/>
    </row>
    <row r="90" spans="2:80">
      <c r="B90" s="109" t="s">
        <v>96</v>
      </c>
      <c r="C90" s="109">
        <v>1</v>
      </c>
      <c r="D90" s="167">
        <v>372</v>
      </c>
      <c r="E90" s="111">
        <v>44826</v>
      </c>
      <c r="F90" s="111">
        <v>44826</v>
      </c>
      <c r="G90" s="111">
        <f t="shared" si="23"/>
        <v>44826</v>
      </c>
      <c r="H90" s="111">
        <f>H89</f>
        <v>44895</v>
      </c>
      <c r="I90" s="193">
        <f t="shared" si="21"/>
        <v>0.19178082191780821</v>
      </c>
      <c r="J90" s="167">
        <f>D90*I90*AU5*AU6*(AU7+AU8)*AU12*AU13</f>
        <v>314.74035644126485</v>
      </c>
      <c r="AA90" s="53"/>
      <c r="AB90" s="53"/>
      <c r="AC90" s="53"/>
      <c r="AD90" s="53"/>
      <c r="AE90" s="53"/>
      <c r="AF90" s="53"/>
      <c r="AG90" s="53"/>
      <c r="AH90" s="53"/>
      <c r="AI90" s="53"/>
      <c r="AJ90" s="53"/>
      <c r="AK90" s="53"/>
      <c r="AL90" s="53"/>
      <c r="AM90" s="53"/>
      <c r="AN90" s="53"/>
      <c r="AO90" s="53"/>
      <c r="AP90" s="53"/>
      <c r="AQ90" s="53"/>
      <c r="AR90" s="53"/>
      <c r="AS90" s="53"/>
      <c r="AT90" s="53"/>
      <c r="AU90" s="53"/>
      <c r="AV90" s="53"/>
      <c r="AW90" s="53"/>
      <c r="AX90" s="53"/>
      <c r="AY90" s="53"/>
      <c r="AZ90" s="53"/>
      <c r="BA90" s="53"/>
      <c r="BB90" s="53"/>
      <c r="BC90" s="53"/>
      <c r="BD90" s="53"/>
      <c r="BE90" s="53"/>
      <c r="BF90" s="53"/>
      <c r="BG90" s="53"/>
      <c r="BH90" s="53"/>
      <c r="BI90" s="53"/>
      <c r="BJ90" s="53"/>
      <c r="BK90" s="53"/>
      <c r="BL90" s="53"/>
      <c r="BM90" s="53"/>
      <c r="BN90" s="53"/>
      <c r="BO90" s="53"/>
      <c r="BP90" s="53"/>
      <c r="BQ90" s="53"/>
      <c r="BR90" s="53"/>
      <c r="BS90" s="53"/>
      <c r="BT90" s="53"/>
      <c r="BU90" s="53"/>
      <c r="BV90" s="53"/>
      <c r="BW90" s="53"/>
      <c r="BX90" s="53"/>
      <c r="BY90" s="53"/>
      <c r="BZ90" s="53"/>
      <c r="CA90" s="53"/>
      <c r="CB90" s="53"/>
    </row>
    <row r="91" spans="2:80">
      <c r="B91" s="109" t="s">
        <v>96</v>
      </c>
      <c r="C91" s="109">
        <v>1</v>
      </c>
      <c r="D91" s="167">
        <v>9608</v>
      </c>
      <c r="E91" s="111">
        <v>44873</v>
      </c>
      <c r="F91" s="111">
        <v>44879</v>
      </c>
      <c r="G91" s="111">
        <f>F91</f>
        <v>44879</v>
      </c>
      <c r="H91" s="111">
        <f>H90</f>
        <v>44895</v>
      </c>
      <c r="I91" s="193">
        <f t="shared" si="21"/>
        <v>4.6575342465753428E-2</v>
      </c>
      <c r="J91" s="167">
        <f>D91*I91*AU5*AU6*(AU7+AU8)*AU12*AU13</f>
        <v>1974.2100944581589</v>
      </c>
      <c r="AA91" s="53"/>
      <c r="AB91" s="53"/>
      <c r="AC91" s="53"/>
      <c r="AD91" s="53"/>
      <c r="AE91" s="53"/>
      <c r="AF91" s="53"/>
      <c r="AG91" s="53"/>
      <c r="AH91" s="53"/>
      <c r="AI91" s="53"/>
      <c r="AJ91" s="53"/>
      <c r="AK91" s="53"/>
      <c r="AL91" s="53"/>
      <c r="AM91" s="53"/>
      <c r="AN91" s="53"/>
      <c r="AO91" s="53"/>
      <c r="AP91" s="53"/>
      <c r="AQ91" s="53"/>
      <c r="AR91" s="53"/>
      <c r="AS91" s="53"/>
      <c r="AT91" s="53"/>
      <c r="AU91" s="53"/>
      <c r="AV91" s="53"/>
      <c r="AW91" s="53"/>
      <c r="AX91" s="53"/>
      <c r="AY91" s="53"/>
      <c r="AZ91" s="53"/>
      <c r="BA91" s="53"/>
      <c r="BB91" s="53"/>
      <c r="BC91" s="53"/>
      <c r="BD91" s="53"/>
      <c r="BE91" s="53"/>
      <c r="BF91" s="53"/>
      <c r="BG91" s="53"/>
      <c r="BH91" s="53"/>
      <c r="BI91" s="53"/>
      <c r="BJ91" s="53"/>
      <c r="BK91" s="53"/>
      <c r="BL91" s="53"/>
      <c r="BM91" s="53"/>
      <c r="BN91" s="53"/>
      <c r="BO91" s="53"/>
      <c r="BP91" s="53"/>
      <c r="BQ91" s="53"/>
      <c r="BR91" s="53"/>
      <c r="BS91" s="53"/>
      <c r="BT91" s="53"/>
      <c r="BU91" s="53"/>
      <c r="BV91" s="53"/>
      <c r="BW91" s="53"/>
      <c r="BX91" s="53"/>
      <c r="BY91" s="53"/>
      <c r="BZ91" s="53"/>
      <c r="CA91" s="53"/>
      <c r="CB91" s="53"/>
    </row>
    <row r="92" spans="2:80">
      <c r="B92" s="173" t="s">
        <v>97</v>
      </c>
      <c r="C92" s="173">
        <v>1</v>
      </c>
      <c r="D92" s="174">
        <v>471</v>
      </c>
      <c r="E92" s="175">
        <v>44825</v>
      </c>
      <c r="F92" s="175">
        <v>44825</v>
      </c>
      <c r="G92" s="175">
        <f t="shared" si="23"/>
        <v>44825</v>
      </c>
      <c r="H92" s="175">
        <f>H90</f>
        <v>44895</v>
      </c>
      <c r="I92" s="211">
        <f>(H92-G92+1)/365</f>
        <v>0.19452054794520549</v>
      </c>
      <c r="J92" s="174">
        <f>D92*I92*AV5*AV6*(AV7+AV8)*AV12*AV13</f>
        <v>404.19478724087332</v>
      </c>
      <c r="AA92" s="53"/>
      <c r="AB92" s="53"/>
      <c r="AC92" s="53"/>
      <c r="AD92" s="53"/>
      <c r="AE92" s="53"/>
      <c r="AF92" s="53"/>
      <c r="AG92" s="53"/>
      <c r="AH92" s="53"/>
      <c r="AI92" s="53"/>
      <c r="AJ92" s="53"/>
      <c r="AK92" s="53"/>
      <c r="AL92" s="53"/>
      <c r="AM92" s="53"/>
      <c r="AN92" s="53"/>
      <c r="AO92" s="53"/>
      <c r="AP92" s="53"/>
      <c r="AQ92" s="53"/>
      <c r="AR92" s="53"/>
      <c r="AS92" s="53"/>
      <c r="AT92" s="53"/>
      <c r="AU92" s="53"/>
      <c r="AV92" s="53"/>
      <c r="AW92" s="53"/>
      <c r="AX92" s="53"/>
      <c r="AY92" s="53"/>
      <c r="AZ92" s="53"/>
      <c r="BA92" s="53"/>
      <c r="BB92" s="53"/>
      <c r="BC92" s="53"/>
      <c r="BD92" s="53"/>
      <c r="BE92" s="53"/>
      <c r="BF92" s="53"/>
      <c r="BG92" s="53"/>
      <c r="BH92" s="53"/>
      <c r="BI92" s="53"/>
      <c r="BJ92" s="53"/>
      <c r="BK92" s="53"/>
      <c r="BL92" s="53"/>
      <c r="BM92" s="53"/>
      <c r="BN92" s="53"/>
      <c r="BO92" s="53"/>
      <c r="BP92" s="53"/>
      <c r="BQ92" s="53"/>
      <c r="BR92" s="53"/>
      <c r="BS92" s="53"/>
      <c r="BT92" s="53"/>
      <c r="BU92" s="53"/>
      <c r="BV92" s="53"/>
      <c r="BW92" s="53"/>
      <c r="BX92" s="53"/>
      <c r="BY92" s="53"/>
      <c r="BZ92" s="53"/>
      <c r="CA92" s="53"/>
      <c r="CB92" s="53"/>
    </row>
    <row r="93" spans="2:80">
      <c r="B93" s="173" t="s">
        <v>97</v>
      </c>
      <c r="C93" s="173">
        <v>1</v>
      </c>
      <c r="D93" s="174">
        <v>9529</v>
      </c>
      <c r="E93" s="175">
        <v>44837</v>
      </c>
      <c r="F93" s="175">
        <v>44848</v>
      </c>
      <c r="G93" s="175">
        <f>F93</f>
        <v>44848</v>
      </c>
      <c r="H93" s="175">
        <f>H92</f>
        <v>44895</v>
      </c>
      <c r="I93" s="211">
        <f>(H93-G93+1)/365</f>
        <v>0.13150684931506848</v>
      </c>
      <c r="J93" s="174">
        <f>D93*I93*AV5*AV6*(AV7+AV8)*AV12*AV13</f>
        <v>5528.4071088088722</v>
      </c>
      <c r="AA93" s="53"/>
      <c r="AB93" s="53"/>
      <c r="AC93" s="53"/>
      <c r="AD93" s="53"/>
      <c r="AE93" s="53"/>
      <c r="AF93" s="53"/>
      <c r="AG93" s="53"/>
      <c r="AH93" s="53"/>
      <c r="AI93" s="53"/>
      <c r="AJ93" s="53"/>
      <c r="AK93" s="53"/>
      <c r="AL93" s="53"/>
      <c r="AM93" s="53"/>
      <c r="AN93" s="53"/>
      <c r="AO93" s="53"/>
      <c r="AP93" s="53"/>
      <c r="AQ93" s="53"/>
      <c r="AR93" s="53"/>
      <c r="AS93" s="53"/>
      <c r="AT93" s="53"/>
      <c r="AU93" s="53"/>
      <c r="AV93" s="53"/>
      <c r="AW93" s="53"/>
      <c r="AX93" s="53"/>
      <c r="AY93" s="53"/>
      <c r="AZ93" s="53"/>
      <c r="BA93" s="53"/>
      <c r="BB93" s="53"/>
      <c r="BC93" s="53"/>
      <c r="BD93" s="53"/>
      <c r="BE93" s="53"/>
      <c r="BF93" s="53"/>
      <c r="BG93" s="53"/>
      <c r="BH93" s="53"/>
      <c r="BI93" s="53"/>
      <c r="BJ93" s="53"/>
      <c r="BK93" s="53"/>
      <c r="BL93" s="53"/>
      <c r="BM93" s="53"/>
      <c r="BN93" s="53"/>
      <c r="BO93" s="53"/>
      <c r="BP93" s="53"/>
      <c r="BQ93" s="53"/>
      <c r="BR93" s="53"/>
      <c r="BS93" s="53"/>
      <c r="BT93" s="53"/>
      <c r="BU93" s="53"/>
      <c r="BV93" s="53"/>
      <c r="BW93" s="53"/>
      <c r="BX93" s="53"/>
      <c r="BY93" s="53"/>
      <c r="BZ93" s="53"/>
      <c r="CA93" s="53"/>
      <c r="CB93" s="53"/>
    </row>
    <row r="94" spans="2:80">
      <c r="B94" s="256" t="s">
        <v>159</v>
      </c>
      <c r="C94" s="256">
        <v>1</v>
      </c>
      <c r="D94" s="257">
        <v>7000</v>
      </c>
      <c r="E94" s="258">
        <v>44842</v>
      </c>
      <c r="F94" s="258">
        <v>44845</v>
      </c>
      <c r="G94" s="258">
        <f>F94</f>
        <v>44845</v>
      </c>
      <c r="H94" s="258">
        <f>H93</f>
        <v>44895</v>
      </c>
      <c r="I94" s="275">
        <f>(H94-G94+1)/365</f>
        <v>0.13972602739726028</v>
      </c>
      <c r="J94" s="257">
        <f>D94*I94*AW5*AW6*(AW7+AW8)*AW12*AW13</f>
        <v>4314.9887576625033</v>
      </c>
      <c r="AA94" s="53"/>
      <c r="AB94" s="53"/>
      <c r="AC94" s="53"/>
      <c r="AD94" s="53"/>
      <c r="AE94" s="53"/>
      <c r="AF94" s="53"/>
      <c r="AG94" s="53"/>
      <c r="AH94" s="53"/>
      <c r="AI94" s="53"/>
      <c r="AJ94" s="53"/>
      <c r="AK94" s="53"/>
      <c r="AL94" s="53"/>
      <c r="AM94" s="53"/>
      <c r="AN94" s="53"/>
      <c r="AO94" s="53"/>
      <c r="AP94" s="53"/>
      <c r="AQ94" s="53"/>
      <c r="AR94" s="53"/>
      <c r="AS94" s="53"/>
      <c r="AT94" s="53"/>
      <c r="AU94" s="53"/>
      <c r="AV94" s="53"/>
      <c r="AW94" s="53"/>
      <c r="AX94" s="53"/>
      <c r="AY94" s="53"/>
      <c r="AZ94" s="53"/>
      <c r="BA94" s="53"/>
      <c r="BB94" s="53"/>
      <c r="BC94" s="53"/>
      <c r="BD94" s="53"/>
      <c r="BE94" s="53"/>
      <c r="BF94" s="53"/>
      <c r="BG94" s="53"/>
      <c r="BH94" s="53"/>
      <c r="BI94" s="53"/>
      <c r="BJ94" s="53"/>
      <c r="BK94" s="53"/>
      <c r="BL94" s="53"/>
      <c r="BM94" s="53"/>
      <c r="BN94" s="53"/>
      <c r="BO94" s="53"/>
      <c r="BP94" s="53"/>
      <c r="BQ94" s="53"/>
      <c r="BR94" s="53"/>
      <c r="BS94" s="53"/>
      <c r="BT94" s="53"/>
      <c r="BU94" s="53"/>
      <c r="BV94" s="53"/>
      <c r="BW94" s="53"/>
      <c r="BX94" s="53"/>
      <c r="BY94" s="53"/>
      <c r="BZ94" s="53"/>
      <c r="CA94" s="53"/>
      <c r="CB94" s="53"/>
    </row>
    <row r="95" spans="2:80">
      <c r="B95" s="138" t="s">
        <v>98</v>
      </c>
      <c r="C95" s="138">
        <v>1</v>
      </c>
      <c r="D95" s="139">
        <v>1150</v>
      </c>
      <c r="E95" s="140">
        <v>44770</v>
      </c>
      <c r="F95" s="140">
        <v>44770</v>
      </c>
      <c r="G95" s="140">
        <f t="shared" si="23"/>
        <v>44770</v>
      </c>
      <c r="H95" s="140">
        <f>H92</f>
        <v>44895</v>
      </c>
      <c r="I95" s="202">
        <f t="shared" si="21"/>
        <v>0.34520547945205482</v>
      </c>
      <c r="J95" s="139">
        <f>D95*I95*AX5*AX6*(AX7+AX8)*AX12*AX13</f>
        <v>1751.3777898747808</v>
      </c>
      <c r="AA95" s="53"/>
      <c r="AB95" s="53"/>
      <c r="AC95" s="53"/>
      <c r="AD95" s="53"/>
      <c r="AE95" s="53"/>
      <c r="AF95" s="53"/>
      <c r="AG95" s="53"/>
      <c r="AH95" s="53"/>
      <c r="AI95" s="53"/>
      <c r="AJ95" s="53"/>
      <c r="AK95" s="53"/>
      <c r="AL95" s="53"/>
      <c r="AM95" s="53"/>
      <c r="AN95" s="53"/>
      <c r="AO95" s="53"/>
      <c r="AP95" s="53"/>
      <c r="AQ95" s="53"/>
      <c r="AR95" s="53"/>
      <c r="AS95" s="53"/>
      <c r="AT95" s="53"/>
      <c r="AU95" s="53"/>
      <c r="AV95" s="53"/>
      <c r="AW95" s="53"/>
      <c r="AX95" s="53"/>
      <c r="AY95" s="53"/>
      <c r="AZ95" s="53"/>
      <c r="BA95" s="53"/>
      <c r="BB95" s="53"/>
      <c r="BC95" s="53"/>
      <c r="BD95" s="53"/>
      <c r="BE95" s="53"/>
      <c r="BF95" s="53"/>
      <c r="BG95" s="53"/>
      <c r="BH95" s="53"/>
      <c r="BI95" s="53"/>
      <c r="BJ95" s="53"/>
      <c r="BK95" s="53"/>
      <c r="BL95" s="53"/>
      <c r="BM95" s="53"/>
      <c r="BN95" s="53"/>
      <c r="BO95" s="53"/>
      <c r="BP95" s="53"/>
      <c r="BQ95" s="53"/>
      <c r="BR95" s="53"/>
      <c r="BS95" s="53"/>
      <c r="BT95" s="53"/>
      <c r="BU95" s="53"/>
      <c r="BV95" s="53"/>
      <c r="BW95" s="53"/>
      <c r="BX95" s="53"/>
      <c r="BY95" s="53"/>
      <c r="BZ95" s="53"/>
      <c r="CA95" s="53"/>
      <c r="CB95" s="53"/>
    </row>
    <row r="96" spans="2:80">
      <c r="B96" s="138" t="s">
        <v>98</v>
      </c>
      <c r="C96" s="138">
        <v>1</v>
      </c>
      <c r="D96" s="139">
        <v>8850</v>
      </c>
      <c r="E96" s="140">
        <v>44876</v>
      </c>
      <c r="F96" s="140">
        <v>44878</v>
      </c>
      <c r="G96" s="140">
        <f>F96</f>
        <v>44878</v>
      </c>
      <c r="H96" s="140">
        <f>H95</f>
        <v>44895</v>
      </c>
      <c r="I96" s="202">
        <f t="shared" si="21"/>
        <v>4.9315068493150684E-2</v>
      </c>
      <c r="J96" s="139">
        <f>D96*I96*AX5*AX6*(AX7+AX8)*AX12*AX13</f>
        <v>1925.427756570411</v>
      </c>
      <c r="AA96" s="53"/>
      <c r="AB96" s="53"/>
      <c r="AC96" s="53"/>
      <c r="AD96" s="53"/>
      <c r="AE96" s="53"/>
      <c r="AF96" s="53"/>
      <c r="AG96" s="53"/>
      <c r="AH96" s="53"/>
      <c r="AI96" s="53"/>
      <c r="AJ96" s="53"/>
      <c r="AK96" s="53"/>
      <c r="AL96" s="53"/>
      <c r="AM96" s="53"/>
      <c r="AN96" s="53"/>
      <c r="AO96" s="53"/>
      <c r="AP96" s="53"/>
      <c r="AQ96" s="53"/>
      <c r="AR96" s="53"/>
      <c r="AS96" s="53"/>
      <c r="AT96" s="53"/>
      <c r="AU96" s="53"/>
      <c r="AV96" s="53"/>
      <c r="AW96" s="53"/>
      <c r="AX96" s="53"/>
      <c r="AY96" s="53"/>
      <c r="AZ96" s="53"/>
      <c r="BA96" s="53"/>
      <c r="BB96" s="53"/>
      <c r="BC96" s="53"/>
      <c r="BD96" s="53"/>
      <c r="BE96" s="53"/>
      <c r="BF96" s="53"/>
      <c r="BG96" s="53"/>
      <c r="BH96" s="53"/>
      <c r="BI96" s="53"/>
      <c r="BJ96" s="53"/>
      <c r="BK96" s="53"/>
      <c r="BL96" s="53"/>
      <c r="BM96" s="53"/>
      <c r="BN96" s="53"/>
      <c r="BO96" s="53"/>
      <c r="BP96" s="53"/>
      <c r="BQ96" s="53"/>
      <c r="BR96" s="53"/>
      <c r="BS96" s="53"/>
      <c r="BT96" s="53"/>
      <c r="BU96" s="53"/>
      <c r="BV96" s="53"/>
      <c r="BW96" s="53"/>
      <c r="BX96" s="53"/>
      <c r="BY96" s="53"/>
      <c r="BZ96" s="53"/>
      <c r="CA96" s="53"/>
      <c r="CB96" s="53"/>
    </row>
    <row r="97" spans="2:80">
      <c r="B97" s="127" t="s">
        <v>99</v>
      </c>
      <c r="C97" s="127">
        <v>1</v>
      </c>
      <c r="D97" s="141">
        <f>1450+6100+500</f>
        <v>8050</v>
      </c>
      <c r="E97" s="129">
        <v>44691</v>
      </c>
      <c r="F97" s="129">
        <v>44694</v>
      </c>
      <c r="G97" s="129">
        <f t="shared" si="23"/>
        <v>44694</v>
      </c>
      <c r="H97" s="129">
        <f>H95</f>
        <v>44895</v>
      </c>
      <c r="I97" s="199">
        <f t="shared" si="21"/>
        <v>0.55342465753424652</v>
      </c>
      <c r="J97" s="128">
        <f>D97*I97*AY5*AY6*(AY7+AY8)*AY12*AY13</f>
        <v>19654.350753039205</v>
      </c>
      <c r="AA97" s="53"/>
      <c r="AB97" s="53"/>
      <c r="AC97" s="53"/>
      <c r="AD97" s="53"/>
      <c r="AE97" s="53"/>
      <c r="AF97" s="53"/>
      <c r="AG97" s="53"/>
      <c r="AH97" s="53"/>
      <c r="AI97" s="53"/>
      <c r="AJ97" s="53"/>
      <c r="AK97" s="53"/>
      <c r="AL97" s="53"/>
      <c r="AM97" s="53"/>
      <c r="AN97" s="53"/>
      <c r="AO97" s="53"/>
      <c r="AP97" s="53"/>
      <c r="AQ97" s="53"/>
      <c r="AR97" s="53"/>
      <c r="AS97" s="53"/>
      <c r="AT97" s="53"/>
      <c r="AU97" s="53"/>
      <c r="AV97" s="53"/>
      <c r="AW97" s="53"/>
      <c r="AX97" s="53"/>
      <c r="AY97" s="53"/>
      <c r="AZ97" s="53"/>
      <c r="BA97" s="53"/>
      <c r="BB97" s="53"/>
      <c r="BC97" s="53"/>
      <c r="BD97" s="53"/>
      <c r="BE97" s="53"/>
      <c r="BF97" s="53"/>
      <c r="BG97" s="53"/>
      <c r="BH97" s="53"/>
      <c r="BI97" s="53"/>
      <c r="BJ97" s="53"/>
      <c r="BK97" s="53"/>
      <c r="BL97" s="53"/>
      <c r="BM97" s="53"/>
      <c r="BN97" s="53"/>
      <c r="BO97" s="53"/>
      <c r="BP97" s="53"/>
      <c r="BQ97" s="53"/>
      <c r="BR97" s="53"/>
      <c r="BS97" s="53"/>
      <c r="BT97" s="53"/>
      <c r="BU97" s="53"/>
      <c r="BV97" s="53"/>
      <c r="BW97" s="53"/>
      <c r="BX97" s="53"/>
      <c r="BY97" s="53"/>
      <c r="BZ97" s="53"/>
      <c r="CA97" s="53"/>
      <c r="CB97" s="53"/>
    </row>
    <row r="98" spans="2:80">
      <c r="B98" s="127" t="s">
        <v>99</v>
      </c>
      <c r="C98" s="127">
        <v>1</v>
      </c>
      <c r="D98" s="141">
        <v>1950</v>
      </c>
      <c r="E98" s="129">
        <v>44725</v>
      </c>
      <c r="F98" s="129">
        <v>44725</v>
      </c>
      <c r="G98" s="129">
        <f t="shared" si="23"/>
        <v>44725</v>
      </c>
      <c r="H98" s="129">
        <f>H97</f>
        <v>44895</v>
      </c>
      <c r="I98" s="199">
        <f t="shared" si="21"/>
        <v>0.46849315068493153</v>
      </c>
      <c r="J98" s="128">
        <f>D98*I98*AY5*AY6*(AY7+AY8)*AY12*AY13</f>
        <v>4030.3445412956917</v>
      </c>
      <c r="AA98" s="53"/>
      <c r="AB98" s="53"/>
      <c r="AC98" s="53"/>
      <c r="AD98" s="53"/>
      <c r="AE98" s="53"/>
      <c r="AF98" s="53"/>
      <c r="AG98" s="53"/>
      <c r="AH98" s="53"/>
      <c r="AI98" s="53"/>
      <c r="AJ98" s="53"/>
      <c r="AK98" s="53"/>
      <c r="AL98" s="53"/>
      <c r="AM98" s="53"/>
      <c r="AN98" s="53"/>
      <c r="AO98" s="53"/>
      <c r="AP98" s="53"/>
      <c r="AQ98" s="53"/>
      <c r="AR98" s="53"/>
      <c r="AS98" s="53"/>
      <c r="AT98" s="53"/>
      <c r="AU98" s="53"/>
      <c r="AV98" s="53"/>
      <c r="AW98" s="53"/>
      <c r="AX98" s="53"/>
      <c r="AY98" s="53"/>
      <c r="AZ98" s="53"/>
      <c r="BA98" s="53"/>
      <c r="BB98" s="53"/>
      <c r="BC98" s="53"/>
      <c r="BD98" s="53"/>
      <c r="BE98" s="53"/>
      <c r="BF98" s="53"/>
      <c r="BG98" s="53"/>
      <c r="BH98" s="53"/>
      <c r="BI98" s="53"/>
      <c r="BJ98" s="53"/>
      <c r="BK98" s="53"/>
      <c r="BL98" s="53"/>
      <c r="BM98" s="53"/>
      <c r="BN98" s="53"/>
      <c r="BO98" s="53"/>
      <c r="BP98" s="53"/>
      <c r="BQ98" s="53"/>
      <c r="BR98" s="53"/>
      <c r="BS98" s="53"/>
      <c r="BT98" s="53"/>
      <c r="BU98" s="53"/>
      <c r="BV98" s="53"/>
      <c r="BW98" s="53"/>
      <c r="BX98" s="53"/>
      <c r="BY98" s="53"/>
      <c r="BZ98" s="53"/>
      <c r="CA98" s="53"/>
      <c r="CB98" s="53"/>
    </row>
    <row r="99" spans="2:80">
      <c r="B99" s="135" t="s">
        <v>100</v>
      </c>
      <c r="C99" s="135">
        <v>1</v>
      </c>
      <c r="D99" s="136">
        <f>2650+3500</f>
        <v>6150</v>
      </c>
      <c r="E99" s="137">
        <v>44725</v>
      </c>
      <c r="F99" s="137">
        <v>44736</v>
      </c>
      <c r="G99" s="137">
        <f t="shared" si="23"/>
        <v>44736</v>
      </c>
      <c r="H99" s="137">
        <f>H98</f>
        <v>44895</v>
      </c>
      <c r="I99" s="201">
        <f t="shared" si="21"/>
        <v>0.43835616438356162</v>
      </c>
      <c r="J99" s="136">
        <f>D99*I99*AZ5*AZ6*(AZ7+AZ8)*AZ12*AZ13</f>
        <v>11893.414390868076</v>
      </c>
      <c r="AA99" s="53"/>
      <c r="AB99" s="53"/>
      <c r="AC99" s="53"/>
      <c r="AD99" s="53"/>
      <c r="AE99" s="53"/>
      <c r="AF99" s="53"/>
      <c r="AG99" s="53"/>
      <c r="AH99" s="53"/>
      <c r="AI99" s="53"/>
      <c r="AJ99" s="53"/>
      <c r="AK99" s="53"/>
      <c r="AL99" s="53"/>
      <c r="AM99" s="53"/>
      <c r="AN99" s="53"/>
      <c r="AO99" s="53"/>
      <c r="AP99" s="53"/>
      <c r="AQ99" s="53"/>
      <c r="AR99" s="53"/>
      <c r="AS99" s="53"/>
      <c r="AT99" s="53"/>
      <c r="AU99" s="53"/>
      <c r="AV99" s="53"/>
      <c r="AW99" s="53"/>
      <c r="AX99" s="53"/>
      <c r="AY99" s="53"/>
      <c r="AZ99" s="53"/>
      <c r="BA99" s="53"/>
      <c r="BB99" s="53"/>
      <c r="BC99" s="53"/>
      <c r="BD99" s="53"/>
      <c r="BE99" s="53"/>
      <c r="BF99" s="53"/>
      <c r="BG99" s="53"/>
      <c r="BH99" s="53"/>
      <c r="BI99" s="53"/>
      <c r="BJ99" s="53"/>
      <c r="BK99" s="53"/>
      <c r="BL99" s="53"/>
      <c r="BM99" s="53"/>
      <c r="BN99" s="53"/>
      <c r="BO99" s="53"/>
      <c r="BP99" s="53"/>
      <c r="BQ99" s="53"/>
      <c r="BR99" s="53"/>
      <c r="BS99" s="53"/>
      <c r="BT99" s="53"/>
      <c r="BU99" s="53"/>
      <c r="BV99" s="53"/>
      <c r="BW99" s="53"/>
      <c r="BX99" s="53"/>
      <c r="BY99" s="53"/>
      <c r="BZ99" s="53"/>
      <c r="CA99" s="53"/>
      <c r="CB99" s="53"/>
    </row>
    <row r="100" spans="2:80">
      <c r="B100" s="135" t="s">
        <v>100</v>
      </c>
      <c r="C100" s="135">
        <v>1</v>
      </c>
      <c r="D100" s="136">
        <v>3850</v>
      </c>
      <c r="E100" s="137">
        <v>44840</v>
      </c>
      <c r="F100" s="137">
        <v>44843</v>
      </c>
      <c r="G100" s="137">
        <f>F100</f>
        <v>44843</v>
      </c>
      <c r="H100" s="137">
        <f>H99</f>
        <v>44895</v>
      </c>
      <c r="I100" s="201">
        <f t="shared" si="21"/>
        <v>0.14520547945205478</v>
      </c>
      <c r="J100" s="136">
        <f>D100*I100*AZ5*AZ6*(AZ7+AZ8)*AZ12*AZ13</f>
        <v>2466.3122016835673</v>
      </c>
      <c r="AA100" s="53"/>
      <c r="AB100" s="53"/>
      <c r="AC100" s="53"/>
      <c r="AD100" s="53"/>
      <c r="AE100" s="53"/>
      <c r="AF100" s="53"/>
      <c r="AG100" s="53"/>
      <c r="AH100" s="53"/>
      <c r="AI100" s="53"/>
      <c r="AJ100" s="53"/>
      <c r="AK100" s="53"/>
      <c r="AL100" s="53"/>
      <c r="AM100" s="53"/>
      <c r="AN100" s="53"/>
      <c r="AO100" s="53"/>
      <c r="AP100" s="53"/>
      <c r="AQ100" s="53"/>
      <c r="AR100" s="53"/>
      <c r="AS100" s="53"/>
      <c r="AT100" s="53"/>
      <c r="AU100" s="53"/>
      <c r="AV100" s="53"/>
      <c r="AW100" s="53"/>
      <c r="AX100" s="53"/>
      <c r="AY100" s="53"/>
      <c r="AZ100" s="53"/>
      <c r="BA100" s="53"/>
      <c r="BB100" s="53"/>
      <c r="BC100" s="53"/>
      <c r="BD100" s="53"/>
      <c r="BE100" s="53"/>
      <c r="BF100" s="53"/>
      <c r="BG100" s="53"/>
      <c r="BH100" s="53"/>
      <c r="BI100" s="53"/>
      <c r="BJ100" s="53"/>
      <c r="BK100" s="53"/>
      <c r="BL100" s="53"/>
      <c r="BM100" s="53"/>
      <c r="BN100" s="53"/>
      <c r="BO100" s="53"/>
      <c r="BP100" s="53"/>
      <c r="BQ100" s="53"/>
      <c r="BR100" s="53"/>
      <c r="BS100" s="53"/>
      <c r="BT100" s="53"/>
      <c r="BU100" s="53"/>
      <c r="BV100" s="53"/>
      <c r="BW100" s="53"/>
      <c r="BX100" s="53"/>
      <c r="BY100" s="53"/>
      <c r="BZ100" s="53"/>
      <c r="CA100" s="53"/>
      <c r="CB100" s="53"/>
    </row>
    <row r="101" spans="2:80">
      <c r="B101" s="182" t="s">
        <v>160</v>
      </c>
      <c r="C101" s="182">
        <v>1</v>
      </c>
      <c r="D101" s="183">
        <v>5010</v>
      </c>
      <c r="E101" s="184">
        <v>44840</v>
      </c>
      <c r="F101" s="184">
        <v>44847</v>
      </c>
      <c r="G101" s="184">
        <f>F101</f>
        <v>44847</v>
      </c>
      <c r="H101" s="184">
        <f>H100</f>
        <v>44895</v>
      </c>
      <c r="I101" s="214">
        <f t="shared" si="21"/>
        <v>0.13424657534246576</v>
      </c>
      <c r="J101" s="183">
        <f>D101*I101*BA5*BA6*(BA7+BA8)*BA12*BA13</f>
        <v>2967.1893280632157</v>
      </c>
      <c r="AA101" s="53"/>
      <c r="AB101" s="53"/>
      <c r="AC101" s="53"/>
      <c r="AD101" s="53"/>
      <c r="AE101" s="53"/>
      <c r="AF101" s="53"/>
      <c r="AG101" s="53"/>
      <c r="AH101" s="53"/>
      <c r="AI101" s="53"/>
      <c r="AJ101" s="53"/>
      <c r="AK101" s="53"/>
      <c r="AL101" s="53"/>
      <c r="AM101" s="53"/>
      <c r="AN101" s="53"/>
      <c r="AO101" s="53"/>
      <c r="AP101" s="53"/>
      <c r="AQ101" s="53"/>
      <c r="AR101" s="53"/>
      <c r="AS101" s="53"/>
      <c r="AT101" s="53"/>
      <c r="AU101" s="53"/>
      <c r="AV101" s="53"/>
      <c r="AW101" s="53"/>
      <c r="AX101" s="53"/>
      <c r="AY101" s="53"/>
      <c r="AZ101" s="53"/>
      <c r="BA101" s="53"/>
      <c r="BB101" s="53"/>
      <c r="BC101" s="53"/>
      <c r="BD101" s="53"/>
      <c r="BE101" s="53"/>
      <c r="BF101" s="53"/>
      <c r="BG101" s="53"/>
      <c r="BH101" s="53"/>
      <c r="BI101" s="53"/>
      <c r="BJ101" s="53"/>
      <c r="BK101" s="53"/>
      <c r="BL101" s="53"/>
      <c r="BM101" s="53"/>
      <c r="BN101" s="53"/>
      <c r="BO101" s="53"/>
      <c r="BP101" s="53"/>
      <c r="BQ101" s="53"/>
      <c r="BR101" s="53"/>
      <c r="BS101" s="53"/>
      <c r="BT101" s="53"/>
      <c r="BU101" s="53"/>
      <c r="BV101" s="53"/>
      <c r="BW101" s="53"/>
      <c r="BX101" s="53"/>
      <c r="BY101" s="53"/>
      <c r="BZ101" s="53"/>
      <c r="CA101" s="53"/>
      <c r="CB101" s="53"/>
    </row>
    <row r="102" spans="2:80">
      <c r="B102" s="120" t="s">
        <v>101</v>
      </c>
      <c r="C102" s="120">
        <v>1</v>
      </c>
      <c r="D102" s="121">
        <v>510</v>
      </c>
      <c r="E102" s="122">
        <v>44778</v>
      </c>
      <c r="F102" s="122">
        <v>44778</v>
      </c>
      <c r="G102" s="122">
        <f t="shared" si="23"/>
        <v>44778</v>
      </c>
      <c r="H102" s="122">
        <f>H99</f>
        <v>44895</v>
      </c>
      <c r="I102" s="197">
        <f t="shared" si="21"/>
        <v>0.32328767123287672</v>
      </c>
      <c r="J102" s="121">
        <f>D102*I102*BB5*BB6*(BB7+BB8)*BB12*BB13</f>
        <v>727.383819148822</v>
      </c>
      <c r="AA102" s="53"/>
      <c r="AB102" s="53"/>
      <c r="AC102" s="53"/>
      <c r="AD102" s="53"/>
      <c r="AE102" s="53"/>
      <c r="AF102" s="53"/>
      <c r="AG102" s="53"/>
      <c r="AH102" s="53"/>
      <c r="AI102" s="53"/>
      <c r="AJ102" s="53"/>
      <c r="AK102" s="53"/>
      <c r="AL102" s="53"/>
      <c r="AM102" s="53"/>
      <c r="AN102" s="53"/>
      <c r="AO102" s="53"/>
      <c r="AP102" s="53"/>
      <c r="AQ102" s="53"/>
      <c r="AR102" s="53"/>
      <c r="AS102" s="53"/>
      <c r="AT102" s="53"/>
      <c r="AU102" s="53"/>
      <c r="AV102" s="53"/>
      <c r="AW102" s="53"/>
      <c r="AX102" s="53"/>
      <c r="AY102" s="53"/>
      <c r="AZ102" s="53"/>
      <c r="BA102" s="53"/>
      <c r="BB102" s="53"/>
      <c r="BC102" s="53"/>
      <c r="BD102" s="53"/>
      <c r="BE102" s="53"/>
      <c r="BF102" s="53"/>
      <c r="BG102" s="53"/>
      <c r="BH102" s="53"/>
      <c r="BI102" s="53"/>
      <c r="BJ102" s="53"/>
      <c r="BK102" s="53"/>
      <c r="BL102" s="53"/>
      <c r="BM102" s="53"/>
      <c r="BN102" s="53"/>
      <c r="BO102" s="53"/>
      <c r="BP102" s="53"/>
      <c r="BQ102" s="53"/>
      <c r="BR102" s="53"/>
      <c r="BS102" s="53"/>
      <c r="BT102" s="53"/>
      <c r="BU102" s="53"/>
      <c r="BV102" s="53"/>
      <c r="BW102" s="53"/>
      <c r="BX102" s="53"/>
      <c r="BY102" s="53"/>
      <c r="BZ102" s="53"/>
      <c r="CA102" s="53"/>
      <c r="CB102" s="53"/>
    </row>
    <row r="103" spans="2:80">
      <c r="B103" s="120" t="s">
        <v>101</v>
      </c>
      <c r="C103" s="120">
        <v>1</v>
      </c>
      <c r="D103" s="121">
        <f>4290+5200</f>
        <v>9490</v>
      </c>
      <c r="E103" s="122">
        <v>44816</v>
      </c>
      <c r="F103" s="122">
        <v>44818</v>
      </c>
      <c r="G103" s="122">
        <f t="shared" si="23"/>
        <v>44818</v>
      </c>
      <c r="H103" s="122">
        <f>H102</f>
        <v>44895</v>
      </c>
      <c r="I103" s="197">
        <f t="shared" si="21"/>
        <v>0.21369863013698631</v>
      </c>
      <c r="J103" s="121">
        <f>D103*I103*BB5*BB6*(BB7+BB8)*BB12*BB13</f>
        <v>8946.8934963499669</v>
      </c>
      <c r="AA103" s="53"/>
      <c r="AB103" s="53"/>
      <c r="AC103" s="53"/>
      <c r="AD103" s="53"/>
      <c r="AE103" s="53"/>
      <c r="AF103" s="53"/>
      <c r="AG103" s="53"/>
      <c r="AH103" s="53"/>
      <c r="AI103" s="53"/>
      <c r="AJ103" s="53"/>
      <c r="AK103" s="53"/>
      <c r="AL103" s="53"/>
      <c r="AM103" s="53"/>
      <c r="AN103" s="53"/>
      <c r="AO103" s="53"/>
      <c r="AP103" s="53"/>
      <c r="AQ103" s="53"/>
      <c r="AR103" s="53"/>
      <c r="AS103" s="53"/>
      <c r="AT103" s="53"/>
      <c r="AU103" s="53"/>
      <c r="AV103" s="53"/>
      <c r="AW103" s="53"/>
      <c r="AX103" s="53"/>
      <c r="AY103" s="53"/>
      <c r="AZ103" s="53"/>
      <c r="BA103" s="53"/>
      <c r="BB103" s="53"/>
      <c r="BC103" s="53"/>
      <c r="BD103" s="53"/>
      <c r="BE103" s="53"/>
      <c r="BF103" s="53"/>
      <c r="BG103" s="53"/>
      <c r="BH103" s="53"/>
      <c r="BI103" s="53"/>
      <c r="BJ103" s="53"/>
      <c r="BK103" s="53"/>
      <c r="BL103" s="53"/>
      <c r="BM103" s="53"/>
      <c r="BN103" s="53"/>
      <c r="BO103" s="53"/>
      <c r="BP103" s="53"/>
      <c r="BQ103" s="53"/>
      <c r="BR103" s="53"/>
      <c r="BS103" s="53"/>
      <c r="BT103" s="53"/>
      <c r="BU103" s="53"/>
      <c r="BV103" s="53"/>
      <c r="BW103" s="53"/>
      <c r="BX103" s="53"/>
      <c r="BY103" s="53"/>
      <c r="BZ103" s="53"/>
      <c r="CA103" s="53"/>
      <c r="CB103" s="53"/>
    </row>
    <row r="104" spans="2:80">
      <c r="B104" s="59" t="s">
        <v>102</v>
      </c>
      <c r="C104" s="59">
        <v>1</v>
      </c>
      <c r="D104" s="163">
        <v>4452</v>
      </c>
      <c r="E104" s="62">
        <v>44814</v>
      </c>
      <c r="F104" s="62">
        <v>44816</v>
      </c>
      <c r="G104" s="62">
        <f t="shared" si="23"/>
        <v>44816</v>
      </c>
      <c r="H104" s="62">
        <f>H103</f>
        <v>44895</v>
      </c>
      <c r="I104" s="63">
        <f t="shared" ref="I104:I139" si="28">(H104-G104+1)/365</f>
        <v>0.21917808219178081</v>
      </c>
      <c r="J104" s="290">
        <f>D104*I104*BC5*BC6*(BC7+BC8)*BC12*BC13</f>
        <v>4304.8358429385917</v>
      </c>
      <c r="AA104" s="53"/>
      <c r="AB104" s="53"/>
      <c r="AC104" s="53"/>
      <c r="AD104" s="53"/>
      <c r="AE104" s="53"/>
      <c r="AF104" s="53"/>
      <c r="AG104" s="53"/>
      <c r="AH104" s="53"/>
      <c r="AI104" s="53"/>
      <c r="AJ104" s="53"/>
      <c r="AK104" s="53"/>
      <c r="AL104" s="53"/>
      <c r="AM104" s="53"/>
      <c r="AN104" s="53"/>
      <c r="AO104" s="53"/>
      <c r="AP104" s="53"/>
      <c r="AQ104" s="53"/>
      <c r="AR104" s="53"/>
      <c r="AS104" s="53"/>
      <c r="AT104" s="53"/>
      <c r="AU104" s="53"/>
      <c r="AV104" s="53"/>
      <c r="AW104" s="53"/>
      <c r="AX104" s="53"/>
      <c r="AY104" s="53"/>
      <c r="AZ104" s="53"/>
      <c r="BA104" s="53"/>
      <c r="BB104" s="53"/>
      <c r="BC104" s="53"/>
      <c r="BD104" s="53"/>
      <c r="BE104" s="53"/>
      <c r="BF104" s="53"/>
      <c r="BG104" s="53"/>
      <c r="BH104" s="53"/>
      <c r="BI104" s="53"/>
      <c r="BJ104" s="53"/>
      <c r="BK104" s="53"/>
      <c r="BL104" s="53"/>
      <c r="BM104" s="53"/>
      <c r="BN104" s="53"/>
      <c r="BO104" s="53"/>
      <c r="BP104" s="53"/>
      <c r="BQ104" s="53"/>
      <c r="BR104" s="53"/>
      <c r="BS104" s="53"/>
      <c r="BT104" s="53"/>
      <c r="BU104" s="53"/>
      <c r="BV104" s="53"/>
      <c r="BW104" s="53"/>
      <c r="BX104" s="53"/>
      <c r="BY104" s="53"/>
      <c r="BZ104" s="53"/>
      <c r="CA104" s="53"/>
      <c r="CB104" s="53"/>
    </row>
    <row r="105" spans="2:80">
      <c r="B105" s="59" t="s">
        <v>102</v>
      </c>
      <c r="C105" s="59">
        <v>1</v>
      </c>
      <c r="D105" s="163">
        <v>5548</v>
      </c>
      <c r="E105" s="62">
        <v>44872</v>
      </c>
      <c r="F105" s="62">
        <v>44875</v>
      </c>
      <c r="G105" s="62">
        <f>F105</f>
        <v>44875</v>
      </c>
      <c r="H105" s="62">
        <f>H104</f>
        <v>44895</v>
      </c>
      <c r="I105" s="63">
        <f t="shared" si="28"/>
        <v>5.7534246575342465E-2</v>
      </c>
      <c r="J105" s="290">
        <f>D105*I105*BC5*BC6*(BC7+BC8)*BC12*BC13</f>
        <v>1408.2092722065627</v>
      </c>
      <c r="AA105" s="53"/>
      <c r="AB105" s="53"/>
      <c r="AC105" s="53"/>
      <c r="AD105" s="53"/>
      <c r="AE105" s="53"/>
      <c r="AF105" s="53"/>
      <c r="AG105" s="53"/>
      <c r="AH105" s="53"/>
      <c r="AI105" s="53"/>
      <c r="AJ105" s="53"/>
      <c r="AK105" s="53"/>
      <c r="AL105" s="53"/>
      <c r="AM105" s="53"/>
      <c r="AN105" s="53"/>
      <c r="AO105" s="53"/>
      <c r="AP105" s="53"/>
      <c r="AQ105" s="53"/>
      <c r="AR105" s="53"/>
      <c r="AS105" s="53"/>
      <c r="AT105" s="53"/>
      <c r="AU105" s="53"/>
      <c r="AV105" s="53"/>
      <c r="AW105" s="53"/>
      <c r="AX105" s="53"/>
      <c r="AY105" s="53"/>
      <c r="AZ105" s="53"/>
      <c r="BA105" s="53"/>
      <c r="BB105" s="53"/>
      <c r="BC105" s="53"/>
      <c r="BD105" s="53"/>
      <c r="BE105" s="53"/>
      <c r="BF105" s="53"/>
      <c r="BG105" s="53"/>
      <c r="BH105" s="53"/>
      <c r="BI105" s="53"/>
      <c r="BJ105" s="53"/>
      <c r="BK105" s="53"/>
      <c r="BL105" s="53"/>
      <c r="BM105" s="53"/>
      <c r="BN105" s="53"/>
      <c r="BO105" s="53"/>
      <c r="BP105" s="53"/>
      <c r="BQ105" s="53"/>
      <c r="BR105" s="53"/>
      <c r="BS105" s="53"/>
      <c r="BT105" s="53"/>
      <c r="BU105" s="53"/>
      <c r="BV105" s="53"/>
      <c r="BW105" s="53"/>
      <c r="BX105" s="53"/>
      <c r="BY105" s="53"/>
      <c r="BZ105" s="53"/>
      <c r="CA105" s="53"/>
      <c r="CB105" s="53"/>
    </row>
    <row r="106" spans="2:80">
      <c r="B106" s="96" t="s">
        <v>174</v>
      </c>
      <c r="C106" s="96">
        <v>1</v>
      </c>
      <c r="D106" s="115">
        <v>9725</v>
      </c>
      <c r="E106" s="98">
        <v>44872</v>
      </c>
      <c r="F106" s="98">
        <v>44876</v>
      </c>
      <c r="G106" s="98">
        <f>F106</f>
        <v>44876</v>
      </c>
      <c r="H106" s="98">
        <f>H105</f>
        <v>44895</v>
      </c>
      <c r="I106" s="259">
        <f t="shared" si="28"/>
        <v>5.4794520547945202E-2</v>
      </c>
      <c r="J106" s="298">
        <f>D106*I106*BD5*BD6*(BD7+BD8)*BD12*BD13</f>
        <v>2350.8832307152852</v>
      </c>
      <c r="AA106" s="53"/>
      <c r="AB106" s="53"/>
      <c r="AC106" s="53"/>
      <c r="AD106" s="53"/>
      <c r="AE106" s="53"/>
      <c r="AF106" s="53"/>
      <c r="AG106" s="53"/>
      <c r="AH106" s="53"/>
      <c r="AI106" s="53"/>
      <c r="AJ106" s="53"/>
      <c r="AK106" s="53"/>
      <c r="AL106" s="53"/>
      <c r="AM106" s="53"/>
      <c r="AN106" s="53"/>
      <c r="AO106" s="53"/>
      <c r="AP106" s="53"/>
      <c r="AQ106" s="53"/>
      <c r="AR106" s="53"/>
      <c r="AS106" s="53"/>
      <c r="AT106" s="53"/>
      <c r="AU106" s="53"/>
      <c r="AV106" s="53"/>
      <c r="AW106" s="53"/>
      <c r="AX106" s="53"/>
      <c r="AY106" s="53"/>
      <c r="AZ106" s="53"/>
      <c r="BA106" s="53"/>
      <c r="BB106" s="53"/>
      <c r="BC106" s="53"/>
      <c r="BD106" s="53"/>
      <c r="BE106" s="53"/>
      <c r="BF106" s="53"/>
      <c r="BG106" s="53"/>
      <c r="BH106" s="53"/>
      <c r="BI106" s="53"/>
      <c r="BJ106" s="53"/>
      <c r="BK106" s="53"/>
      <c r="BL106" s="53"/>
      <c r="BM106" s="53"/>
      <c r="BN106" s="53"/>
      <c r="BO106" s="53"/>
      <c r="BP106" s="53"/>
      <c r="BQ106" s="53"/>
      <c r="BR106" s="53"/>
      <c r="BS106" s="53"/>
      <c r="BT106" s="53"/>
      <c r="BU106" s="53"/>
      <c r="BV106" s="53"/>
      <c r="BW106" s="53"/>
      <c r="BX106" s="53"/>
      <c r="BY106" s="53"/>
      <c r="BZ106" s="53"/>
      <c r="CA106" s="53"/>
      <c r="CB106" s="53"/>
    </row>
    <row r="107" spans="2:80">
      <c r="B107" s="176" t="s">
        <v>103</v>
      </c>
      <c r="C107" s="176">
        <v>1</v>
      </c>
      <c r="D107" s="177">
        <v>200</v>
      </c>
      <c r="E107" s="178">
        <v>44762</v>
      </c>
      <c r="F107" s="178">
        <v>44762</v>
      </c>
      <c r="G107" s="178">
        <f t="shared" si="23"/>
        <v>44762</v>
      </c>
      <c r="H107" s="178">
        <f>H104</f>
        <v>44895</v>
      </c>
      <c r="I107" s="212">
        <f t="shared" si="28"/>
        <v>0.36712328767123287</v>
      </c>
      <c r="J107" s="177">
        <f>D107*I107*BE5*BE6*(BE7+BE8)*BE12*BE13</f>
        <v>323.92632690575658</v>
      </c>
      <c r="AA107" s="53"/>
      <c r="AB107" s="53"/>
      <c r="AC107" s="53"/>
      <c r="AD107" s="53"/>
      <c r="AE107" s="53"/>
      <c r="AF107" s="53"/>
      <c r="AG107" s="53"/>
      <c r="AH107" s="53"/>
      <c r="AI107" s="53"/>
      <c r="AJ107" s="53"/>
      <c r="AK107" s="53"/>
      <c r="AL107" s="53"/>
      <c r="AM107" s="53"/>
      <c r="AN107" s="53"/>
      <c r="AO107" s="53"/>
      <c r="AP107" s="53"/>
      <c r="AQ107" s="53"/>
      <c r="AR107" s="53"/>
      <c r="AS107" s="53"/>
      <c r="AT107" s="53"/>
      <c r="AU107" s="53"/>
      <c r="AV107" s="53"/>
      <c r="AW107" s="53"/>
      <c r="AX107" s="53"/>
      <c r="AY107" s="53"/>
      <c r="AZ107" s="53"/>
      <c r="BA107" s="53"/>
      <c r="BB107" s="53"/>
      <c r="BC107" s="53"/>
      <c r="BD107" s="53"/>
      <c r="BE107" s="53"/>
      <c r="BF107" s="53"/>
      <c r="BG107" s="53"/>
      <c r="BH107" s="53"/>
      <c r="BI107" s="53"/>
      <c r="BJ107" s="53"/>
      <c r="BK107" s="53"/>
      <c r="BL107" s="53"/>
      <c r="BM107" s="53"/>
      <c r="BN107" s="53"/>
      <c r="BO107" s="53"/>
      <c r="BP107" s="53"/>
      <c r="BQ107" s="53"/>
      <c r="BR107" s="53"/>
      <c r="BS107" s="53"/>
      <c r="BT107" s="53"/>
      <c r="BU107" s="53"/>
      <c r="BV107" s="53"/>
      <c r="BW107" s="53"/>
      <c r="BX107" s="53"/>
      <c r="BY107" s="53"/>
      <c r="BZ107" s="53"/>
      <c r="CA107" s="53"/>
      <c r="CB107" s="53"/>
    </row>
    <row r="108" spans="2:80">
      <c r="B108" s="179" t="s">
        <v>104</v>
      </c>
      <c r="C108" s="179">
        <v>1</v>
      </c>
      <c r="D108" s="180">
        <v>1257</v>
      </c>
      <c r="E108" s="181">
        <v>44746</v>
      </c>
      <c r="F108" s="181">
        <v>44746</v>
      </c>
      <c r="G108" s="181">
        <f t="shared" si="23"/>
        <v>44746</v>
      </c>
      <c r="H108" s="181">
        <f t="shared" ref="H108:H113" si="29">H107</f>
        <v>44895</v>
      </c>
      <c r="I108" s="213">
        <f t="shared" si="28"/>
        <v>0.41095890410958902</v>
      </c>
      <c r="J108" s="180">
        <f>D108*I108*BF5*BF6*(BF7+BF8)*BF12*BF14</f>
        <v>3229.3601526371135</v>
      </c>
      <c r="AA108" s="53"/>
      <c r="AB108" s="53"/>
      <c r="AC108" s="53"/>
      <c r="AD108" s="53"/>
      <c r="AE108" s="53"/>
      <c r="AF108" s="53"/>
      <c r="AG108" s="53"/>
      <c r="AH108" s="53"/>
      <c r="AI108" s="53"/>
      <c r="AJ108" s="53"/>
      <c r="AK108" s="53"/>
      <c r="AL108" s="53"/>
      <c r="AM108" s="53"/>
      <c r="AN108" s="53"/>
      <c r="AO108" s="53"/>
      <c r="AP108" s="53"/>
      <c r="AQ108" s="53"/>
      <c r="AR108" s="53"/>
      <c r="AS108" s="53"/>
      <c r="AT108" s="53"/>
      <c r="AU108" s="53"/>
      <c r="AV108" s="53"/>
      <c r="AW108" s="53"/>
      <c r="AX108" s="53"/>
      <c r="AY108" s="53"/>
      <c r="AZ108" s="53"/>
      <c r="BA108" s="53"/>
      <c r="BB108" s="53"/>
      <c r="BC108" s="53"/>
      <c r="BD108" s="53"/>
      <c r="BE108" s="53"/>
      <c r="BF108" s="53"/>
      <c r="BG108" s="53"/>
      <c r="BH108" s="53"/>
      <c r="BI108" s="53"/>
      <c r="BJ108" s="53"/>
      <c r="BK108" s="53"/>
      <c r="BL108" s="53"/>
      <c r="BM108" s="53"/>
      <c r="BN108" s="53"/>
      <c r="BO108" s="53"/>
      <c r="BP108" s="53"/>
      <c r="BQ108" s="53"/>
      <c r="BR108" s="53"/>
      <c r="BS108" s="53"/>
      <c r="BT108" s="53"/>
      <c r="BU108" s="53"/>
      <c r="BV108" s="53"/>
      <c r="BW108" s="53"/>
      <c r="BX108" s="53"/>
      <c r="BY108" s="53"/>
      <c r="BZ108" s="53"/>
      <c r="CA108" s="53"/>
      <c r="CB108" s="53"/>
    </row>
    <row r="109" spans="2:80">
      <c r="B109" s="179" t="s">
        <v>104</v>
      </c>
      <c r="C109" s="179">
        <v>1</v>
      </c>
      <c r="D109" s="180">
        <v>8743</v>
      </c>
      <c r="E109" s="181">
        <v>44843</v>
      </c>
      <c r="F109" s="181">
        <v>44855</v>
      </c>
      <c r="G109" s="181">
        <f>F109</f>
        <v>44855</v>
      </c>
      <c r="H109" s="181">
        <f t="shared" si="29"/>
        <v>44895</v>
      </c>
      <c r="I109" s="213">
        <f t="shared" si="28"/>
        <v>0.11232876712328767</v>
      </c>
      <c r="J109" s="180">
        <f>D109*I109*BF5*BF6*(BF7+BF8)*BF12*BF14</f>
        <v>6139.5180503567117</v>
      </c>
      <c r="AA109" s="53"/>
      <c r="AB109" s="53"/>
      <c r="AC109" s="53"/>
      <c r="AD109" s="53"/>
      <c r="AE109" s="53"/>
      <c r="AF109" s="53"/>
      <c r="AG109" s="53"/>
      <c r="AH109" s="53"/>
      <c r="AI109" s="53"/>
      <c r="AJ109" s="53"/>
      <c r="AK109" s="53"/>
      <c r="AL109" s="53"/>
      <c r="AM109" s="53"/>
      <c r="AN109" s="53"/>
      <c r="AO109" s="53"/>
      <c r="AP109" s="53"/>
      <c r="AQ109" s="53"/>
      <c r="AR109" s="53"/>
      <c r="AS109" s="53"/>
      <c r="AT109" s="53"/>
      <c r="AU109" s="53"/>
      <c r="AV109" s="53"/>
      <c r="AW109" s="53"/>
      <c r="AX109" s="53"/>
      <c r="AY109" s="53"/>
      <c r="AZ109" s="53"/>
      <c r="BA109" s="53"/>
      <c r="BB109" s="53"/>
      <c r="BC109" s="53"/>
      <c r="BD109" s="53"/>
      <c r="BE109" s="53"/>
      <c r="BF109" s="53"/>
      <c r="BG109" s="53"/>
      <c r="BH109" s="53"/>
      <c r="BI109" s="53"/>
      <c r="BJ109" s="53"/>
      <c r="BK109" s="53"/>
      <c r="BL109" s="53"/>
      <c r="BM109" s="53"/>
      <c r="BN109" s="53"/>
      <c r="BO109" s="53"/>
      <c r="BP109" s="53"/>
      <c r="BQ109" s="53"/>
      <c r="BR109" s="53"/>
      <c r="BS109" s="53"/>
      <c r="BT109" s="53"/>
      <c r="BU109" s="53"/>
      <c r="BV109" s="53"/>
      <c r="BW109" s="53"/>
      <c r="BX109" s="53"/>
      <c r="BY109" s="53"/>
      <c r="BZ109" s="53"/>
      <c r="CA109" s="53"/>
      <c r="CB109" s="53"/>
    </row>
    <row r="110" spans="2:80">
      <c r="B110" s="57" t="s">
        <v>161</v>
      </c>
      <c r="C110" s="57">
        <v>1</v>
      </c>
      <c r="D110" s="119">
        <v>6378</v>
      </c>
      <c r="E110" s="51">
        <v>44848</v>
      </c>
      <c r="F110" s="51">
        <v>44859</v>
      </c>
      <c r="G110" s="51">
        <f>F110</f>
        <v>44859</v>
      </c>
      <c r="H110" s="51">
        <f t="shared" si="29"/>
        <v>44895</v>
      </c>
      <c r="I110" s="196">
        <f t="shared" si="28"/>
        <v>0.10136986301369863</v>
      </c>
      <c r="J110" s="119">
        <f>D110*I110*BG5*BG6*(BG7+BG8)*BG12*BG14</f>
        <v>4041.8127020961128</v>
      </c>
      <c r="AA110" s="53"/>
      <c r="AB110" s="53"/>
      <c r="AC110" s="53"/>
      <c r="AD110" s="53"/>
      <c r="AE110" s="53"/>
      <c r="AF110" s="53"/>
      <c r="AG110" s="53"/>
      <c r="AH110" s="53"/>
      <c r="AI110" s="53"/>
      <c r="AJ110" s="53"/>
      <c r="AK110" s="53"/>
      <c r="AL110" s="53"/>
      <c r="AM110" s="53"/>
      <c r="AN110" s="53"/>
      <c r="AO110" s="53"/>
      <c r="AP110" s="53"/>
      <c r="AQ110" s="53"/>
      <c r="AR110" s="53"/>
      <c r="AS110" s="53"/>
      <c r="AT110" s="53"/>
      <c r="AU110" s="53"/>
      <c r="AV110" s="53"/>
      <c r="AW110" s="53"/>
      <c r="AX110" s="53"/>
      <c r="AY110" s="53"/>
      <c r="AZ110" s="53"/>
      <c r="BA110" s="53"/>
      <c r="BB110" s="53"/>
      <c r="BC110" s="53"/>
      <c r="BD110" s="53"/>
      <c r="BE110" s="53"/>
      <c r="BF110" s="53"/>
      <c r="BG110" s="53"/>
      <c r="BH110" s="53"/>
      <c r="BI110" s="53"/>
      <c r="BJ110" s="53"/>
      <c r="BK110" s="53"/>
      <c r="BL110" s="53"/>
      <c r="BM110" s="53"/>
      <c r="BN110" s="53"/>
      <c r="BO110" s="53"/>
      <c r="BP110" s="53"/>
      <c r="BQ110" s="53"/>
      <c r="BR110" s="53"/>
      <c r="BS110" s="53"/>
      <c r="BT110" s="53"/>
      <c r="BU110" s="53"/>
      <c r="BV110" s="53"/>
      <c r="BW110" s="53"/>
      <c r="BX110" s="53"/>
      <c r="BY110" s="53"/>
      <c r="BZ110" s="53"/>
      <c r="CA110" s="53"/>
      <c r="CB110" s="53"/>
    </row>
    <row r="111" spans="2:80">
      <c r="B111" s="57" t="s">
        <v>161</v>
      </c>
      <c r="C111" s="57">
        <v>1</v>
      </c>
      <c r="D111" s="119">
        <v>3622</v>
      </c>
      <c r="E111" s="51">
        <v>44887</v>
      </c>
      <c r="F111" s="51">
        <v>44892</v>
      </c>
      <c r="G111" s="51">
        <f>F111</f>
        <v>44892</v>
      </c>
      <c r="H111" s="51">
        <f t="shared" si="29"/>
        <v>44895</v>
      </c>
      <c r="I111" s="196">
        <f t="shared" si="28"/>
        <v>1.0958904109589041E-2</v>
      </c>
      <c r="J111" s="119">
        <f>D111*I111*BG5*BG6*(BG7+BG8)*BG12*BG14</f>
        <v>248.14091695256712</v>
      </c>
      <c r="AA111" s="53"/>
      <c r="AB111" s="53"/>
      <c r="AC111" s="53"/>
      <c r="AD111" s="53"/>
      <c r="AE111" s="53"/>
      <c r="AF111" s="53"/>
      <c r="AG111" s="53"/>
      <c r="AH111" s="53"/>
      <c r="AI111" s="53"/>
      <c r="AJ111" s="53"/>
      <c r="AK111" s="53"/>
      <c r="AL111" s="53"/>
      <c r="AM111" s="53"/>
      <c r="AN111" s="53"/>
      <c r="AO111" s="53"/>
      <c r="AP111" s="53"/>
      <c r="AQ111" s="53"/>
      <c r="AR111" s="53"/>
      <c r="AS111" s="53"/>
      <c r="AT111" s="53"/>
      <c r="AU111" s="53"/>
      <c r="AV111" s="53"/>
      <c r="AW111" s="53"/>
      <c r="AX111" s="53"/>
      <c r="AY111" s="53"/>
      <c r="AZ111" s="53"/>
      <c r="BA111" s="53"/>
      <c r="BB111" s="53"/>
      <c r="BC111" s="53"/>
      <c r="BD111" s="53"/>
      <c r="BE111" s="53"/>
      <c r="BF111" s="53"/>
      <c r="BG111" s="53"/>
      <c r="BH111" s="53"/>
      <c r="BI111" s="53"/>
      <c r="BJ111" s="53"/>
      <c r="BK111" s="53"/>
      <c r="BL111" s="53"/>
      <c r="BM111" s="53"/>
      <c r="BN111" s="53"/>
      <c r="BO111" s="53"/>
      <c r="BP111" s="53"/>
      <c r="BQ111" s="53"/>
      <c r="BR111" s="53"/>
      <c r="BS111" s="53"/>
      <c r="BT111" s="53"/>
      <c r="BU111" s="53"/>
      <c r="BV111" s="53"/>
      <c r="BW111" s="53"/>
      <c r="BX111" s="53"/>
      <c r="BY111" s="53"/>
      <c r="BZ111" s="53"/>
      <c r="CA111" s="53"/>
      <c r="CB111" s="53"/>
    </row>
    <row r="112" spans="2:80">
      <c r="B112" s="260" t="s">
        <v>162</v>
      </c>
      <c r="C112" s="260">
        <v>1</v>
      </c>
      <c r="D112" s="261">
        <v>10000</v>
      </c>
      <c r="E112" s="262">
        <v>44886</v>
      </c>
      <c r="F112" s="262">
        <v>44892</v>
      </c>
      <c r="G112" s="262">
        <f>F112</f>
        <v>44892</v>
      </c>
      <c r="H112" s="262">
        <f t="shared" si="29"/>
        <v>44895</v>
      </c>
      <c r="I112" s="276">
        <f>(H112-G112+1)/365</f>
        <v>1.0958904109589041E-2</v>
      </c>
      <c r="J112" s="261">
        <f>D112*I112*BH5*BH6*(BH7+BH8)*BH12*BH14</f>
        <v>685.09364150349825</v>
      </c>
      <c r="AA112" s="53"/>
      <c r="AB112" s="53"/>
      <c r="AC112" s="53"/>
      <c r="AD112" s="53"/>
      <c r="AE112" s="53"/>
      <c r="AF112" s="53"/>
      <c r="AG112" s="53"/>
      <c r="AH112" s="53"/>
      <c r="AI112" s="53"/>
      <c r="AJ112" s="53"/>
      <c r="AK112" s="53"/>
      <c r="AL112" s="53"/>
      <c r="AM112" s="53"/>
      <c r="AN112" s="53"/>
      <c r="AO112" s="53"/>
      <c r="AP112" s="53"/>
      <c r="AQ112" s="53"/>
      <c r="AR112" s="53"/>
      <c r="AS112" s="53"/>
      <c r="AT112" s="53"/>
      <c r="AU112" s="53"/>
      <c r="AV112" s="53"/>
      <c r="AW112" s="53"/>
      <c r="AX112" s="53"/>
      <c r="AY112" s="53"/>
      <c r="AZ112" s="53"/>
      <c r="BA112" s="53"/>
      <c r="BB112" s="53"/>
      <c r="BC112" s="53"/>
      <c r="BD112" s="53"/>
      <c r="BE112" s="53"/>
      <c r="BF112" s="53"/>
      <c r="BG112" s="53"/>
      <c r="BH112" s="53"/>
      <c r="BI112" s="53"/>
      <c r="BJ112" s="53"/>
      <c r="BK112" s="53"/>
      <c r="BL112" s="53"/>
      <c r="BM112" s="53"/>
      <c r="BN112" s="53"/>
      <c r="BO112" s="53"/>
      <c r="BP112" s="53"/>
      <c r="BQ112" s="53"/>
      <c r="BR112" s="53"/>
      <c r="BS112" s="53"/>
      <c r="BT112" s="53"/>
      <c r="BU112" s="53"/>
      <c r="BV112" s="53"/>
      <c r="BW112" s="53"/>
      <c r="BX112" s="53"/>
      <c r="BY112" s="53"/>
      <c r="BZ112" s="53"/>
      <c r="CA112" s="53"/>
      <c r="CB112" s="53"/>
    </row>
    <row r="113" spans="2:80">
      <c r="B113" s="263" t="s">
        <v>163</v>
      </c>
      <c r="C113" s="263">
        <v>1</v>
      </c>
      <c r="D113" s="264">
        <v>10000</v>
      </c>
      <c r="E113" s="265">
        <v>44886</v>
      </c>
      <c r="F113" s="265">
        <v>44887</v>
      </c>
      <c r="G113" s="265">
        <f>F113</f>
        <v>44887</v>
      </c>
      <c r="H113" s="265">
        <f t="shared" si="29"/>
        <v>44895</v>
      </c>
      <c r="I113" s="277">
        <f t="shared" si="28"/>
        <v>2.4657534246575342E-2</v>
      </c>
      <c r="J113" s="264">
        <f>D113*I113*BI5*BI6*(BI7+BI8)*BI12*BI14</f>
        <v>1541.4606933828709</v>
      </c>
      <c r="AA113" s="53"/>
      <c r="AB113" s="53"/>
      <c r="AC113" s="53"/>
      <c r="AD113" s="53"/>
      <c r="AE113" s="53"/>
      <c r="AF113" s="53"/>
      <c r="AG113" s="53"/>
      <c r="AH113" s="53"/>
      <c r="AI113" s="53"/>
      <c r="AJ113" s="53"/>
      <c r="AK113" s="53"/>
      <c r="AL113" s="53"/>
      <c r="AM113" s="53"/>
      <c r="AN113" s="53"/>
      <c r="AO113" s="53"/>
      <c r="AP113" s="53"/>
      <c r="AQ113" s="53"/>
      <c r="AR113" s="53"/>
      <c r="AS113" s="53"/>
      <c r="AT113" s="53"/>
      <c r="AU113" s="53"/>
      <c r="AV113" s="53"/>
      <c r="AW113" s="53"/>
      <c r="AX113" s="53"/>
      <c r="AY113" s="53"/>
      <c r="AZ113" s="53"/>
      <c r="BA113" s="53"/>
      <c r="BB113" s="53"/>
      <c r="BC113" s="53"/>
      <c r="BD113" s="53"/>
      <c r="BE113" s="53"/>
      <c r="BF113" s="53"/>
      <c r="BG113" s="53"/>
      <c r="BH113" s="53"/>
      <c r="BI113" s="53"/>
      <c r="BJ113" s="53"/>
      <c r="BK113" s="53"/>
      <c r="BL113" s="53"/>
      <c r="BM113" s="53"/>
      <c r="BN113" s="53"/>
      <c r="BO113" s="53"/>
      <c r="BP113" s="53"/>
      <c r="BQ113" s="53"/>
      <c r="BR113" s="53"/>
      <c r="BS113" s="53"/>
      <c r="BT113" s="53"/>
      <c r="BU113" s="53"/>
      <c r="BV113" s="53"/>
      <c r="BW113" s="53"/>
      <c r="BX113" s="53"/>
      <c r="BY113" s="53"/>
      <c r="BZ113" s="53"/>
      <c r="CA113" s="53"/>
      <c r="CB113" s="53"/>
    </row>
    <row r="114" spans="2:80">
      <c r="B114" s="147" t="s">
        <v>105</v>
      </c>
      <c r="C114" s="147">
        <v>1</v>
      </c>
      <c r="D114" s="148">
        <f>4502+3048+2450</f>
        <v>10000</v>
      </c>
      <c r="E114" s="149">
        <v>44674</v>
      </c>
      <c r="F114" s="149">
        <v>44677</v>
      </c>
      <c r="G114" s="149">
        <f t="shared" si="23"/>
        <v>44677</v>
      </c>
      <c r="H114" s="149">
        <f>H108</f>
        <v>44895</v>
      </c>
      <c r="I114" s="204">
        <f t="shared" si="28"/>
        <v>0.6</v>
      </c>
      <c r="J114" s="148">
        <f>D114*I114*BJ5*BJ6*(BJ7+BJ8)*BK12*BK14</f>
        <v>37508.876872316534</v>
      </c>
      <c r="AA114" s="53"/>
      <c r="AB114" s="53"/>
      <c r="AC114" s="53"/>
      <c r="AD114" s="53"/>
      <c r="AE114" s="53"/>
      <c r="AF114" s="53"/>
      <c r="AG114" s="53"/>
      <c r="AH114" s="53"/>
      <c r="AI114" s="53"/>
      <c r="AJ114" s="53"/>
      <c r="AK114" s="53"/>
      <c r="AL114" s="53"/>
      <c r="AM114" s="53"/>
      <c r="AN114" s="53"/>
      <c r="AO114" s="53"/>
      <c r="AP114" s="53"/>
      <c r="AQ114" s="53"/>
      <c r="AR114" s="53"/>
      <c r="AS114" s="53"/>
      <c r="AT114" s="53"/>
      <c r="AU114" s="53"/>
      <c r="AV114" s="53"/>
      <c r="AW114" s="53"/>
      <c r="AX114" s="53"/>
      <c r="AY114" s="53"/>
      <c r="AZ114" s="53"/>
      <c r="BA114" s="53"/>
      <c r="BB114" s="53"/>
      <c r="BC114" s="53"/>
      <c r="BD114" s="53"/>
      <c r="BE114" s="53"/>
      <c r="BF114" s="53"/>
      <c r="BG114" s="53"/>
      <c r="BH114" s="53"/>
      <c r="BI114" s="53"/>
      <c r="BJ114" s="53"/>
      <c r="BK114" s="53"/>
      <c r="BL114" s="53"/>
      <c r="BM114" s="53"/>
      <c r="BN114" s="53"/>
      <c r="BO114" s="53"/>
      <c r="BP114" s="53"/>
      <c r="BQ114" s="53"/>
      <c r="BR114" s="53"/>
      <c r="BS114" s="53"/>
      <c r="BT114" s="53"/>
      <c r="BU114" s="53"/>
      <c r="BV114" s="53"/>
      <c r="BW114" s="53"/>
      <c r="BX114" s="53"/>
      <c r="BY114" s="53"/>
      <c r="BZ114" s="53"/>
      <c r="CA114" s="53"/>
      <c r="CB114" s="53"/>
    </row>
    <row r="115" spans="2:80">
      <c r="B115" s="164" t="s">
        <v>106</v>
      </c>
      <c r="C115" s="164">
        <v>1</v>
      </c>
      <c r="D115" s="165">
        <v>1973</v>
      </c>
      <c r="E115" s="166">
        <v>44674</v>
      </c>
      <c r="F115" s="166">
        <v>44674</v>
      </c>
      <c r="G115" s="166">
        <f t="shared" ref="G115:G137" si="30">F115</f>
        <v>44674</v>
      </c>
      <c r="H115" s="166">
        <f t="shared" ref="H115:H122" si="31">H114</f>
        <v>44895</v>
      </c>
      <c r="I115" s="208">
        <f t="shared" si="28"/>
        <v>0.60821917808219184</v>
      </c>
      <c r="J115" s="165">
        <f>D115*I115*BK5*BK6*(BL7+BL8)*BL12*BL14</f>
        <v>7501.8781385095308</v>
      </c>
      <c r="AA115" s="53"/>
      <c r="AB115" s="53"/>
      <c r="AC115" s="53"/>
      <c r="AD115" s="53"/>
      <c r="AE115" s="53"/>
      <c r="AF115" s="53"/>
      <c r="AG115" s="53"/>
      <c r="AH115" s="53"/>
      <c r="AI115" s="53"/>
      <c r="AJ115" s="53"/>
      <c r="AK115" s="53"/>
      <c r="AL115" s="53"/>
      <c r="AM115" s="53"/>
      <c r="AN115" s="53"/>
      <c r="AO115" s="53"/>
      <c r="AP115" s="53"/>
      <c r="AQ115" s="53"/>
      <c r="AR115" s="53"/>
      <c r="AS115" s="53"/>
      <c r="AT115" s="53"/>
      <c r="AU115" s="53"/>
      <c r="AV115" s="53"/>
      <c r="AW115" s="53"/>
      <c r="AX115" s="53"/>
      <c r="AY115" s="53"/>
      <c r="AZ115" s="53"/>
      <c r="BA115" s="53"/>
      <c r="BB115" s="53"/>
      <c r="BC115" s="53"/>
      <c r="BD115" s="53"/>
      <c r="BE115" s="53"/>
      <c r="BF115" s="53"/>
      <c r="BG115" s="53"/>
      <c r="BH115" s="53"/>
      <c r="BI115" s="53"/>
      <c r="BJ115" s="53"/>
      <c r="BK115" s="53"/>
      <c r="BL115" s="53"/>
      <c r="BM115" s="53"/>
      <c r="BN115" s="53"/>
      <c r="BO115" s="53"/>
      <c r="BP115" s="53"/>
      <c r="BQ115" s="53"/>
      <c r="BR115" s="53"/>
      <c r="BS115" s="53"/>
      <c r="BT115" s="53"/>
      <c r="BU115" s="53"/>
      <c r="BV115" s="53"/>
      <c r="BW115" s="53"/>
      <c r="BX115" s="53"/>
      <c r="BY115" s="53"/>
      <c r="BZ115" s="53"/>
      <c r="CA115" s="53"/>
      <c r="CB115" s="53"/>
    </row>
    <row r="116" spans="2:80">
      <c r="B116" s="164" t="s">
        <v>106</v>
      </c>
      <c r="C116" s="164">
        <v>1</v>
      </c>
      <c r="D116" s="165">
        <v>507</v>
      </c>
      <c r="E116" s="166">
        <v>44727</v>
      </c>
      <c r="F116" s="166">
        <v>44727</v>
      </c>
      <c r="G116" s="166">
        <f t="shared" si="30"/>
        <v>44727</v>
      </c>
      <c r="H116" s="166">
        <f t="shared" si="31"/>
        <v>44895</v>
      </c>
      <c r="I116" s="208">
        <f t="shared" si="28"/>
        <v>0.46301369863013697</v>
      </c>
      <c r="J116" s="165">
        <f>D116*I116*BK5*BK6*(BL7+BL8)*BL12*BL14</f>
        <v>1467.521962123606</v>
      </c>
      <c r="AA116" s="53"/>
      <c r="AB116" s="53"/>
      <c r="AC116" s="53"/>
      <c r="AD116" s="53"/>
      <c r="AE116" s="53"/>
      <c r="AF116" s="53"/>
      <c r="AG116" s="53"/>
      <c r="AH116" s="53"/>
      <c r="AI116" s="53"/>
      <c r="AJ116" s="53"/>
      <c r="AK116" s="53"/>
      <c r="AL116" s="53"/>
      <c r="AM116" s="53"/>
      <c r="AN116" s="53"/>
      <c r="AO116" s="53"/>
      <c r="AP116" s="53"/>
      <c r="AQ116" s="53"/>
      <c r="AR116" s="53"/>
      <c r="AS116" s="53"/>
      <c r="AT116" s="53"/>
      <c r="AU116" s="53"/>
      <c r="AV116" s="53"/>
      <c r="AW116" s="53"/>
      <c r="AX116" s="53"/>
      <c r="AY116" s="53"/>
      <c r="AZ116" s="53"/>
      <c r="BA116" s="53"/>
      <c r="BB116" s="53"/>
      <c r="BC116" s="53"/>
      <c r="BD116" s="53"/>
      <c r="BE116" s="53"/>
      <c r="BF116" s="53"/>
      <c r="BG116" s="53"/>
      <c r="BH116" s="53"/>
      <c r="BI116" s="53"/>
      <c r="BJ116" s="53"/>
      <c r="BK116" s="53"/>
      <c r="BL116" s="53"/>
      <c r="BM116" s="53"/>
      <c r="BN116" s="53"/>
      <c r="BO116" s="53"/>
      <c r="BP116" s="53"/>
      <c r="BQ116" s="53"/>
      <c r="BR116" s="53"/>
      <c r="BS116" s="53"/>
      <c r="BT116" s="53"/>
      <c r="BU116" s="53"/>
      <c r="BV116" s="53"/>
      <c r="BW116" s="53"/>
      <c r="BX116" s="53"/>
      <c r="BY116" s="53"/>
      <c r="BZ116" s="53"/>
      <c r="CA116" s="53"/>
      <c r="CB116" s="53"/>
    </row>
    <row r="117" spans="2:80">
      <c r="B117" s="164" t="s">
        <v>106</v>
      </c>
      <c r="C117" s="164">
        <v>1</v>
      </c>
      <c r="D117" s="165">
        <v>7520</v>
      </c>
      <c r="E117" s="166">
        <v>44866</v>
      </c>
      <c r="F117" s="166">
        <v>44875</v>
      </c>
      <c r="G117" s="166">
        <f t="shared" ref="G117:G122" si="32">F117</f>
        <v>44875</v>
      </c>
      <c r="H117" s="166">
        <f t="shared" si="31"/>
        <v>44895</v>
      </c>
      <c r="I117" s="208">
        <f t="shared" si="28"/>
        <v>5.7534246575342465E-2</v>
      </c>
      <c r="J117" s="165">
        <f>D117*I117*BK5*BK6*(BL7+BL8)*BL12*BL14</f>
        <v>2704.7496966558106</v>
      </c>
      <c r="AA117" s="53"/>
      <c r="AB117" s="53"/>
      <c r="AC117" s="53"/>
      <c r="AD117" s="53"/>
      <c r="AE117" s="53"/>
      <c r="AF117" s="53"/>
      <c r="AG117" s="53"/>
      <c r="AH117" s="53"/>
      <c r="AI117" s="53"/>
      <c r="AJ117" s="53"/>
      <c r="AK117" s="53"/>
      <c r="AL117" s="53"/>
      <c r="AM117" s="53"/>
      <c r="AN117" s="53"/>
      <c r="AO117" s="53"/>
      <c r="AP117" s="53"/>
      <c r="AQ117" s="53"/>
      <c r="AR117" s="53"/>
      <c r="AS117" s="53"/>
      <c r="AT117" s="53"/>
      <c r="AU117" s="53"/>
      <c r="AV117" s="53"/>
      <c r="AW117" s="53"/>
      <c r="AX117" s="53"/>
      <c r="AY117" s="53"/>
      <c r="AZ117" s="53"/>
      <c r="BA117" s="53"/>
      <c r="BB117" s="53"/>
      <c r="BC117" s="53"/>
      <c r="BD117" s="53"/>
      <c r="BE117" s="53"/>
      <c r="BF117" s="53"/>
      <c r="BG117" s="53"/>
      <c r="BH117" s="53"/>
      <c r="BI117" s="53"/>
      <c r="BJ117" s="53"/>
      <c r="BK117" s="53"/>
      <c r="BL117" s="53"/>
      <c r="BM117" s="53"/>
      <c r="BN117" s="53"/>
      <c r="BO117" s="53"/>
      <c r="BP117" s="53"/>
      <c r="BQ117" s="53"/>
      <c r="BR117" s="53"/>
      <c r="BS117" s="53"/>
      <c r="BT117" s="53"/>
      <c r="BU117" s="53"/>
      <c r="BV117" s="53"/>
      <c r="BW117" s="53"/>
      <c r="BX117" s="53"/>
      <c r="BY117" s="53"/>
      <c r="BZ117" s="53"/>
      <c r="CA117" s="53"/>
      <c r="CB117" s="53"/>
    </row>
    <row r="118" spans="2:80">
      <c r="B118" s="266" t="s">
        <v>164</v>
      </c>
      <c r="C118" s="266">
        <v>1</v>
      </c>
      <c r="D118" s="267">
        <v>10000</v>
      </c>
      <c r="E118" s="268">
        <v>44873</v>
      </c>
      <c r="F118" s="268">
        <v>44888</v>
      </c>
      <c r="G118" s="268">
        <f t="shared" si="32"/>
        <v>44888</v>
      </c>
      <c r="H118" s="268">
        <f t="shared" si="31"/>
        <v>44895</v>
      </c>
      <c r="I118" s="278">
        <f t="shared" si="28"/>
        <v>2.1917808219178082E-2</v>
      </c>
      <c r="J118" s="267">
        <f>D118*I118*BL5*BL6*(BL7+BL8)*BL12*BL14</f>
        <v>1370.1872830069965</v>
      </c>
      <c r="AA118" s="53"/>
      <c r="AB118" s="53"/>
      <c r="AC118" s="53"/>
      <c r="AD118" s="53"/>
      <c r="AE118" s="53"/>
      <c r="AF118" s="53"/>
      <c r="AG118" s="53"/>
      <c r="AH118" s="53"/>
      <c r="AI118" s="53"/>
      <c r="AJ118" s="53"/>
      <c r="AK118" s="53"/>
      <c r="AL118" s="53"/>
      <c r="AM118" s="53"/>
      <c r="AN118" s="53"/>
      <c r="AO118" s="53"/>
      <c r="AP118" s="53"/>
      <c r="AQ118" s="53"/>
      <c r="AR118" s="53"/>
      <c r="AS118" s="53"/>
      <c r="AT118" s="53"/>
      <c r="AU118" s="53"/>
      <c r="AV118" s="53"/>
      <c r="AW118" s="53"/>
      <c r="AX118" s="53"/>
      <c r="AY118" s="53"/>
      <c r="AZ118" s="53"/>
      <c r="BA118" s="53"/>
      <c r="BB118" s="53"/>
      <c r="BC118" s="53"/>
      <c r="BD118" s="53"/>
      <c r="BE118" s="53"/>
      <c r="BF118" s="53"/>
      <c r="BG118" s="53"/>
      <c r="BH118" s="53"/>
      <c r="BI118" s="53"/>
      <c r="BJ118" s="53"/>
      <c r="BK118" s="53"/>
      <c r="BL118" s="53"/>
      <c r="BM118" s="53"/>
      <c r="BN118" s="53"/>
      <c r="BO118" s="53"/>
      <c r="BP118" s="53"/>
      <c r="BQ118" s="53"/>
      <c r="BR118" s="53"/>
      <c r="BS118" s="53"/>
      <c r="BT118" s="53"/>
      <c r="BU118" s="53"/>
      <c r="BV118" s="53"/>
      <c r="BW118" s="53"/>
      <c r="BX118" s="53"/>
      <c r="BY118" s="53"/>
      <c r="BZ118" s="53"/>
      <c r="CA118" s="53"/>
      <c r="CB118" s="53"/>
    </row>
    <row r="119" spans="2:80">
      <c r="B119" s="269" t="s">
        <v>165</v>
      </c>
      <c r="C119" s="269">
        <v>1</v>
      </c>
      <c r="D119" s="270">
        <v>10000</v>
      </c>
      <c r="E119" s="271">
        <v>44875</v>
      </c>
      <c r="F119" s="271">
        <v>44884</v>
      </c>
      <c r="G119" s="271">
        <f t="shared" si="32"/>
        <v>44884</v>
      </c>
      <c r="H119" s="271">
        <f t="shared" si="31"/>
        <v>44895</v>
      </c>
      <c r="I119" s="279">
        <f t="shared" si="28"/>
        <v>3.287671232876712E-2</v>
      </c>
      <c r="J119" s="270">
        <f>D119*I119*BM5*BM6*(BM7+BM8)*BM12*BM14</f>
        <v>2055.2809245104945</v>
      </c>
      <c r="AA119" s="53"/>
      <c r="AB119" s="53"/>
      <c r="AC119" s="53"/>
      <c r="AD119" s="53"/>
      <c r="AE119" s="53"/>
      <c r="AF119" s="53"/>
      <c r="AG119" s="53"/>
      <c r="AH119" s="53"/>
      <c r="AI119" s="53"/>
      <c r="AJ119" s="53"/>
      <c r="AK119" s="53"/>
      <c r="AL119" s="53"/>
      <c r="AM119" s="53"/>
      <c r="AN119" s="53"/>
      <c r="AO119" s="53"/>
      <c r="AP119" s="53"/>
      <c r="AQ119" s="53"/>
      <c r="AR119" s="53"/>
      <c r="AS119" s="53"/>
      <c r="AT119" s="53"/>
      <c r="AU119" s="53"/>
      <c r="AV119" s="53"/>
      <c r="AW119" s="53"/>
      <c r="AX119" s="53"/>
      <c r="AY119" s="53"/>
      <c r="AZ119" s="53"/>
      <c r="BA119" s="53"/>
      <c r="BB119" s="53"/>
      <c r="BC119" s="53"/>
      <c r="BD119" s="53"/>
      <c r="BE119" s="53"/>
      <c r="BF119" s="53"/>
      <c r="BG119" s="53"/>
      <c r="BH119" s="53"/>
      <c r="BI119" s="53"/>
      <c r="BJ119" s="53"/>
      <c r="BK119" s="53"/>
      <c r="BL119" s="53"/>
      <c r="BM119" s="53"/>
      <c r="BN119" s="53"/>
      <c r="BO119" s="53"/>
      <c r="BP119" s="53"/>
      <c r="BQ119" s="53"/>
      <c r="BR119" s="53"/>
      <c r="BS119" s="53"/>
      <c r="BT119" s="53"/>
      <c r="BU119" s="53"/>
      <c r="BV119" s="53"/>
      <c r="BW119" s="53"/>
      <c r="BX119" s="53"/>
      <c r="BY119" s="53"/>
      <c r="BZ119" s="53"/>
      <c r="CA119" s="53"/>
      <c r="CB119" s="53"/>
    </row>
    <row r="120" spans="2:80">
      <c r="B120" s="127" t="s">
        <v>166</v>
      </c>
      <c r="C120" s="127">
        <v>1</v>
      </c>
      <c r="D120" s="128">
        <v>10000</v>
      </c>
      <c r="E120" s="129">
        <v>44868</v>
      </c>
      <c r="F120" s="129">
        <v>44881</v>
      </c>
      <c r="G120" s="129">
        <f t="shared" si="32"/>
        <v>44881</v>
      </c>
      <c r="H120" s="129">
        <f t="shared" si="31"/>
        <v>44895</v>
      </c>
      <c r="I120" s="199">
        <f t="shared" si="28"/>
        <v>4.1095890410958902E-2</v>
      </c>
      <c r="J120" s="128">
        <f>D119*I120*BN5*BN6*(BN7+BN8)*BN12*BN14</f>
        <v>2569.1011556381177</v>
      </c>
      <c r="AA120" s="53"/>
      <c r="AB120" s="53"/>
      <c r="AC120" s="53"/>
      <c r="AD120" s="53"/>
      <c r="AE120" s="53"/>
      <c r="AF120" s="53"/>
      <c r="AG120" s="53"/>
      <c r="AH120" s="53"/>
      <c r="AI120" s="53"/>
      <c r="AJ120" s="53"/>
      <c r="AK120" s="53"/>
      <c r="AL120" s="53"/>
      <c r="AM120" s="53"/>
      <c r="AN120" s="53"/>
      <c r="AO120" s="53"/>
      <c r="AP120" s="53"/>
      <c r="AQ120" s="53"/>
      <c r="AR120" s="53"/>
      <c r="AS120" s="53"/>
      <c r="AT120" s="53"/>
      <c r="AU120" s="53"/>
      <c r="AV120" s="53"/>
      <c r="AW120" s="53"/>
      <c r="AX120" s="53"/>
      <c r="AY120" s="53"/>
      <c r="AZ120" s="53"/>
      <c r="BA120" s="53"/>
      <c r="BB120" s="53"/>
      <c r="BC120" s="53"/>
      <c r="BD120" s="53"/>
      <c r="BE120" s="53"/>
      <c r="BF120" s="53"/>
      <c r="BG120" s="53"/>
      <c r="BH120" s="53"/>
      <c r="BI120" s="53"/>
      <c r="BJ120" s="53"/>
      <c r="BK120" s="53"/>
      <c r="BL120" s="53"/>
      <c r="BM120" s="53"/>
      <c r="BN120" s="53"/>
      <c r="BO120" s="53"/>
      <c r="BP120" s="53"/>
      <c r="BQ120" s="53"/>
      <c r="BR120" s="53"/>
      <c r="BS120" s="53"/>
      <c r="BT120" s="53"/>
      <c r="BU120" s="53"/>
      <c r="BV120" s="53"/>
      <c r="BW120" s="53"/>
      <c r="BX120" s="53"/>
      <c r="BY120" s="53"/>
      <c r="BZ120" s="53"/>
      <c r="CA120" s="53"/>
      <c r="CB120" s="53"/>
    </row>
    <row r="121" spans="2:80">
      <c r="B121" s="100" t="s">
        <v>167</v>
      </c>
      <c r="C121" s="100">
        <v>1</v>
      </c>
      <c r="D121" s="172">
        <v>10000</v>
      </c>
      <c r="E121" s="102">
        <v>44872</v>
      </c>
      <c r="F121" s="102">
        <v>44884</v>
      </c>
      <c r="G121" s="102">
        <f t="shared" si="32"/>
        <v>44884</v>
      </c>
      <c r="H121" s="102">
        <f t="shared" si="31"/>
        <v>44895</v>
      </c>
      <c r="I121" s="190">
        <f t="shared" si="28"/>
        <v>3.287671232876712E-2</v>
      </c>
      <c r="J121" s="172">
        <f>D121*I121*BO5*BO6*(BO7+BO8)*BO12*BO14</f>
        <v>2055.2809245104945</v>
      </c>
      <c r="AA121" s="53"/>
      <c r="AB121" s="53"/>
      <c r="AC121" s="53"/>
      <c r="AD121" s="53"/>
      <c r="AE121" s="53"/>
      <c r="AF121" s="53"/>
      <c r="AG121" s="53"/>
      <c r="AH121" s="53"/>
      <c r="AI121" s="53"/>
      <c r="AJ121" s="53"/>
      <c r="AK121" s="53"/>
      <c r="AL121" s="53"/>
      <c r="AM121" s="53"/>
      <c r="AN121" s="53"/>
      <c r="AO121" s="53"/>
      <c r="AP121" s="53"/>
      <c r="AQ121" s="53"/>
      <c r="AR121" s="53"/>
      <c r="AS121" s="53"/>
      <c r="AT121" s="53"/>
      <c r="AU121" s="53"/>
      <c r="AV121" s="53"/>
      <c r="AW121" s="53"/>
      <c r="AX121" s="53"/>
      <c r="AY121" s="53"/>
      <c r="AZ121" s="53"/>
      <c r="BA121" s="53"/>
      <c r="BB121" s="53"/>
      <c r="BC121" s="53"/>
      <c r="BD121" s="53"/>
      <c r="BE121" s="53"/>
      <c r="BF121" s="53"/>
      <c r="BG121" s="53"/>
      <c r="BH121" s="53"/>
      <c r="BI121" s="53"/>
      <c r="BJ121" s="53"/>
      <c r="BK121" s="53"/>
      <c r="BL121" s="53"/>
      <c r="BM121" s="53"/>
      <c r="BN121" s="53"/>
      <c r="BO121" s="53"/>
      <c r="BP121" s="53"/>
      <c r="BQ121" s="53"/>
      <c r="BR121" s="53"/>
      <c r="BS121" s="53"/>
      <c r="BT121" s="53"/>
      <c r="BU121" s="53"/>
      <c r="BV121" s="53"/>
      <c r="BW121" s="53"/>
      <c r="BX121" s="53"/>
      <c r="BY121" s="53"/>
      <c r="BZ121" s="53"/>
      <c r="CA121" s="53"/>
      <c r="CB121" s="53"/>
    </row>
    <row r="122" spans="2:80">
      <c r="B122" s="57" t="s">
        <v>168</v>
      </c>
      <c r="C122" s="57">
        <v>1</v>
      </c>
      <c r="D122" s="119">
        <v>8376</v>
      </c>
      <c r="E122" s="51">
        <v>44866</v>
      </c>
      <c r="F122" s="51">
        <v>44882</v>
      </c>
      <c r="G122" s="51">
        <f t="shared" si="32"/>
        <v>44882</v>
      </c>
      <c r="H122" s="51">
        <f t="shared" si="31"/>
        <v>44895</v>
      </c>
      <c r="I122" s="196">
        <f t="shared" si="28"/>
        <v>3.8356164383561646E-2</v>
      </c>
      <c r="J122" s="119">
        <f>D122*I122*BP5*BP6*(BP7+BP8)*BP12*BP14</f>
        <v>2008.4205194316555</v>
      </c>
      <c r="AA122" s="53"/>
      <c r="AB122" s="53"/>
      <c r="AC122" s="53"/>
      <c r="AD122" s="53"/>
      <c r="AE122" s="53"/>
      <c r="AF122" s="53"/>
      <c r="AG122" s="53"/>
      <c r="AH122" s="53"/>
      <c r="AI122" s="53"/>
      <c r="AJ122" s="53"/>
      <c r="AK122" s="53"/>
      <c r="AL122" s="53"/>
      <c r="AM122" s="53"/>
      <c r="AN122" s="53"/>
      <c r="AO122" s="53"/>
      <c r="AP122" s="53"/>
      <c r="AQ122" s="53"/>
      <c r="AR122" s="53"/>
      <c r="AS122" s="53"/>
      <c r="AT122" s="53"/>
      <c r="AU122" s="53"/>
      <c r="AV122" s="53"/>
      <c r="AW122" s="53"/>
      <c r="AX122" s="53"/>
      <c r="AY122" s="53"/>
      <c r="AZ122" s="53"/>
      <c r="BA122" s="53"/>
      <c r="BB122" s="53"/>
      <c r="BC122" s="53"/>
      <c r="BD122" s="53"/>
      <c r="BE122" s="53"/>
      <c r="BF122" s="53"/>
      <c r="BG122" s="53"/>
      <c r="BH122" s="53"/>
      <c r="BI122" s="53"/>
      <c r="BJ122" s="53"/>
      <c r="BK122" s="53"/>
      <c r="BL122" s="53"/>
      <c r="BM122" s="53"/>
      <c r="BN122" s="53"/>
      <c r="BO122" s="53"/>
      <c r="BP122" s="53"/>
      <c r="BQ122" s="53"/>
      <c r="BR122" s="53"/>
      <c r="BS122" s="53"/>
      <c r="BT122" s="53"/>
      <c r="BU122" s="53"/>
      <c r="BV122" s="53"/>
      <c r="BW122" s="53"/>
      <c r="BX122" s="53"/>
      <c r="BY122" s="53"/>
      <c r="BZ122" s="53"/>
      <c r="CA122" s="53"/>
      <c r="CB122" s="53"/>
    </row>
    <row r="123" spans="2:80">
      <c r="B123" s="135" t="s">
        <v>107</v>
      </c>
      <c r="C123" s="135">
        <v>1</v>
      </c>
      <c r="D123" s="136">
        <v>200</v>
      </c>
      <c r="E123" s="137">
        <v>44789</v>
      </c>
      <c r="F123" s="137">
        <v>44789</v>
      </c>
      <c r="G123" s="137">
        <f t="shared" si="30"/>
        <v>44789</v>
      </c>
      <c r="H123" s="137">
        <f>H116</f>
        <v>44895</v>
      </c>
      <c r="I123" s="201">
        <f t="shared" si="28"/>
        <v>0.29315068493150687</v>
      </c>
      <c r="J123" s="136">
        <f>D123*I123*BO5*BO6*(BP7+BP8)*BP12*BP14</f>
        <v>366.5250982043716</v>
      </c>
      <c r="AA123" s="53"/>
      <c r="AB123" s="53"/>
      <c r="AC123" s="53"/>
      <c r="AD123" s="53"/>
      <c r="AE123" s="53"/>
      <c r="AF123" s="53"/>
      <c r="AG123" s="53"/>
      <c r="AH123" s="53"/>
      <c r="AI123" s="53"/>
      <c r="AJ123" s="53"/>
      <c r="AK123" s="53"/>
      <c r="AL123" s="53"/>
      <c r="AM123" s="53"/>
      <c r="AN123" s="53"/>
      <c r="AO123" s="53"/>
      <c r="AP123" s="53"/>
      <c r="AQ123" s="53"/>
      <c r="AR123" s="53"/>
      <c r="AS123" s="53"/>
      <c r="AT123" s="53"/>
      <c r="AU123" s="53"/>
      <c r="AV123" s="53"/>
      <c r="AW123" s="53"/>
      <c r="AX123" s="53"/>
      <c r="AY123" s="53"/>
      <c r="AZ123" s="53"/>
      <c r="BA123" s="53"/>
      <c r="BB123" s="53"/>
      <c r="BC123" s="53"/>
      <c r="BD123" s="53"/>
      <c r="BE123" s="53"/>
      <c r="BF123" s="53"/>
      <c r="BG123" s="53"/>
      <c r="BH123" s="53"/>
      <c r="BI123" s="53"/>
      <c r="BJ123" s="53"/>
      <c r="BK123" s="53"/>
      <c r="BL123" s="53"/>
      <c r="BM123" s="53"/>
      <c r="BN123" s="53"/>
      <c r="BO123" s="53"/>
      <c r="BP123" s="53"/>
      <c r="BQ123" s="53"/>
      <c r="BR123" s="53"/>
      <c r="BS123" s="53"/>
      <c r="BT123" s="53"/>
      <c r="BU123" s="53"/>
      <c r="BV123" s="53"/>
      <c r="BW123" s="53"/>
      <c r="BX123" s="53"/>
      <c r="BY123" s="53"/>
      <c r="BZ123" s="53"/>
      <c r="CA123" s="53"/>
      <c r="CB123" s="53"/>
    </row>
    <row r="124" spans="2:80">
      <c r="B124" s="135" t="s">
        <v>107</v>
      </c>
      <c r="C124" s="135">
        <v>1</v>
      </c>
      <c r="D124" s="136">
        <v>9800</v>
      </c>
      <c r="E124" s="137">
        <v>44810</v>
      </c>
      <c r="F124" s="137">
        <v>44814</v>
      </c>
      <c r="G124" s="137">
        <f t="shared" si="30"/>
        <v>44814</v>
      </c>
      <c r="H124" s="137">
        <f>H123</f>
        <v>44895</v>
      </c>
      <c r="I124" s="201">
        <f t="shared" si="28"/>
        <v>0.22465753424657534</v>
      </c>
      <c r="J124" s="136">
        <f>D124*I124*BO5*BO6*(BP7+BP8)*BP12*BP14</f>
        <v>13763.531257805276</v>
      </c>
      <c r="AA124" s="53"/>
      <c r="AB124" s="53"/>
      <c r="AC124" s="53"/>
      <c r="AD124" s="53"/>
      <c r="AE124" s="53"/>
      <c r="AF124" s="53"/>
      <c r="AG124" s="53"/>
      <c r="AH124" s="53"/>
      <c r="AI124" s="53"/>
      <c r="AJ124" s="53"/>
      <c r="AK124" s="53"/>
      <c r="AL124" s="53"/>
      <c r="AM124" s="53"/>
      <c r="AN124" s="53"/>
      <c r="AO124" s="53"/>
      <c r="AP124" s="53"/>
      <c r="AQ124" s="53"/>
      <c r="AR124" s="53"/>
      <c r="AS124" s="53"/>
      <c r="AT124" s="53"/>
      <c r="AU124" s="53"/>
      <c r="AV124" s="53"/>
      <c r="AW124" s="53"/>
      <c r="AX124" s="53"/>
      <c r="AY124" s="53"/>
      <c r="AZ124" s="53"/>
      <c r="BA124" s="53"/>
      <c r="BB124" s="53"/>
      <c r="BC124" s="53"/>
      <c r="BD124" s="53"/>
      <c r="BE124" s="53"/>
      <c r="BF124" s="53"/>
      <c r="BG124" s="53"/>
      <c r="BH124" s="53"/>
      <c r="BI124" s="53"/>
      <c r="BJ124" s="53"/>
      <c r="BK124" s="53"/>
      <c r="BL124" s="53"/>
      <c r="BM124" s="53"/>
      <c r="BN124" s="53"/>
      <c r="BO124" s="53"/>
      <c r="BP124" s="53"/>
      <c r="BQ124" s="53"/>
      <c r="BR124" s="53"/>
      <c r="BS124" s="53"/>
      <c r="BT124" s="53"/>
      <c r="BU124" s="53"/>
      <c r="BV124" s="53"/>
      <c r="BW124" s="53"/>
      <c r="BX124" s="53"/>
      <c r="BY124" s="53"/>
      <c r="BZ124" s="53"/>
      <c r="CA124" s="53"/>
      <c r="CB124" s="53"/>
    </row>
    <row r="125" spans="2:80">
      <c r="B125" s="142" t="s">
        <v>108</v>
      </c>
      <c r="C125" s="142">
        <v>1</v>
      </c>
      <c r="D125" s="162">
        <v>2075</v>
      </c>
      <c r="E125" s="144">
        <v>44810</v>
      </c>
      <c r="F125" s="144">
        <v>44812</v>
      </c>
      <c r="G125" s="144">
        <f t="shared" si="30"/>
        <v>44812</v>
      </c>
      <c r="H125" s="144">
        <f>H124</f>
        <v>44895</v>
      </c>
      <c r="I125" s="203">
        <f t="shared" si="28"/>
        <v>0.23013698630136986</v>
      </c>
      <c r="J125" s="162">
        <f>D125*I125*BR5*BR6*(BR7+BR8)*BR12*BR14</f>
        <v>2985.2955428514933</v>
      </c>
      <c r="AA125" s="53"/>
      <c r="AB125" s="53"/>
      <c r="AC125" s="53"/>
      <c r="AD125" s="53"/>
      <c r="AE125" s="53"/>
      <c r="AF125" s="53"/>
      <c r="AG125" s="53"/>
      <c r="AH125" s="53"/>
      <c r="AI125" s="53"/>
      <c r="AJ125" s="53"/>
      <c r="AK125" s="53"/>
      <c r="AL125" s="53"/>
      <c r="AM125" s="53"/>
      <c r="AN125" s="53"/>
      <c r="AO125" s="53"/>
      <c r="AP125" s="53"/>
      <c r="AQ125" s="53"/>
      <c r="AR125" s="53"/>
      <c r="AS125" s="53"/>
      <c r="AT125" s="53"/>
      <c r="AU125" s="53"/>
      <c r="AV125" s="53"/>
      <c r="AW125" s="53"/>
      <c r="AX125" s="53"/>
      <c r="AY125" s="53"/>
      <c r="AZ125" s="53"/>
      <c r="BA125" s="53"/>
      <c r="BB125" s="53"/>
      <c r="BC125" s="53"/>
      <c r="BD125" s="53"/>
      <c r="BE125" s="53"/>
      <c r="BF125" s="53"/>
      <c r="BG125" s="53"/>
      <c r="BH125" s="53"/>
      <c r="BI125" s="53"/>
      <c r="BJ125" s="53"/>
      <c r="BK125" s="53"/>
      <c r="BL125" s="53"/>
      <c r="BM125" s="53"/>
      <c r="BN125" s="53"/>
      <c r="BO125" s="53"/>
      <c r="BP125" s="53"/>
      <c r="BQ125" s="53"/>
      <c r="BR125" s="53"/>
      <c r="BS125" s="53"/>
      <c r="BT125" s="53"/>
      <c r="BU125" s="53"/>
      <c r="BV125" s="53"/>
      <c r="BW125" s="53"/>
      <c r="BX125" s="53"/>
      <c r="BY125" s="53"/>
      <c r="BZ125" s="53"/>
      <c r="CA125" s="53"/>
      <c r="CB125" s="53"/>
    </row>
    <row r="126" spans="2:80">
      <c r="B126" s="142" t="s">
        <v>108</v>
      </c>
      <c r="C126" s="142">
        <v>1</v>
      </c>
      <c r="D126" s="162">
        <v>7925</v>
      </c>
      <c r="E126" s="144">
        <v>44837</v>
      </c>
      <c r="F126" s="144">
        <v>44842</v>
      </c>
      <c r="G126" s="144">
        <f>F126</f>
        <v>44842</v>
      </c>
      <c r="H126" s="144">
        <f>H125</f>
        <v>44895</v>
      </c>
      <c r="I126" s="203">
        <f t="shared" si="28"/>
        <v>0.14794520547945206</v>
      </c>
      <c r="J126" s="162">
        <f>D126*I126*BR5*BR6*(BR7+BR8)*BR12*BR14</f>
        <v>7329.645597035551</v>
      </c>
      <c r="AA126" s="53"/>
      <c r="AB126" s="53"/>
      <c r="AC126" s="53"/>
      <c r="AD126" s="53"/>
      <c r="AE126" s="53"/>
      <c r="AF126" s="53"/>
      <c r="AG126" s="53"/>
      <c r="AH126" s="53"/>
      <c r="AI126" s="53"/>
      <c r="AJ126" s="53"/>
      <c r="AK126" s="53"/>
      <c r="AL126" s="53"/>
      <c r="AM126" s="53"/>
      <c r="AN126" s="53"/>
      <c r="AO126" s="53"/>
      <c r="AP126" s="53"/>
      <c r="AQ126" s="53"/>
      <c r="AR126" s="53"/>
      <c r="AS126" s="53"/>
      <c r="AT126" s="53"/>
      <c r="AU126" s="53"/>
      <c r="AV126" s="53"/>
      <c r="AW126" s="53"/>
      <c r="AX126" s="53"/>
      <c r="AY126" s="53"/>
      <c r="AZ126" s="53"/>
      <c r="BA126" s="53"/>
      <c r="BB126" s="53"/>
      <c r="BC126" s="53"/>
      <c r="BD126" s="53"/>
      <c r="BE126" s="53"/>
      <c r="BF126" s="53"/>
      <c r="BG126" s="53"/>
      <c r="BH126" s="53"/>
      <c r="BI126" s="53"/>
      <c r="BJ126" s="53"/>
      <c r="BK126" s="53"/>
      <c r="BL126" s="53"/>
      <c r="BM126" s="53"/>
      <c r="BN126" s="53"/>
      <c r="BO126" s="53"/>
      <c r="BP126" s="53"/>
      <c r="BQ126" s="53"/>
      <c r="BR126" s="53"/>
      <c r="BS126" s="53"/>
      <c r="BT126" s="53"/>
      <c r="BU126" s="53"/>
      <c r="BV126" s="53"/>
      <c r="BW126" s="53"/>
      <c r="BX126" s="53"/>
      <c r="BY126" s="53"/>
      <c r="BZ126" s="53"/>
      <c r="CA126" s="53"/>
      <c r="CB126" s="53"/>
    </row>
    <row r="127" spans="2:80">
      <c r="B127" s="182" t="s">
        <v>109</v>
      </c>
      <c r="C127" s="182">
        <v>1</v>
      </c>
      <c r="D127" s="183">
        <v>528</v>
      </c>
      <c r="E127" s="184">
        <v>44742</v>
      </c>
      <c r="F127" s="184">
        <v>44742</v>
      </c>
      <c r="G127" s="184">
        <f t="shared" si="30"/>
        <v>44742</v>
      </c>
      <c r="H127" s="184">
        <f>H125</f>
        <v>44895</v>
      </c>
      <c r="I127" s="214">
        <f t="shared" si="28"/>
        <v>0.42191780821917807</v>
      </c>
      <c r="J127" s="183">
        <f>D127*I127*BS5*BS6*(BS7+BS8)*BS12*BS14</f>
        <v>1392.658354448311</v>
      </c>
      <c r="AA127" s="53"/>
      <c r="AB127" s="53"/>
      <c r="AC127" s="53"/>
      <c r="AD127" s="53"/>
      <c r="AE127" s="53"/>
      <c r="AF127" s="53"/>
      <c r="AG127" s="53"/>
      <c r="AH127" s="53"/>
      <c r="AI127" s="53"/>
      <c r="AJ127" s="53"/>
      <c r="AK127" s="53"/>
      <c r="AL127" s="53"/>
      <c r="AM127" s="53"/>
      <c r="AN127" s="53"/>
      <c r="AO127" s="53"/>
      <c r="AP127" s="53"/>
      <c r="AQ127" s="53"/>
      <c r="AR127" s="53"/>
      <c r="AS127" s="53"/>
      <c r="AT127" s="53"/>
      <c r="AU127" s="53"/>
      <c r="AV127" s="53"/>
      <c r="AW127" s="53"/>
      <c r="AX127" s="53"/>
      <c r="AY127" s="53"/>
      <c r="AZ127" s="53"/>
      <c r="BA127" s="53"/>
      <c r="BB127" s="53"/>
      <c r="BC127" s="53"/>
      <c r="BD127" s="53"/>
      <c r="BE127" s="53"/>
      <c r="BF127" s="53"/>
      <c r="BG127" s="53"/>
      <c r="BH127" s="53"/>
      <c r="BI127" s="53"/>
      <c r="BJ127" s="53"/>
      <c r="BK127" s="53"/>
      <c r="BL127" s="53"/>
      <c r="BM127" s="53"/>
      <c r="BN127" s="53"/>
      <c r="BO127" s="53"/>
      <c r="BP127" s="53"/>
      <c r="BQ127" s="53"/>
      <c r="BR127" s="53"/>
      <c r="BS127" s="53"/>
      <c r="BT127" s="53"/>
      <c r="BU127" s="53"/>
      <c r="BV127" s="53"/>
      <c r="BW127" s="53"/>
      <c r="BX127" s="53"/>
      <c r="BY127" s="53"/>
      <c r="BZ127" s="53"/>
      <c r="CA127" s="53"/>
      <c r="CB127" s="53"/>
    </row>
    <row r="128" spans="2:80">
      <c r="B128" s="68" t="s">
        <v>110</v>
      </c>
      <c r="C128" s="68">
        <v>1</v>
      </c>
      <c r="D128" s="185">
        <f>3543+1917</f>
        <v>5460</v>
      </c>
      <c r="E128" s="71">
        <v>44730</v>
      </c>
      <c r="F128" s="71">
        <v>44738</v>
      </c>
      <c r="G128" s="71">
        <f t="shared" si="30"/>
        <v>44738</v>
      </c>
      <c r="H128" s="71">
        <f>H127</f>
        <v>44895</v>
      </c>
      <c r="I128" s="215">
        <f t="shared" si="28"/>
        <v>0.43287671232876712</v>
      </c>
      <c r="J128" s="185">
        <f>D128*I128*BS5*BS6*(BS7+BS8)*BS12*BS14</f>
        <v>14775.414566305946</v>
      </c>
      <c r="AA128" s="53"/>
      <c r="AB128" s="53"/>
      <c r="AC128" s="53"/>
      <c r="AD128" s="53"/>
      <c r="AE128" s="53"/>
      <c r="AF128" s="53"/>
      <c r="AG128" s="53"/>
      <c r="AH128" s="53"/>
      <c r="AI128" s="53"/>
      <c r="AJ128" s="53"/>
      <c r="AK128" s="53"/>
      <c r="AL128" s="53"/>
      <c r="AM128" s="53"/>
      <c r="AN128" s="53"/>
      <c r="AO128" s="53"/>
      <c r="AP128" s="53"/>
      <c r="AQ128" s="53"/>
      <c r="AR128" s="53"/>
      <c r="AS128" s="53"/>
      <c r="AT128" s="53"/>
      <c r="AU128" s="53"/>
      <c r="AV128" s="53"/>
      <c r="AW128" s="53"/>
      <c r="AX128" s="53"/>
      <c r="AY128" s="53"/>
      <c r="AZ128" s="53"/>
      <c r="BA128" s="53"/>
      <c r="BB128" s="53"/>
      <c r="BC128" s="53"/>
      <c r="BD128" s="53"/>
      <c r="BE128" s="53"/>
      <c r="BF128" s="53"/>
      <c r="BG128" s="53"/>
      <c r="BH128" s="53"/>
      <c r="BI128" s="53"/>
      <c r="BJ128" s="53"/>
      <c r="BK128" s="53"/>
      <c r="BL128" s="53"/>
      <c r="BM128" s="53"/>
      <c r="BN128" s="53"/>
      <c r="BO128" s="53"/>
      <c r="BP128" s="53"/>
      <c r="BQ128" s="53"/>
      <c r="BR128" s="53"/>
      <c r="BS128" s="53"/>
      <c r="BT128" s="53"/>
      <c r="BU128" s="53"/>
      <c r="BV128" s="53"/>
      <c r="BW128" s="53"/>
      <c r="BX128" s="53"/>
      <c r="BY128" s="53"/>
      <c r="BZ128" s="53"/>
      <c r="CA128" s="53"/>
      <c r="CB128" s="53"/>
    </row>
    <row r="129" spans="2:82">
      <c r="B129" s="68" t="s">
        <v>110</v>
      </c>
      <c r="C129" s="68">
        <v>1</v>
      </c>
      <c r="D129" s="185">
        <v>4540</v>
      </c>
      <c r="E129" s="71">
        <v>44866</v>
      </c>
      <c r="F129" s="71">
        <v>44868</v>
      </c>
      <c r="G129" s="71">
        <f>F129</f>
        <v>44868</v>
      </c>
      <c r="H129" s="71">
        <f>H128</f>
        <v>44895</v>
      </c>
      <c r="I129" s="215">
        <f t="shared" si="28"/>
        <v>7.6712328767123292E-2</v>
      </c>
      <c r="J129" s="185">
        <f>D129*I129*BS5*BS6*(BS7+BS8)*BS12*BS14</f>
        <v>2177.227592698117</v>
      </c>
      <c r="AA129" s="53"/>
      <c r="AB129" s="53"/>
      <c r="AC129" s="53"/>
      <c r="AD129" s="53"/>
      <c r="AE129" s="53"/>
      <c r="AF129" s="53"/>
      <c r="AG129" s="53"/>
      <c r="AH129" s="53"/>
      <c r="AI129" s="53"/>
      <c r="AJ129" s="53"/>
      <c r="AK129" s="53"/>
      <c r="AL129" s="53"/>
      <c r="AM129" s="53"/>
      <c r="AN129" s="53"/>
      <c r="AO129" s="53"/>
      <c r="AP129" s="53"/>
      <c r="AQ129" s="53"/>
      <c r="AR129" s="53"/>
      <c r="AS129" s="53"/>
      <c r="AT129" s="53"/>
      <c r="AU129" s="53"/>
      <c r="AV129" s="53"/>
      <c r="AW129" s="53"/>
      <c r="AX129" s="53"/>
      <c r="AY129" s="53"/>
      <c r="AZ129" s="53"/>
      <c r="BA129" s="53"/>
      <c r="BB129" s="53"/>
      <c r="BC129" s="53"/>
      <c r="BD129" s="53"/>
      <c r="BE129" s="53"/>
      <c r="BF129" s="53"/>
      <c r="BG129" s="53"/>
      <c r="BH129" s="53"/>
      <c r="BI129" s="53"/>
      <c r="BJ129" s="53"/>
      <c r="BK129" s="53"/>
      <c r="BL129" s="53"/>
      <c r="BM129" s="53"/>
      <c r="BN129" s="53"/>
      <c r="BO129" s="53"/>
      <c r="BP129" s="53"/>
      <c r="BQ129" s="53"/>
      <c r="BR129" s="53"/>
      <c r="BS129" s="53"/>
      <c r="BT129" s="53"/>
      <c r="BU129" s="53"/>
      <c r="BV129" s="53"/>
      <c r="BW129" s="53"/>
      <c r="BX129" s="53"/>
      <c r="BY129" s="53"/>
      <c r="BZ129" s="53"/>
      <c r="CA129" s="53"/>
      <c r="CB129" s="53"/>
    </row>
    <row r="130" spans="2:82">
      <c r="B130" s="173" t="s">
        <v>175</v>
      </c>
      <c r="C130" s="173">
        <v>1</v>
      </c>
      <c r="D130" s="174">
        <v>10000</v>
      </c>
      <c r="E130" s="175">
        <v>44871</v>
      </c>
      <c r="F130" s="175">
        <v>44884</v>
      </c>
      <c r="G130" s="175">
        <f>F130</f>
        <v>44884</v>
      </c>
      <c r="H130" s="175">
        <f>H129</f>
        <v>44895</v>
      </c>
      <c r="I130" s="211">
        <f t="shared" si="28"/>
        <v>3.287671232876712E-2</v>
      </c>
      <c r="J130" s="299">
        <f>D130*I130*BU5*BU6*(BU7+BU8)*BU12*BU14</f>
        <v>2055.2809245104945</v>
      </c>
      <c r="AA130" s="53"/>
      <c r="AB130" s="53"/>
      <c r="AC130" s="53"/>
      <c r="AD130" s="53"/>
      <c r="AE130" s="53"/>
      <c r="AF130" s="53"/>
      <c r="AG130" s="53"/>
      <c r="AH130" s="53"/>
      <c r="AI130" s="53"/>
      <c r="AJ130" s="53"/>
      <c r="AK130" s="53"/>
      <c r="AL130" s="53"/>
      <c r="AM130" s="53"/>
      <c r="AN130" s="53"/>
      <c r="AO130" s="53"/>
      <c r="AP130" s="53"/>
      <c r="AQ130" s="53"/>
      <c r="AR130" s="53"/>
      <c r="AS130" s="53"/>
      <c r="AT130" s="53"/>
      <c r="AU130" s="53"/>
      <c r="AV130" s="53"/>
      <c r="AW130" s="53"/>
      <c r="AX130" s="53"/>
      <c r="AY130" s="53"/>
      <c r="AZ130" s="53"/>
      <c r="BA130" s="53"/>
      <c r="BB130" s="53"/>
      <c r="BC130" s="53"/>
      <c r="BD130" s="53"/>
      <c r="BE130" s="53"/>
      <c r="BF130" s="53"/>
      <c r="BG130" s="53"/>
      <c r="BH130" s="53"/>
      <c r="BI130" s="53"/>
      <c r="BJ130" s="53"/>
      <c r="BK130" s="53"/>
      <c r="BL130" s="53"/>
      <c r="BM130" s="53"/>
      <c r="BN130" s="53"/>
      <c r="BO130" s="53"/>
      <c r="BP130" s="53"/>
      <c r="BQ130" s="53"/>
      <c r="BR130" s="53"/>
      <c r="BS130" s="53"/>
      <c r="BT130" s="53"/>
      <c r="BU130" s="53"/>
      <c r="BV130" s="53"/>
      <c r="BW130" s="53"/>
      <c r="BX130" s="53"/>
      <c r="BY130" s="53"/>
      <c r="BZ130" s="53"/>
      <c r="CA130" s="53"/>
      <c r="CB130" s="53"/>
    </row>
    <row r="131" spans="2:82">
      <c r="B131" s="168" t="s">
        <v>176</v>
      </c>
      <c r="C131" s="168">
        <v>1</v>
      </c>
      <c r="D131" s="169">
        <v>10000</v>
      </c>
      <c r="E131" s="170">
        <v>44868</v>
      </c>
      <c r="F131" s="170">
        <v>44881</v>
      </c>
      <c r="G131" s="170">
        <f>F131</f>
        <v>44881</v>
      </c>
      <c r="H131" s="170">
        <f>H130</f>
        <v>44895</v>
      </c>
      <c r="I131" s="209">
        <f t="shared" si="28"/>
        <v>4.1095890410958902E-2</v>
      </c>
      <c r="J131" s="300">
        <f>D131*I131*BV5*BV6*(BV7+BV8)*BV12*BV14</f>
        <v>2569.1011556381177</v>
      </c>
      <c r="AA131" s="53"/>
      <c r="AB131" s="53"/>
      <c r="AC131" s="53"/>
      <c r="AD131" s="53"/>
      <c r="AE131" s="53"/>
      <c r="AF131" s="53"/>
      <c r="AG131" s="53"/>
      <c r="AH131" s="53"/>
      <c r="AI131" s="53"/>
      <c r="AJ131" s="53"/>
      <c r="AK131" s="53"/>
      <c r="AL131" s="53"/>
      <c r="AM131" s="53"/>
      <c r="AN131" s="53"/>
      <c r="AO131" s="53"/>
      <c r="AP131" s="53"/>
      <c r="AQ131" s="53"/>
      <c r="AR131" s="53"/>
      <c r="AS131" s="53"/>
      <c r="AT131" s="53"/>
      <c r="AU131" s="53"/>
      <c r="AV131" s="53"/>
      <c r="AW131" s="53"/>
      <c r="AX131" s="53"/>
      <c r="AY131" s="53"/>
      <c r="AZ131" s="53"/>
      <c r="BA131" s="53"/>
      <c r="BB131" s="53"/>
      <c r="BC131" s="53"/>
      <c r="BD131" s="53"/>
      <c r="BE131" s="53"/>
      <c r="BF131" s="53"/>
      <c r="BG131" s="53"/>
      <c r="BH131" s="53"/>
      <c r="BI131" s="53"/>
      <c r="BJ131" s="53"/>
      <c r="BK131" s="53"/>
      <c r="BL131" s="53"/>
      <c r="BM131" s="53"/>
      <c r="BN131" s="53"/>
      <c r="BO131" s="53"/>
      <c r="BP131" s="53"/>
      <c r="BQ131" s="53"/>
      <c r="BR131" s="53"/>
      <c r="BS131" s="53"/>
      <c r="BT131" s="53"/>
      <c r="BU131" s="53"/>
      <c r="BV131" s="53"/>
      <c r="BW131" s="53"/>
      <c r="BX131" s="53"/>
      <c r="BY131" s="53"/>
      <c r="BZ131" s="53"/>
      <c r="CA131" s="53"/>
      <c r="CB131" s="53"/>
    </row>
    <row r="132" spans="2:82">
      <c r="B132" s="127" t="s">
        <v>111</v>
      </c>
      <c r="C132" s="127">
        <v>1</v>
      </c>
      <c r="D132" s="128">
        <v>8200</v>
      </c>
      <c r="E132" s="129">
        <v>44728</v>
      </c>
      <c r="F132" s="129">
        <v>44728</v>
      </c>
      <c r="G132" s="129">
        <f t="shared" si="30"/>
        <v>44728</v>
      </c>
      <c r="H132" s="129">
        <f>H128</f>
        <v>44895</v>
      </c>
      <c r="I132" s="199">
        <f t="shared" si="28"/>
        <v>0.46027397260273972</v>
      </c>
      <c r="J132" s="128">
        <f>D132*I132*BW5*BW6*(BW7+BW8)*BW12*BW14</f>
        <v>23594.625013380479</v>
      </c>
      <c r="AA132" s="53"/>
      <c r="AB132" s="53"/>
      <c r="AC132" s="53"/>
      <c r="AD132" s="53"/>
      <c r="AE132" s="53"/>
      <c r="AF132" s="53"/>
      <c r="AG132" s="53"/>
      <c r="AH132" s="53"/>
      <c r="AI132" s="53"/>
      <c r="AJ132" s="53"/>
      <c r="AK132" s="53"/>
      <c r="AL132" s="53"/>
      <c r="AM132" s="53"/>
      <c r="AN132" s="53"/>
      <c r="AO132" s="53"/>
      <c r="AP132" s="53"/>
      <c r="AQ132" s="53"/>
      <c r="AR132" s="53"/>
      <c r="AS132" s="53"/>
      <c r="AT132" s="53"/>
      <c r="AU132" s="53"/>
      <c r="AV132" s="53"/>
      <c r="AW132" s="53"/>
      <c r="AX132" s="53"/>
      <c r="AY132" s="53"/>
      <c r="AZ132" s="53"/>
      <c r="BA132" s="53"/>
      <c r="BB132" s="53"/>
      <c r="BC132" s="53"/>
      <c r="BD132" s="53"/>
      <c r="BE132" s="53"/>
      <c r="BF132" s="53"/>
      <c r="BG132" s="53"/>
      <c r="BH132" s="53"/>
      <c r="BI132" s="53"/>
      <c r="BJ132" s="53"/>
      <c r="BK132" s="53"/>
      <c r="BL132" s="53"/>
      <c r="BM132" s="53"/>
      <c r="BN132" s="53"/>
      <c r="BO132" s="53"/>
      <c r="BP132" s="53"/>
      <c r="BQ132" s="53"/>
      <c r="BR132" s="53"/>
      <c r="BS132" s="53"/>
      <c r="BT132" s="53"/>
      <c r="BU132" s="53"/>
      <c r="BV132" s="53"/>
      <c r="BW132" s="53"/>
      <c r="BX132" s="53"/>
      <c r="BY132" s="53"/>
      <c r="BZ132" s="53"/>
      <c r="CA132" s="53"/>
      <c r="CB132" s="53"/>
    </row>
    <row r="133" spans="2:82">
      <c r="B133" s="103" t="s">
        <v>112</v>
      </c>
      <c r="C133" s="103">
        <v>1</v>
      </c>
      <c r="D133" s="130">
        <f>450+1808+1501+691+450+900+601+499+1350</f>
        <v>8250</v>
      </c>
      <c r="E133" s="105">
        <v>44690</v>
      </c>
      <c r="F133" s="105">
        <v>44707</v>
      </c>
      <c r="G133" s="105">
        <f t="shared" si="30"/>
        <v>44707</v>
      </c>
      <c r="H133" s="105">
        <f t="shared" ref="H133:H139" si="33">H132</f>
        <v>44895</v>
      </c>
      <c r="I133" s="191">
        <f t="shared" si="28"/>
        <v>0.51780821917808217</v>
      </c>
      <c r="J133" s="130">
        <f>D133*I133*BX5*BX6*(BX7+BX8)*BX12*BX14</f>
        <v>26705.806512858238</v>
      </c>
      <c r="AA133" s="53"/>
      <c r="AB133" s="53"/>
      <c r="AC133" s="53"/>
      <c r="AD133" s="53"/>
      <c r="AE133" s="53"/>
      <c r="AF133" s="53"/>
      <c r="AG133" s="53"/>
      <c r="AH133" s="53"/>
      <c r="AI133" s="53"/>
      <c r="AJ133" s="53"/>
      <c r="AK133" s="53"/>
      <c r="AL133" s="53"/>
      <c r="AM133" s="53"/>
      <c r="AN133" s="53"/>
      <c r="AO133" s="53"/>
      <c r="AP133" s="53"/>
      <c r="AQ133" s="53"/>
      <c r="AR133" s="53"/>
      <c r="AS133" s="53"/>
      <c r="AT133" s="53"/>
      <c r="AU133" s="53"/>
      <c r="AV133" s="53"/>
      <c r="AW133" s="53"/>
      <c r="AX133" s="53"/>
      <c r="AY133" s="53"/>
      <c r="AZ133" s="53"/>
      <c r="BA133" s="53"/>
      <c r="BB133" s="53"/>
      <c r="BC133" s="53"/>
      <c r="BD133" s="53"/>
      <c r="BE133" s="53"/>
      <c r="BF133" s="53"/>
      <c r="BG133" s="53"/>
      <c r="BH133" s="53"/>
      <c r="BI133" s="53"/>
      <c r="BJ133" s="53"/>
      <c r="BK133" s="53"/>
      <c r="BL133" s="53"/>
      <c r="BM133" s="53"/>
      <c r="BN133" s="53"/>
      <c r="BO133" s="53"/>
      <c r="BP133" s="53"/>
      <c r="BQ133" s="53"/>
      <c r="BR133" s="53"/>
      <c r="BS133" s="53"/>
      <c r="BT133" s="53"/>
      <c r="BU133" s="53"/>
      <c r="BV133" s="53"/>
      <c r="BW133" s="53"/>
      <c r="BX133" s="53"/>
      <c r="BY133" s="53"/>
      <c r="BZ133" s="53"/>
      <c r="CA133" s="53"/>
      <c r="CB133" s="53"/>
    </row>
    <row r="134" spans="2:82">
      <c r="B134" s="68" t="s">
        <v>113</v>
      </c>
      <c r="C134" s="68">
        <v>1</v>
      </c>
      <c r="D134" s="185">
        <f>664+153+65+405+83+316+240+442+697+228+297+157+28+229+996</f>
        <v>5000</v>
      </c>
      <c r="E134" s="71">
        <v>44692</v>
      </c>
      <c r="F134" s="71">
        <v>44711</v>
      </c>
      <c r="G134" s="71">
        <f t="shared" si="30"/>
        <v>44711</v>
      </c>
      <c r="H134" s="71">
        <f t="shared" si="33"/>
        <v>44895</v>
      </c>
      <c r="I134" s="215">
        <f t="shared" si="28"/>
        <v>0.50684931506849318</v>
      </c>
      <c r="J134" s="185">
        <f>D134*I134*BY5*BY6*(BY7+BY8)*BY12*BY14</f>
        <v>15842.790459768399</v>
      </c>
      <c r="AA134" s="53"/>
      <c r="AB134" s="53"/>
      <c r="AC134" s="53"/>
      <c r="AD134" s="53"/>
      <c r="AE134" s="53"/>
      <c r="AF134" s="53"/>
      <c r="AG134" s="53"/>
      <c r="AH134" s="53"/>
      <c r="AI134" s="53"/>
      <c r="AJ134" s="53"/>
      <c r="AK134" s="53"/>
      <c r="AL134" s="53"/>
      <c r="AM134" s="53"/>
      <c r="AN134" s="53"/>
      <c r="AO134" s="53"/>
      <c r="AP134" s="53"/>
      <c r="AQ134" s="53"/>
      <c r="AR134" s="53"/>
      <c r="AS134" s="53"/>
      <c r="AT134" s="53"/>
      <c r="AU134" s="53"/>
      <c r="AV134" s="53"/>
      <c r="AW134" s="53"/>
      <c r="AX134" s="53"/>
      <c r="AY134" s="53"/>
      <c r="AZ134" s="53"/>
      <c r="BA134" s="53"/>
      <c r="BB134" s="53"/>
      <c r="BC134" s="53"/>
      <c r="BD134" s="53"/>
      <c r="BE134" s="53"/>
      <c r="BF134" s="53"/>
      <c r="BG134" s="53"/>
      <c r="BH134" s="53"/>
      <c r="BI134" s="53"/>
      <c r="BJ134" s="53"/>
      <c r="BK134" s="53"/>
      <c r="BL134" s="53"/>
      <c r="BM134" s="53"/>
      <c r="BN134" s="53"/>
      <c r="BO134" s="53"/>
      <c r="BP134" s="53"/>
      <c r="BQ134" s="53"/>
      <c r="BR134" s="53"/>
      <c r="BS134" s="53"/>
      <c r="BT134" s="53"/>
      <c r="BU134" s="53"/>
      <c r="BV134" s="53"/>
      <c r="BW134" s="53"/>
      <c r="BX134" s="53"/>
      <c r="BY134" s="53"/>
      <c r="BZ134" s="53"/>
      <c r="CA134" s="53"/>
      <c r="CB134" s="53"/>
    </row>
    <row r="135" spans="2:82">
      <c r="B135" s="68" t="s">
        <v>113</v>
      </c>
      <c r="C135" s="68">
        <v>1</v>
      </c>
      <c r="D135" s="185">
        <v>5000</v>
      </c>
      <c r="E135" s="71">
        <v>44714</v>
      </c>
      <c r="F135" s="71">
        <v>44715</v>
      </c>
      <c r="G135" s="71">
        <f t="shared" si="30"/>
        <v>44715</v>
      </c>
      <c r="H135" s="71">
        <f t="shared" si="33"/>
        <v>44895</v>
      </c>
      <c r="I135" s="215">
        <f t="shared" si="28"/>
        <v>0.49589041095890413</v>
      </c>
      <c r="J135" s="185">
        <f>D135*I135*BY5*BY6*(BY7+BY8)*BY12*BY14</f>
        <v>15500.243639016649</v>
      </c>
      <c r="AA135" s="53"/>
      <c r="AB135" s="53"/>
      <c r="AC135" s="53"/>
      <c r="AD135" s="53"/>
      <c r="AE135" s="53"/>
      <c r="AF135" s="53"/>
      <c r="AG135" s="53"/>
      <c r="AH135" s="53"/>
      <c r="AI135" s="53"/>
      <c r="AJ135" s="53"/>
      <c r="AK135" s="53"/>
      <c r="AL135" s="53"/>
      <c r="AM135" s="53"/>
      <c r="AN135" s="53"/>
      <c r="AO135" s="53"/>
      <c r="AP135" s="53"/>
      <c r="AQ135" s="53"/>
      <c r="AR135" s="53"/>
      <c r="AS135" s="53"/>
      <c r="AT135" s="53"/>
      <c r="AU135" s="53"/>
      <c r="AV135" s="53"/>
      <c r="AW135" s="53"/>
      <c r="AX135" s="53"/>
      <c r="AY135" s="53"/>
      <c r="AZ135" s="53"/>
      <c r="BA135" s="53"/>
      <c r="BB135" s="53"/>
      <c r="BC135" s="53"/>
      <c r="BD135" s="53"/>
      <c r="BE135" s="53"/>
      <c r="BF135" s="53"/>
      <c r="BG135" s="53"/>
      <c r="BH135" s="53"/>
      <c r="BI135" s="53"/>
      <c r="BJ135" s="53"/>
      <c r="BK135" s="53"/>
      <c r="BL135" s="53"/>
      <c r="BM135" s="53"/>
      <c r="BN135" s="53"/>
      <c r="BO135" s="53"/>
      <c r="BP135" s="53"/>
      <c r="BQ135" s="53"/>
      <c r="BR135" s="53"/>
      <c r="BS135" s="53"/>
      <c r="BT135" s="53"/>
      <c r="BU135" s="53"/>
      <c r="BV135" s="53"/>
      <c r="BW135" s="53"/>
      <c r="BX135" s="53"/>
      <c r="BY135" s="53"/>
      <c r="BZ135" s="53"/>
      <c r="CA135" s="53"/>
      <c r="CB135" s="53"/>
    </row>
    <row r="136" spans="2:82">
      <c r="B136" s="186" t="s">
        <v>169</v>
      </c>
      <c r="C136" s="186">
        <v>1</v>
      </c>
      <c r="D136" s="187">
        <v>10000</v>
      </c>
      <c r="E136" s="188">
        <v>44838</v>
      </c>
      <c r="F136" s="188">
        <v>44858</v>
      </c>
      <c r="G136" s="188">
        <f t="shared" si="30"/>
        <v>44858</v>
      </c>
      <c r="H136" s="188">
        <f t="shared" si="33"/>
        <v>44895</v>
      </c>
      <c r="I136" s="216">
        <f t="shared" si="28"/>
        <v>0.10410958904109589</v>
      </c>
      <c r="J136" s="301">
        <f>D136*I136*BZ5*BZ6*(BZ7+BZ8)*BZ12*BZ14</f>
        <v>6508.3895942832332</v>
      </c>
      <c r="AA136" s="53"/>
      <c r="AB136" s="53"/>
      <c r="AC136" s="53"/>
      <c r="AD136" s="53"/>
      <c r="AE136" s="53"/>
      <c r="AF136" s="53"/>
      <c r="AG136" s="53"/>
      <c r="AH136" s="53"/>
      <c r="AI136" s="53"/>
      <c r="AJ136" s="53"/>
      <c r="AK136" s="53"/>
      <c r="AL136" s="53"/>
      <c r="AM136" s="53"/>
      <c r="AN136" s="53"/>
      <c r="AO136" s="53"/>
      <c r="AP136" s="53"/>
      <c r="AQ136" s="53"/>
      <c r="AR136" s="53"/>
      <c r="AS136" s="53"/>
      <c r="AT136" s="53"/>
      <c r="AU136" s="53"/>
      <c r="AV136" s="53"/>
      <c r="AW136" s="53"/>
      <c r="AX136" s="53"/>
      <c r="AY136" s="53"/>
      <c r="AZ136" s="53"/>
      <c r="BA136" s="53"/>
      <c r="BB136" s="53"/>
      <c r="BC136" s="53"/>
      <c r="BD136" s="53"/>
      <c r="BE136" s="53"/>
      <c r="BF136" s="53"/>
      <c r="BG136" s="53"/>
      <c r="BH136" s="53"/>
      <c r="BI136" s="53"/>
      <c r="BJ136" s="53"/>
      <c r="BK136" s="53"/>
      <c r="BL136" s="53"/>
      <c r="BM136" s="53"/>
      <c r="BN136" s="53"/>
      <c r="BO136" s="53"/>
      <c r="BP136" s="53"/>
      <c r="BQ136" s="53"/>
      <c r="BR136" s="53"/>
      <c r="BS136" s="53"/>
      <c r="BT136" s="53"/>
      <c r="BU136" s="53"/>
      <c r="BV136" s="53"/>
      <c r="BW136" s="53"/>
      <c r="BX136" s="53"/>
      <c r="BY136" s="53"/>
      <c r="BZ136" s="53"/>
      <c r="CA136" s="53"/>
      <c r="CB136" s="53"/>
    </row>
    <row r="137" spans="2:82">
      <c r="B137" s="100" t="s">
        <v>170</v>
      </c>
      <c r="C137" s="100">
        <v>1</v>
      </c>
      <c r="D137" s="101">
        <v>10000</v>
      </c>
      <c r="E137" s="102">
        <v>44843</v>
      </c>
      <c r="F137" s="102">
        <v>44862</v>
      </c>
      <c r="G137" s="102">
        <f t="shared" si="30"/>
        <v>44862</v>
      </c>
      <c r="H137" s="102">
        <f t="shared" si="33"/>
        <v>44895</v>
      </c>
      <c r="I137" s="190">
        <f t="shared" si="28"/>
        <v>9.3150684931506855E-2</v>
      </c>
      <c r="J137" s="172">
        <f>D137*I137*CA5*CA6*(CA7+CA8)*CA12*CA14</f>
        <v>5823.2959527797339</v>
      </c>
      <c r="AA137" s="53"/>
      <c r="AB137" s="53"/>
      <c r="AC137" s="53"/>
      <c r="AD137" s="53"/>
      <c r="AE137" s="53"/>
      <c r="AF137" s="53"/>
      <c r="AG137" s="53"/>
      <c r="AH137" s="53"/>
      <c r="AI137" s="53"/>
      <c r="AJ137" s="53"/>
      <c r="AK137" s="53"/>
      <c r="AL137" s="53"/>
      <c r="AM137" s="53"/>
      <c r="AN137" s="53"/>
      <c r="AO137" s="53"/>
      <c r="AP137" s="53"/>
      <c r="AQ137" s="53"/>
      <c r="AR137" s="53"/>
      <c r="AS137" s="53"/>
      <c r="AT137" s="53"/>
      <c r="AU137" s="53"/>
      <c r="AV137" s="53"/>
      <c r="AW137" s="53"/>
      <c r="AX137" s="53"/>
      <c r="AY137" s="53"/>
      <c r="AZ137" s="53"/>
      <c r="BA137" s="53"/>
      <c r="BB137" s="53"/>
      <c r="BC137" s="53"/>
      <c r="BD137" s="53"/>
      <c r="BE137" s="53"/>
      <c r="BF137" s="53"/>
      <c r="BG137" s="53"/>
      <c r="BH137" s="53"/>
      <c r="BI137" s="53"/>
      <c r="BJ137" s="53"/>
      <c r="BK137" s="53"/>
      <c r="BL137" s="53"/>
      <c r="BM137" s="53"/>
      <c r="BN137" s="53"/>
      <c r="BO137" s="53"/>
      <c r="BP137" s="53"/>
      <c r="BQ137" s="53"/>
      <c r="BR137" s="53"/>
      <c r="BS137" s="53"/>
      <c r="BT137" s="53"/>
      <c r="BU137" s="53"/>
      <c r="BV137" s="53"/>
      <c r="BW137" s="53"/>
      <c r="BX137" s="53"/>
      <c r="BY137" s="53"/>
      <c r="BZ137" s="53"/>
      <c r="CA137" s="53"/>
      <c r="CB137" s="53"/>
    </row>
    <row r="138" spans="2:82">
      <c r="B138" s="164" t="s">
        <v>114</v>
      </c>
      <c r="C138" s="164">
        <v>1</v>
      </c>
      <c r="D138" s="165">
        <v>692</v>
      </c>
      <c r="E138" s="272">
        <v>44680</v>
      </c>
      <c r="F138" s="272">
        <v>44680</v>
      </c>
      <c r="G138" s="272">
        <f>F138</f>
        <v>44680</v>
      </c>
      <c r="H138" s="272">
        <f t="shared" si="33"/>
        <v>44895</v>
      </c>
      <c r="I138" s="208">
        <f t="shared" si="28"/>
        <v>0.59178082191780823</v>
      </c>
      <c r="J138" s="165">
        <f>D138*I138*CB5*CB6*(CB8+CB7)*CB12*CB13</f>
        <v>1806.6386543006431</v>
      </c>
      <c r="AA138" s="53"/>
      <c r="AB138" s="53"/>
      <c r="AC138" s="53"/>
      <c r="AD138" s="53"/>
      <c r="AE138" s="53"/>
      <c r="AF138" s="53"/>
      <c r="AG138" s="53"/>
      <c r="AH138" s="53"/>
      <c r="AI138" s="53"/>
      <c r="AJ138" s="53"/>
      <c r="AK138" s="53"/>
      <c r="AL138" s="53"/>
      <c r="AM138" s="53"/>
      <c r="AN138" s="53"/>
      <c r="AO138" s="53"/>
      <c r="AP138" s="53"/>
      <c r="AQ138" s="53"/>
      <c r="AR138" s="53"/>
      <c r="AS138" s="53"/>
      <c r="AT138" s="53"/>
      <c r="AU138" s="53"/>
      <c r="AV138" s="53"/>
      <c r="AW138" s="53"/>
      <c r="AX138" s="53"/>
      <c r="AY138" s="53"/>
      <c r="AZ138" s="53"/>
      <c r="BA138" s="53"/>
      <c r="BB138" s="53"/>
      <c r="BC138" s="53"/>
      <c r="BD138" s="53"/>
      <c r="BE138" s="53"/>
      <c r="BF138" s="53"/>
      <c r="BG138" s="53"/>
      <c r="BH138" s="53"/>
      <c r="BI138" s="53"/>
      <c r="BJ138" s="53"/>
      <c r="BK138" s="53"/>
      <c r="BL138" s="53"/>
      <c r="BM138" s="53"/>
      <c r="BN138" s="53"/>
      <c r="BO138" s="53"/>
      <c r="BP138" s="53"/>
      <c r="BQ138" s="53"/>
      <c r="BR138" s="53"/>
      <c r="BS138" s="53"/>
      <c r="BT138" s="53"/>
      <c r="BU138" s="53"/>
      <c r="BV138" s="53"/>
      <c r="BW138" s="53"/>
      <c r="BX138" s="53"/>
      <c r="BY138" s="53"/>
      <c r="BZ138" s="53"/>
      <c r="CA138" s="53"/>
      <c r="CB138" s="53"/>
    </row>
    <row r="139" spans="2:82">
      <c r="B139" s="164" t="s">
        <v>114</v>
      </c>
      <c r="C139" s="164">
        <v>1</v>
      </c>
      <c r="D139" s="165">
        <v>328</v>
      </c>
      <c r="E139" s="272">
        <v>44687</v>
      </c>
      <c r="F139" s="272">
        <v>44687</v>
      </c>
      <c r="G139" s="272">
        <f>F139</f>
        <v>44687</v>
      </c>
      <c r="H139" s="272">
        <f t="shared" si="33"/>
        <v>44895</v>
      </c>
      <c r="I139" s="208">
        <f t="shared" si="28"/>
        <v>0.57260273972602738</v>
      </c>
      <c r="J139" s="165">
        <f>D139*I139*CB5*CB6*(CB8+CB7)*CB12*CB13</f>
        <v>828.57453589714248</v>
      </c>
      <c r="AA139" s="53"/>
      <c r="AB139" s="53"/>
      <c r="AC139" s="53"/>
      <c r="AD139" s="53"/>
      <c r="AE139" s="53"/>
      <c r="AF139" s="53"/>
      <c r="AG139" s="53"/>
      <c r="AH139" s="53"/>
      <c r="AI139" s="53"/>
      <c r="AJ139" s="53"/>
      <c r="AK139" s="53"/>
      <c r="AL139" s="53"/>
      <c r="AM139" s="53"/>
      <c r="AN139" s="53"/>
      <c r="AO139" s="53"/>
      <c r="AP139" s="53"/>
      <c r="AQ139" s="53"/>
      <c r="AR139" s="53"/>
      <c r="AS139" s="53"/>
      <c r="AT139" s="53"/>
      <c r="AU139" s="53"/>
      <c r="AV139" s="53"/>
      <c r="AW139" s="53"/>
      <c r="AX139" s="53"/>
      <c r="AY139" s="53"/>
      <c r="AZ139" s="53"/>
      <c r="BA139" s="53"/>
      <c r="BB139" s="53"/>
      <c r="BC139" s="53"/>
      <c r="BD139" s="53"/>
      <c r="BE139" s="53"/>
      <c r="BF139" s="53"/>
      <c r="BG139" s="53"/>
      <c r="BH139" s="53"/>
      <c r="BI139" s="53"/>
      <c r="BJ139" s="53"/>
      <c r="BK139" s="53"/>
      <c r="BL139" s="53"/>
      <c r="BM139" s="53"/>
      <c r="BN139" s="53"/>
      <c r="BO139" s="53"/>
      <c r="BP139" s="53"/>
      <c r="BQ139" s="53"/>
      <c r="BR139" s="53"/>
      <c r="BS139" s="53"/>
      <c r="BT139" s="53"/>
      <c r="BU139" s="53"/>
      <c r="BV139" s="53"/>
      <c r="BW139" s="53"/>
      <c r="BX139" s="53"/>
      <c r="BY139" s="53"/>
      <c r="BZ139" s="53"/>
      <c r="CA139" s="53"/>
      <c r="CB139" s="53"/>
    </row>
    <row r="140" spans="2:82">
      <c r="B140" s="53"/>
      <c r="C140" s="53"/>
      <c r="D140" s="53"/>
      <c r="E140" s="53"/>
      <c r="F140" s="53"/>
      <c r="G140" s="53"/>
      <c r="H140" s="53"/>
      <c r="I140" s="53"/>
      <c r="J140" s="287"/>
      <c r="K140" s="53"/>
      <c r="L140" s="53"/>
      <c r="AA140" s="53"/>
      <c r="AB140" s="53"/>
      <c r="AC140" s="53"/>
      <c r="AD140" s="53"/>
      <c r="AE140" s="53"/>
      <c r="AF140" s="53"/>
      <c r="AG140" s="53"/>
      <c r="AH140" s="53"/>
      <c r="AI140" s="53"/>
      <c r="AJ140" s="53"/>
      <c r="AK140" s="53"/>
      <c r="AL140" s="53"/>
      <c r="AM140" s="53"/>
      <c r="AN140" s="53"/>
      <c r="AO140" s="53"/>
      <c r="AP140" s="53"/>
      <c r="AQ140" s="53"/>
      <c r="AR140" s="53"/>
      <c r="AS140" s="53"/>
      <c r="AT140" s="53"/>
      <c r="AU140" s="53"/>
      <c r="AV140" s="53"/>
      <c r="AW140" s="53"/>
      <c r="AX140" s="53"/>
      <c r="AY140" s="53"/>
      <c r="AZ140" s="53"/>
      <c r="BA140" s="53"/>
      <c r="BB140" s="53"/>
      <c r="BC140" s="53"/>
      <c r="BD140" s="53"/>
      <c r="BE140" s="53"/>
      <c r="BF140" s="53"/>
      <c r="BG140" s="53"/>
      <c r="BH140" s="53"/>
      <c r="BI140" s="53"/>
      <c r="BJ140" s="53"/>
      <c r="BK140" s="53"/>
      <c r="BL140" s="53"/>
      <c r="BM140" s="53"/>
      <c r="BN140" s="53"/>
      <c r="BO140" s="53"/>
      <c r="BP140" s="53"/>
      <c r="BQ140" s="53"/>
      <c r="BR140" s="53"/>
      <c r="BS140" s="53"/>
      <c r="BT140" s="53"/>
      <c r="BU140" s="53"/>
      <c r="BV140" s="53"/>
      <c r="BW140" s="53"/>
      <c r="BX140" s="53"/>
      <c r="BY140" s="53"/>
      <c r="BZ140" s="53"/>
      <c r="CA140" s="53"/>
      <c r="CB140" s="53"/>
    </row>
    <row r="141" spans="2:82" ht="15.75" thickBot="1">
      <c r="C141" s="54"/>
      <c r="D141" s="54"/>
      <c r="E141" s="54"/>
      <c r="F141" s="54"/>
      <c r="G141" s="54"/>
      <c r="H141" s="54"/>
      <c r="I141" s="54"/>
      <c r="J141" s="288"/>
      <c r="K141" s="54"/>
      <c r="L141" s="53"/>
      <c r="AA141" s="53"/>
      <c r="AB141" s="53"/>
      <c r="AC141" s="53"/>
      <c r="AD141" s="53"/>
      <c r="AE141" s="53"/>
      <c r="AF141" s="53"/>
      <c r="AG141" s="53"/>
      <c r="AH141" s="53"/>
      <c r="AI141" s="53"/>
      <c r="AJ141" s="53"/>
      <c r="AK141" s="53"/>
      <c r="AL141" s="53"/>
      <c r="AM141" s="53"/>
      <c r="AN141" s="53"/>
      <c r="AO141" s="53"/>
      <c r="AP141" s="53"/>
      <c r="AQ141" s="53"/>
      <c r="AR141" s="53"/>
      <c r="AS141" s="53"/>
      <c r="AT141" s="53"/>
      <c r="AU141" s="53"/>
      <c r="AV141" s="53"/>
      <c r="AW141" s="53"/>
      <c r="AX141" s="53"/>
      <c r="AY141" s="53"/>
      <c r="AZ141" s="53"/>
      <c r="BA141" s="53"/>
      <c r="BB141" s="53"/>
      <c r="BC141" s="53"/>
      <c r="BD141" s="53"/>
      <c r="BE141" s="53"/>
      <c r="BF141" s="53"/>
      <c r="BG141" s="53"/>
      <c r="BH141" s="53"/>
      <c r="BI141" s="53"/>
      <c r="BJ141" s="53"/>
      <c r="BK141" s="53"/>
      <c r="BL141" s="53"/>
      <c r="BM141" s="53"/>
      <c r="BN141" s="53"/>
      <c r="BO141" s="53"/>
      <c r="BP141" s="53"/>
      <c r="BQ141" s="53"/>
      <c r="BR141" s="53"/>
      <c r="BS141" s="53"/>
      <c r="BT141" s="53"/>
      <c r="BU141" s="53"/>
      <c r="BV141" s="53"/>
      <c r="BW141" s="53"/>
      <c r="BX141" s="53"/>
      <c r="BY141" s="53"/>
      <c r="BZ141" s="53"/>
      <c r="CA141" s="53"/>
      <c r="CB141" s="53"/>
    </row>
    <row r="142" spans="2:82" s="309" customFormat="1" ht="15.75" customHeight="1">
      <c r="B142" s="430" t="s">
        <v>38</v>
      </c>
      <c r="C142" s="308" t="str">
        <f>C3</f>
        <v>PA 001</v>
      </c>
      <c r="D142" s="308" t="str">
        <f t="shared" ref="D142:BO142" si="34">D3</f>
        <v>PA 002</v>
      </c>
      <c r="E142" s="308" t="str">
        <f t="shared" si="34"/>
        <v>PA 003</v>
      </c>
      <c r="F142" s="308" t="str">
        <f t="shared" si="34"/>
        <v>PA 004</v>
      </c>
      <c r="G142" s="308" t="str">
        <f t="shared" si="34"/>
        <v>PA 005</v>
      </c>
      <c r="H142" s="308" t="str">
        <f t="shared" si="34"/>
        <v>PA 006</v>
      </c>
      <c r="I142" s="308" t="str">
        <f t="shared" si="34"/>
        <v>PA 007</v>
      </c>
      <c r="J142" s="308" t="str">
        <f t="shared" si="34"/>
        <v>PA 008</v>
      </c>
      <c r="K142" s="308" t="str">
        <f t="shared" si="34"/>
        <v>PA 010</v>
      </c>
      <c r="L142" s="308" t="str">
        <f t="shared" si="34"/>
        <v>PA 011</v>
      </c>
      <c r="M142" s="308" t="str">
        <f t="shared" si="34"/>
        <v>PA 012</v>
      </c>
      <c r="N142" s="308" t="str">
        <f t="shared" si="34"/>
        <v>PA 013</v>
      </c>
      <c r="O142" s="308" t="str">
        <f t="shared" si="34"/>
        <v>PA 014</v>
      </c>
      <c r="P142" s="308" t="str">
        <f t="shared" si="34"/>
        <v>PA 015</v>
      </c>
      <c r="Q142" s="308" t="str">
        <f t="shared" si="34"/>
        <v>PA 016</v>
      </c>
      <c r="R142" s="308" t="str">
        <f t="shared" si="34"/>
        <v>PA 017</v>
      </c>
      <c r="S142" s="308" t="str">
        <f t="shared" si="34"/>
        <v>PA 018</v>
      </c>
      <c r="T142" s="308" t="str">
        <f t="shared" si="34"/>
        <v>PA 019</v>
      </c>
      <c r="U142" s="308" t="str">
        <f t="shared" si="34"/>
        <v>PA 020</v>
      </c>
      <c r="V142" s="308" t="str">
        <f t="shared" si="34"/>
        <v>PA 021</v>
      </c>
      <c r="W142" s="308" t="str">
        <f t="shared" si="34"/>
        <v>PA 022</v>
      </c>
      <c r="X142" s="308" t="str">
        <f t="shared" si="34"/>
        <v>PA 023</v>
      </c>
      <c r="Y142" s="308" t="str">
        <f t="shared" si="34"/>
        <v>PA 024</v>
      </c>
      <c r="Z142" s="308" t="str">
        <f t="shared" si="34"/>
        <v>PA 025</v>
      </c>
      <c r="AA142" s="308" t="str">
        <f t="shared" si="34"/>
        <v>PA 026</v>
      </c>
      <c r="AB142" s="308" t="str">
        <f t="shared" si="34"/>
        <v>PA 027</v>
      </c>
      <c r="AC142" s="308" t="str">
        <f t="shared" si="34"/>
        <v>PA 028</v>
      </c>
      <c r="AD142" s="308" t="str">
        <f t="shared" si="34"/>
        <v>PA 029</v>
      </c>
      <c r="AE142" s="308" t="str">
        <f t="shared" si="34"/>
        <v>PA 030</v>
      </c>
      <c r="AF142" s="308" t="str">
        <f t="shared" si="34"/>
        <v>PA 031</v>
      </c>
      <c r="AG142" s="308" t="str">
        <f t="shared" si="34"/>
        <v>PA 032</v>
      </c>
      <c r="AH142" s="308" t="str">
        <f t="shared" si="34"/>
        <v>PA 034</v>
      </c>
      <c r="AI142" s="308" t="str">
        <f t="shared" si="34"/>
        <v>PA 037</v>
      </c>
      <c r="AJ142" s="308" t="str">
        <f t="shared" si="34"/>
        <v>PA 038</v>
      </c>
      <c r="AK142" s="308" t="str">
        <f t="shared" si="34"/>
        <v>PA 039</v>
      </c>
      <c r="AL142" s="308" t="str">
        <f t="shared" si="34"/>
        <v>PA 040</v>
      </c>
      <c r="AM142" s="308" t="str">
        <f t="shared" si="34"/>
        <v>PA 041</v>
      </c>
      <c r="AN142" s="308" t="str">
        <f t="shared" si="34"/>
        <v>PA 042</v>
      </c>
      <c r="AO142" s="308" t="str">
        <f t="shared" si="34"/>
        <v>PA 043</v>
      </c>
      <c r="AP142" s="308" t="str">
        <f t="shared" si="34"/>
        <v>PA 044</v>
      </c>
      <c r="AQ142" s="308" t="str">
        <f t="shared" si="34"/>
        <v>PA 045</v>
      </c>
      <c r="AR142" s="308" t="str">
        <f t="shared" si="34"/>
        <v>PA 046</v>
      </c>
      <c r="AS142" s="308" t="str">
        <f t="shared" si="34"/>
        <v>PA 047</v>
      </c>
      <c r="AT142" s="308" t="str">
        <f t="shared" si="34"/>
        <v>PA 048</v>
      </c>
      <c r="AU142" s="308" t="str">
        <f t="shared" si="34"/>
        <v>PA 049</v>
      </c>
      <c r="AV142" s="308" t="str">
        <f t="shared" si="34"/>
        <v>PA 051</v>
      </c>
      <c r="AW142" s="308" t="str">
        <f t="shared" si="34"/>
        <v>PA 052</v>
      </c>
      <c r="AX142" s="308" t="str">
        <f t="shared" si="34"/>
        <v>PA 053</v>
      </c>
      <c r="AY142" s="308" t="str">
        <f t="shared" si="34"/>
        <v>PA 054</v>
      </c>
      <c r="AZ142" s="308" t="str">
        <f t="shared" si="34"/>
        <v>PA 055</v>
      </c>
      <c r="BA142" s="308" t="str">
        <f t="shared" si="34"/>
        <v>PA 056</v>
      </c>
      <c r="BB142" s="308" t="str">
        <f t="shared" si="34"/>
        <v>PA 059</v>
      </c>
      <c r="BC142" s="308" t="str">
        <f t="shared" si="34"/>
        <v>PA 060</v>
      </c>
      <c r="BD142" s="308" t="str">
        <f t="shared" si="34"/>
        <v>PA 061</v>
      </c>
      <c r="BE142" s="308" t="str">
        <f t="shared" si="34"/>
        <v>PA 062</v>
      </c>
      <c r="BF142" s="308" t="str">
        <f t="shared" si="34"/>
        <v>PA 064</v>
      </c>
      <c r="BG142" s="308" t="str">
        <f t="shared" si="34"/>
        <v>PA 065</v>
      </c>
      <c r="BH142" s="308" t="str">
        <f t="shared" si="34"/>
        <v>PA 066</v>
      </c>
      <c r="BI142" s="308" t="str">
        <f t="shared" si="34"/>
        <v>PA 067</v>
      </c>
      <c r="BJ142" s="308" t="str">
        <f t="shared" si="34"/>
        <v>PA 068</v>
      </c>
      <c r="BK142" s="308" t="str">
        <f t="shared" si="34"/>
        <v>PA 069</v>
      </c>
      <c r="BL142" s="308" t="str">
        <f t="shared" si="34"/>
        <v>PA 070</v>
      </c>
      <c r="BM142" s="308" t="str">
        <f t="shared" si="34"/>
        <v>PA 071</v>
      </c>
      <c r="BN142" s="308" t="str">
        <f t="shared" si="34"/>
        <v>PA 072</v>
      </c>
      <c r="BO142" s="308" t="str">
        <f t="shared" si="34"/>
        <v>PA 073</v>
      </c>
      <c r="BP142" s="308" t="str">
        <f t="shared" ref="BP142:CB142" si="35">BP3</f>
        <v>PA 074</v>
      </c>
      <c r="BQ142" s="308" t="str">
        <f t="shared" si="35"/>
        <v>PA 076</v>
      </c>
      <c r="BR142" s="308" t="str">
        <f t="shared" si="35"/>
        <v>PA 077</v>
      </c>
      <c r="BS142" s="308" t="str">
        <f t="shared" si="35"/>
        <v>PA 078</v>
      </c>
      <c r="BT142" s="308" t="str">
        <f t="shared" si="35"/>
        <v>PA 080</v>
      </c>
      <c r="BU142" s="308" t="str">
        <f t="shared" si="35"/>
        <v>PA 081</v>
      </c>
      <c r="BV142" s="308" t="str">
        <f t="shared" si="35"/>
        <v>PA 082</v>
      </c>
      <c r="BW142" s="308" t="str">
        <f t="shared" si="35"/>
        <v>PA 083</v>
      </c>
      <c r="BX142" s="308" t="str">
        <f t="shared" si="35"/>
        <v>PA 086</v>
      </c>
      <c r="BY142" s="308" t="str">
        <f t="shared" si="35"/>
        <v>PA 089</v>
      </c>
      <c r="BZ142" s="308" t="str">
        <f t="shared" si="35"/>
        <v>PA 090</v>
      </c>
      <c r="CA142" s="308" t="str">
        <f t="shared" si="35"/>
        <v>PA 091</v>
      </c>
      <c r="CB142" s="308" t="str">
        <f t="shared" si="35"/>
        <v>PA 097</v>
      </c>
      <c r="CC142" s="362" t="s">
        <v>31</v>
      </c>
      <c r="CD142" s="310"/>
    </row>
    <row r="143" spans="2:82" s="309" customFormat="1">
      <c r="B143" s="431"/>
      <c r="C143" s="76">
        <f>J19+J20+J21</f>
        <v>26246.928366552947</v>
      </c>
      <c r="D143" s="76">
        <f>J22+J23</f>
        <v>15628.236592878477</v>
      </c>
      <c r="E143" s="76">
        <f>J24</f>
        <v>13899.823729164929</v>
      </c>
      <c r="F143" s="76">
        <f>J25</f>
        <v>2779.9647458329855</v>
      </c>
      <c r="G143" s="76">
        <f>J26</f>
        <v>26953.57123133721</v>
      </c>
      <c r="H143" s="76">
        <f>J27+J28+J29</f>
        <v>22384.03439738234</v>
      </c>
      <c r="I143" s="76">
        <f>J30+J31</f>
        <v>12892.461199700996</v>
      </c>
      <c r="J143" s="289">
        <f>J32</f>
        <v>725.20819456512663</v>
      </c>
      <c r="K143" s="219">
        <f>J33+J34</f>
        <v>21756.245836953796</v>
      </c>
      <c r="L143" s="219">
        <f>J35+J36</f>
        <v>4930.2070427185854</v>
      </c>
      <c r="M143" s="219">
        <f>J37</f>
        <v>11930.351661577928</v>
      </c>
      <c r="N143" s="219">
        <f>J38</f>
        <v>5150.6703338663838</v>
      </c>
      <c r="O143" s="219">
        <f>J39+J40</f>
        <v>26477.230315540346</v>
      </c>
      <c r="P143" s="219">
        <f>J41</f>
        <v>15954.580280432785</v>
      </c>
      <c r="Q143" s="219">
        <f>J42+J43</f>
        <v>3941.7482735263184</v>
      </c>
      <c r="R143" s="219">
        <f>J44+J45</f>
        <v>5640.9110733924099</v>
      </c>
      <c r="S143" s="219">
        <f>J46+J47+J48</f>
        <v>13539.467777285514</v>
      </c>
      <c r="T143" s="219">
        <f>J49</f>
        <v>7880.1847629641215</v>
      </c>
      <c r="U143" s="219">
        <f>J50+J51</f>
        <v>26273.341151659159</v>
      </c>
      <c r="V143" s="219">
        <f>J52</f>
        <v>22265.543348863692</v>
      </c>
      <c r="W143" s="219">
        <f>J53</f>
        <v>22265.543348863692</v>
      </c>
      <c r="X143" s="219">
        <f>J54+J55</f>
        <v>25231.998816573836</v>
      </c>
      <c r="Y143" s="219">
        <f>J56+J57</f>
        <v>21531.534021356842</v>
      </c>
      <c r="Z143" s="219">
        <f>J58</f>
        <v>18497.528320594451</v>
      </c>
      <c r="AA143" s="219">
        <f>J59</f>
        <v>39392.884386451151</v>
      </c>
      <c r="AB143" s="219">
        <f>J60+J61+J62</f>
        <v>36433.279855156034</v>
      </c>
      <c r="AC143" s="219">
        <f>J63</f>
        <v>14558.239881949336</v>
      </c>
      <c r="AD143" s="219">
        <f>J64+J65</f>
        <v>14232.820402235175</v>
      </c>
      <c r="AE143" s="219">
        <f>J66</f>
        <v>4710.0187853365496</v>
      </c>
      <c r="AF143" s="219">
        <f>J67+J68</f>
        <v>32476.178981831825</v>
      </c>
      <c r="AG143" s="219">
        <f>J69</f>
        <v>68.166817329598061</v>
      </c>
      <c r="AH143" s="219">
        <f>J70+J71</f>
        <v>22138.801025185545</v>
      </c>
      <c r="AI143" s="219">
        <f>J72+J73+J74</f>
        <v>29584.090428906886</v>
      </c>
      <c r="AJ143" s="219">
        <f>J75+J76</f>
        <v>18877.34423544399</v>
      </c>
      <c r="AK143" s="219">
        <f>J77</f>
        <v>17983.708089466829</v>
      </c>
      <c r="AL143" s="219">
        <f>J78</f>
        <v>18840.075141346199</v>
      </c>
      <c r="AM143" s="219">
        <f>J79+J80</f>
        <v>16315.693473157224</v>
      </c>
      <c r="AN143" s="311">
        <f>J81</f>
        <v>15072.060113076961</v>
      </c>
      <c r="AO143" s="311">
        <f>J82</f>
        <v>13530.59941969409</v>
      </c>
      <c r="AP143" s="311">
        <f>J83</f>
        <v>3871.1044939744779</v>
      </c>
      <c r="AQ143" s="311">
        <f>J84+J85</f>
        <v>26024.994706614139</v>
      </c>
      <c r="AR143" s="311">
        <f>J86+J87</f>
        <v>12264.614879559775</v>
      </c>
      <c r="AS143" s="311">
        <f>J88</f>
        <v>6850.9364150349811</v>
      </c>
      <c r="AT143" s="311">
        <f>J89</f>
        <v>8460.7622699264775</v>
      </c>
      <c r="AU143" s="311">
        <f>J90+J91</f>
        <v>2288.9504508994237</v>
      </c>
      <c r="AV143" s="311">
        <f>J92+J93</f>
        <v>5932.6018960497458</v>
      </c>
      <c r="AW143" s="311">
        <f>J94</f>
        <v>4314.9887576625033</v>
      </c>
      <c r="AX143" s="311">
        <f>J95+J96</f>
        <v>3676.8055464451918</v>
      </c>
      <c r="AY143" s="311">
        <f>J97+J98</f>
        <v>23684.695294334895</v>
      </c>
      <c r="AZ143" s="311">
        <f>J99+J100</f>
        <v>14359.726592551644</v>
      </c>
      <c r="BA143" s="311">
        <f>J101</f>
        <v>2967.1893280632157</v>
      </c>
      <c r="BB143" s="311">
        <f>J102+J103</f>
        <v>9674.2773154987881</v>
      </c>
      <c r="BC143" s="311">
        <f>J104+J105</f>
        <v>5713.0451151451543</v>
      </c>
      <c r="BD143" s="311">
        <f>J106</f>
        <v>2350.8832307152852</v>
      </c>
      <c r="BE143" s="311">
        <f>J107</f>
        <v>323.92632690575658</v>
      </c>
      <c r="BF143" s="311">
        <f>J108+J109</f>
        <v>9368.8782029938247</v>
      </c>
      <c r="BG143" s="311">
        <f>J110+J111</f>
        <v>4289.9536190486797</v>
      </c>
      <c r="BH143" s="311">
        <f>J112</f>
        <v>685.09364150349825</v>
      </c>
      <c r="BI143" s="311">
        <f>J113</f>
        <v>1541.4606933828709</v>
      </c>
      <c r="BJ143" s="311">
        <f>J114</f>
        <v>37508.876872316534</v>
      </c>
      <c r="BK143" s="311">
        <f>J115+J116+J117</f>
        <v>11674.149797288947</v>
      </c>
      <c r="BL143" s="311">
        <f>J118</f>
        <v>1370.1872830069965</v>
      </c>
      <c r="BM143" s="311">
        <f>J119</f>
        <v>2055.2809245104945</v>
      </c>
      <c r="BN143" s="311">
        <f>J120</f>
        <v>2569.1011556381177</v>
      </c>
      <c r="BO143" s="311">
        <f>J121</f>
        <v>2055.2809245104945</v>
      </c>
      <c r="BP143" s="311">
        <f>J122</f>
        <v>2008.4205194316555</v>
      </c>
      <c r="BQ143" s="311">
        <f>J123+J124</f>
        <v>14130.056356009647</v>
      </c>
      <c r="BR143" s="311">
        <f>J125+J126</f>
        <v>10314.941139887043</v>
      </c>
      <c r="BS143" s="311">
        <f>J127</f>
        <v>1392.658354448311</v>
      </c>
      <c r="BT143" s="311">
        <f>J128+J129</f>
        <v>16952.642159004063</v>
      </c>
      <c r="BU143" s="311">
        <f>J130</f>
        <v>2055.2809245104945</v>
      </c>
      <c r="BV143" s="311">
        <f>J131</f>
        <v>2569.1011556381177</v>
      </c>
      <c r="BW143" s="311">
        <f>J132</f>
        <v>23594.625013380479</v>
      </c>
      <c r="BX143" s="311">
        <f>J133</f>
        <v>26705.806512858238</v>
      </c>
      <c r="BY143" s="311">
        <f>J134+J135</f>
        <v>31343.03409878505</v>
      </c>
      <c r="BZ143" s="311">
        <f>J136</f>
        <v>6508.3895942832332</v>
      </c>
      <c r="CA143" s="311">
        <f>J137</f>
        <v>5823.2959527797339</v>
      </c>
      <c r="CB143" s="311">
        <f>J138+J139</f>
        <v>2635.2131901977855</v>
      </c>
      <c r="CC143" s="363">
        <f>SUM(C143:CB143)</f>
        <v>1020902.5065649477</v>
      </c>
      <c r="CD143" s="310"/>
    </row>
    <row r="144" spans="2:82" ht="15" customHeight="1">
      <c r="B144" s="366" t="s">
        <v>618</v>
      </c>
      <c r="C144" s="367">
        <f>C15*(D19+D20+D21)</f>
        <v>99.245189814814779</v>
      </c>
      <c r="D144" s="364">
        <f>(D22+D23)*D15</f>
        <v>99.245189814814779</v>
      </c>
      <c r="E144" s="364">
        <f>E15*D24</f>
        <v>99.245189814814779</v>
      </c>
      <c r="F144" s="364">
        <f>F15*D25</f>
        <v>49.62259490740739</v>
      </c>
      <c r="G144" s="364">
        <f>G15*D26</f>
        <v>99.245189814814779</v>
      </c>
      <c r="H144" s="364">
        <f>H15*(D27+D28+D29)</f>
        <v>99.245189814814779</v>
      </c>
      <c r="I144" s="364">
        <f>I15*(D30+D31)</f>
        <v>99.245189814814779</v>
      </c>
      <c r="J144" s="364">
        <f>J15*D32</f>
        <v>39.698075925925913</v>
      </c>
      <c r="K144" s="364">
        <f>K15*(D33+D34)</f>
        <v>99.245189814814779</v>
      </c>
      <c r="L144" s="364">
        <f>L15*(D35+D36)</f>
        <v>49.62259490740739</v>
      </c>
      <c r="M144" s="364">
        <f>M15*D37</f>
        <v>49.97987759074072</v>
      </c>
      <c r="N144" s="364">
        <f>N15*D38</f>
        <v>28.384124287037025</v>
      </c>
      <c r="O144" s="364">
        <f>O15*(D39+D40)</f>
        <v>99.245189814814779</v>
      </c>
      <c r="P144" s="364">
        <f>P15*D41</f>
        <v>99.245189814814779</v>
      </c>
      <c r="Q144" s="364">
        <f>Q15*(D42+D43)</f>
        <v>34.884684219907392</v>
      </c>
      <c r="R144" s="364">
        <f>R15*(D44+D45)</f>
        <v>49.62259490740739</v>
      </c>
      <c r="S144" s="364">
        <f>S15*(D46+D47+D48)</f>
        <v>99.245189814814779</v>
      </c>
      <c r="T144" s="364">
        <f>T15*D49</f>
        <v>75.237778398611084</v>
      </c>
      <c r="U144" s="364">
        <f>U15*(D50+D51)</f>
        <v>140.63323263888884</v>
      </c>
      <c r="V144" s="364">
        <f>V15*D52</f>
        <v>140.63323263888884</v>
      </c>
      <c r="W144" s="364">
        <f>W15*D53</f>
        <v>140.63323263888884</v>
      </c>
      <c r="X144" s="364">
        <f>X15*(D54+D55)</f>
        <v>140.63323263888884</v>
      </c>
      <c r="Y144" s="364">
        <f>Y15*(D56+D57)</f>
        <v>140.63323263888884</v>
      </c>
      <c r="Z144" s="364">
        <f>Z15*D58</f>
        <v>140.63323263888884</v>
      </c>
      <c r="AA144" s="364">
        <f>AA15*D59</f>
        <v>140.63323263888884</v>
      </c>
      <c r="AB144" s="364">
        <f>AB15*(D60+D61+D62)</f>
        <v>140.63323263888884</v>
      </c>
      <c r="AC144" s="364">
        <f>AC15*D63</f>
        <v>140.63323263888884</v>
      </c>
      <c r="AD144" s="364">
        <f>AD15*(D64+D65)</f>
        <v>140.63323263888884</v>
      </c>
      <c r="AE144" s="364">
        <f>AE15*D66</f>
        <v>70.316616319444421</v>
      </c>
      <c r="AF144" s="364">
        <f>AF15*(D67+D68)</f>
        <v>140.63323263888884</v>
      </c>
      <c r="AG144" s="364">
        <f>AG15*D69</f>
        <v>0.28126646527777771</v>
      </c>
      <c r="AH144" s="364">
        <f>AH15*(D70+D71)</f>
        <v>95.630598194444417</v>
      </c>
      <c r="AI144" s="364">
        <f>AI15*(D72+D73+D74)</f>
        <v>140.63323263888884</v>
      </c>
      <c r="AJ144" s="364">
        <f>AJ15*(D75+D76)</f>
        <v>140.63323263888884</v>
      </c>
      <c r="AK144" s="364">
        <f>AK15*D77</f>
        <v>140.63323263888884</v>
      </c>
      <c r="AL144" s="364">
        <f>AL15*D78</f>
        <v>140.63323263888884</v>
      </c>
      <c r="AM144" s="364">
        <f>AM15*(D79+D80)</f>
        <v>140.63323263888884</v>
      </c>
      <c r="AN144" s="364">
        <f>AN15*D81</f>
        <v>140.63323263888884</v>
      </c>
      <c r="AO144" s="364">
        <f>AO15*D82</f>
        <v>140.63323263888884</v>
      </c>
      <c r="AP144" s="364">
        <f>AP15*D83</f>
        <v>40.235167857986099</v>
      </c>
      <c r="AQ144" s="364">
        <f>AQ15*(D84+D85)</f>
        <v>140.63323263888884</v>
      </c>
      <c r="AR144" s="364">
        <f>AR15*(D86+D87)</f>
        <v>140.63323263888884</v>
      </c>
      <c r="AS144" s="364">
        <f>AS15*D88</f>
        <v>140.63323263888884</v>
      </c>
      <c r="AT144" s="364">
        <f>AT15*D89</f>
        <v>99.245189814814779</v>
      </c>
      <c r="AU144" s="364">
        <f>AU15*(D90+D91)</f>
        <v>99.046699435185147</v>
      </c>
      <c r="AV144" s="364">
        <f>AV15*(D92+D93)</f>
        <v>99.245189814814779</v>
      </c>
      <c r="AW144" s="364">
        <f>AW15*D94</f>
        <v>69.471632870370343</v>
      </c>
      <c r="AX144" s="364">
        <f>AX15*(D95+D96)</f>
        <v>99.245189814814779</v>
      </c>
      <c r="AY144" s="364">
        <f>AY15*(D97+D98)</f>
        <v>99.245189814814779</v>
      </c>
      <c r="AZ144" s="364">
        <f>AZ15*(D99+D100)</f>
        <v>99.245189814814779</v>
      </c>
      <c r="BA144" s="364">
        <f>BA15*D101</f>
        <v>49.721840097222206</v>
      </c>
      <c r="BB144" s="364">
        <f>BB15*(D102+D103)</f>
        <v>99.245189814814779</v>
      </c>
      <c r="BC144" s="364">
        <f>BC15*(D104+D105)</f>
        <v>99.245189814814779</v>
      </c>
      <c r="BD144" s="364">
        <f>BD15*D106</f>
        <v>96.515947094907375</v>
      </c>
      <c r="BE144" s="364">
        <f>BE15*D107</f>
        <v>1.9849037962962957</v>
      </c>
      <c r="BF144" s="364">
        <f>BF15*(D108+D109)</f>
        <v>140.63323263888884</v>
      </c>
      <c r="BG144" s="364">
        <f>BG15*(D110+D111)</f>
        <v>140.63323263888884</v>
      </c>
      <c r="BH144" s="364">
        <f>BH15*D112</f>
        <v>140.63323263888884</v>
      </c>
      <c r="BI144" s="364">
        <f>BI15*D113</f>
        <v>140.63323263888884</v>
      </c>
      <c r="BJ144" s="364">
        <f>BJ15*D114</f>
        <v>140.63323263888884</v>
      </c>
      <c r="BK144" s="364">
        <f>BK15*(D115+D116+D117)</f>
        <v>140.63323263888884</v>
      </c>
      <c r="BL144" s="364">
        <f>BL15*D118</f>
        <v>140.63323263888884</v>
      </c>
      <c r="BM144" s="364">
        <f>BM15*D119</f>
        <v>140.63323263888884</v>
      </c>
      <c r="BN144" s="364">
        <f>BN15*D120</f>
        <v>140.63323263888884</v>
      </c>
      <c r="BO144" s="364">
        <f>BO15*D121</f>
        <v>140.63323263888884</v>
      </c>
      <c r="BP144" s="364">
        <f>BP15*D122</f>
        <v>117.7943956583333</v>
      </c>
      <c r="BQ144" s="364">
        <f>BQ15*(D123+D124)</f>
        <v>140.63323263888884</v>
      </c>
      <c r="BR144" s="364">
        <f>BR15*(D125+D126)</f>
        <v>140.63323263888884</v>
      </c>
      <c r="BS144" s="364">
        <f>BS15*D127</f>
        <v>7.4254346833333313</v>
      </c>
      <c r="BT144" s="364">
        <f>BT15*(D128+D129)</f>
        <v>140.63323263888884</v>
      </c>
      <c r="BU144" s="364">
        <f>BU15*D130</f>
        <v>140.63323263888884</v>
      </c>
      <c r="BV144" s="364">
        <f>BV15*D131</f>
        <v>140.63323263888884</v>
      </c>
      <c r="BW144" s="364">
        <f>BW15*D132</f>
        <v>115.31925076388886</v>
      </c>
      <c r="BX144" s="364">
        <f>BX15*D133</f>
        <v>116.0224169270833</v>
      </c>
      <c r="BY144" s="364">
        <f>BY15*(D134+D135)</f>
        <v>140.63323263888884</v>
      </c>
      <c r="BZ144" s="364">
        <f>BZ15*D136</f>
        <v>140.63323263888884</v>
      </c>
      <c r="CA144" s="364">
        <f>CA15*D137</f>
        <v>140.63323263888884</v>
      </c>
      <c r="CB144" s="364">
        <f>CB15*(D138+D139)</f>
        <v>10.123009361111107</v>
      </c>
      <c r="CC144" s="365"/>
    </row>
    <row r="145" spans="2:81" ht="15" customHeight="1">
      <c r="B145" s="366" t="s">
        <v>620</v>
      </c>
      <c r="C145" s="368">
        <f>60426*'sample size calculation'!B5</f>
        <v>54300.624657534245</v>
      </c>
      <c r="D145" s="366"/>
      <c r="E145" s="366"/>
      <c r="F145" s="366"/>
      <c r="G145" s="366"/>
      <c r="H145" s="366"/>
      <c r="I145" s="366"/>
      <c r="J145" s="366"/>
      <c r="K145" s="366"/>
      <c r="L145" s="366"/>
      <c r="M145" s="366"/>
      <c r="N145" s="366"/>
      <c r="O145" s="366"/>
      <c r="P145" s="366"/>
      <c r="Q145" s="366"/>
      <c r="R145" s="366"/>
      <c r="S145" s="366"/>
      <c r="T145" s="366"/>
      <c r="U145" s="366"/>
      <c r="V145" s="366"/>
      <c r="W145" s="366"/>
      <c r="X145" s="366"/>
      <c r="Y145" s="366"/>
      <c r="Z145" s="366"/>
      <c r="AA145" s="366"/>
      <c r="AB145" s="366"/>
      <c r="AC145" s="366"/>
      <c r="AD145" s="366"/>
      <c r="AE145" s="366"/>
      <c r="AF145" s="366"/>
      <c r="AG145" s="366"/>
      <c r="AH145" s="366"/>
      <c r="AI145" s="366"/>
      <c r="AJ145" s="366"/>
      <c r="AK145" s="366"/>
      <c r="AL145" s="366"/>
      <c r="AM145" s="366"/>
      <c r="AN145" s="366"/>
      <c r="AO145" s="366"/>
      <c r="AP145" s="366"/>
      <c r="AQ145" s="366"/>
      <c r="AR145" s="366"/>
      <c r="AS145" s="366"/>
      <c r="AT145" s="366"/>
      <c r="AU145" s="366"/>
      <c r="AV145" s="366"/>
      <c r="AW145" s="366"/>
      <c r="AX145" s="366"/>
      <c r="AY145" s="366"/>
      <c r="AZ145" s="366"/>
      <c r="BA145" s="366"/>
      <c r="BB145" s="366"/>
      <c r="BC145" s="366"/>
      <c r="BD145" s="366"/>
      <c r="BE145" s="366"/>
      <c r="BF145" s="366"/>
      <c r="BG145" s="366"/>
      <c r="BH145" s="366"/>
      <c r="BI145" s="366"/>
      <c r="BJ145" s="366"/>
      <c r="BK145" s="366"/>
      <c r="BL145" s="366"/>
      <c r="BM145" s="366"/>
      <c r="BN145" s="366"/>
      <c r="BO145" s="366"/>
      <c r="BP145" s="366"/>
      <c r="BQ145" s="366"/>
      <c r="BR145" s="366"/>
      <c r="BS145" s="366"/>
      <c r="BT145" s="366"/>
      <c r="BU145" s="366"/>
      <c r="BV145" s="366"/>
      <c r="BW145" s="366"/>
      <c r="BX145" s="366"/>
      <c r="BY145" s="366"/>
      <c r="BZ145" s="366"/>
      <c r="CA145" s="366"/>
      <c r="CB145" s="366"/>
      <c r="CC145" s="366"/>
    </row>
    <row r="146" spans="2:81" ht="18" customHeight="1">
      <c r="B146" s="366" t="s">
        <v>621</v>
      </c>
      <c r="C146" s="369">
        <f>(C145-C143)/C145</f>
        <v>0.51663671399568012</v>
      </c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53"/>
    </row>
    <row r="147" spans="2:81">
      <c r="B147" s="370"/>
    </row>
    <row r="152" spans="2:81">
      <c r="G152" s="352"/>
    </row>
    <row r="153" spans="2:81">
      <c r="G153" s="352"/>
    </row>
    <row r="154" spans="2:81">
      <c r="G154" s="89"/>
    </row>
  </sheetData>
  <mergeCells count="1">
    <mergeCell ref="B142:B143"/>
  </mergeCells>
  <pageMargins left="0.75" right="0.75" top="1" bottom="1" header="0.5" footer="0.5"/>
  <pageSetup paperSize="9" orientation="portrait" horizontalDpi="4294967292" verticalDpi="4294967292" r:id="rId1"/>
  <ignoredErrors>
    <ignoredError sqref="K5 G5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Project details</vt:lpstr>
      <vt:lpstr>sample size calculation</vt:lpstr>
      <vt:lpstr>Survey Summery</vt:lpstr>
      <vt:lpstr>ER calculations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Ankita Karki</cp:lastModifiedBy>
  <cp:lastPrinted>2022-12-26T07:34:14Z</cp:lastPrinted>
  <dcterms:created xsi:type="dcterms:W3CDTF">2009-10-22T11:19:37Z</dcterms:created>
  <dcterms:modified xsi:type="dcterms:W3CDTF">2024-03-23T12:23:11Z</dcterms:modified>
</cp:coreProperties>
</file>