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palan\OneDrive\Desktop\Cloud Computing\Grad_Proj\"/>
    </mc:Choice>
  </mc:AlternateContent>
  <xr:revisionPtr revIDLastSave="0" documentId="13_ncr:1_{864A0AB5-FBCC-4747-9368-0E6554073C64}" xr6:coauthVersionLast="45" xr6:coauthVersionMax="45" xr10:uidLastSave="{00000000-0000-0000-0000-000000000000}"/>
  <bookViews>
    <workbookView xWindow="2300" yWindow="993" windowWidth="17220" windowHeight="12534" tabRatio="500" xr2:uid="{00000000-000D-0000-FFFF-FFFF00000000}"/>
  </bookViews>
  <sheets>
    <sheet name="Price Estimator" sheetId="1" r:id="rId1"/>
    <sheet name="Usage Pattern" sheetId="4" r:id="rId2"/>
    <sheet name="Lookup" sheetId="2" state="hidden" r:id="rId3"/>
    <sheet name="Calculations" sheetId="3" state="hidden" r:id="rId4"/>
    <sheet name="AWS Region-Instance" sheetId="5" state="hidden" r:id="rId5"/>
    <sheet name="AWS Region-Instance Pricing" sheetId="6" state="hidden" r:id="rId6"/>
    <sheet name="Constants" sheetId="7" state="hidden" r:id="rId7"/>
  </sheets>
  <externalReferences>
    <externalReference r:id="rId8"/>
  </externalReferences>
  <definedNames>
    <definedName name="AWS_Region_Instance_Pricing">'AWS Region-Instance Pricing'!$A:$AY</definedName>
    <definedName name="AWS_Region_Listing">OFFSET('AWS Region-Instance'!$A$1,0,0,1,COUNTA('AWS Region-Instance'!$1:$1))</definedName>
    <definedName name="buffer_percent">'[1]Price Estimator'!$B$12</definedName>
    <definedName name="Buffer_Weekday_Hours">'[1]Usage Pattern'!$D$29</definedName>
    <definedName name="Buffer_Weekend_Hours">'[1]Usage Pattern'!$D$59</definedName>
    <definedName name="const_RDS_SAL_Options">Constants!$A$2:$A$29</definedName>
    <definedName name="fleet_types">Lookup!$AF$3:$AF$4</definedName>
    <definedName name="fleet_utilization">'Price Estimator'!$B$19</definedName>
    <definedName name="GRAPHICS">Lookup!$A$15:$A$22</definedName>
    <definedName name="graphics_desktop.2xlarge">Lookup!$A$15:$A$22</definedName>
    <definedName name="GRAPHICS_NO_DESKTOP">Lookup!$O$28:$O$34</definedName>
    <definedName name="instance_price_stopped" localSheetId="4">'[1]Price Estimator'!$B$17</definedName>
    <definedName name="instance_price_stopped" localSheetId="5">'[1]Price Estimator'!$B$17</definedName>
    <definedName name="instance_price_stopped" localSheetId="6">'[1]Price Estimator'!$B$17</definedName>
    <definedName name="instance_price_stopped">'Price Estimator'!$B$14</definedName>
    <definedName name="instance_price_streaming" localSheetId="4">'[1]Price Estimator'!$B$16</definedName>
    <definedName name="instance_price_streaming" localSheetId="5">'[1]Price Estimator'!$B$16</definedName>
    <definedName name="instance_price_streaming" localSheetId="6">'[1]Price Estimator'!$B$16</definedName>
    <definedName name="instance_price_streaming">'Price Estimator'!$B$13</definedName>
    <definedName name="instance_prices">Lookup!$A$2:$M$25</definedName>
    <definedName name="instance_type">'Price Estimator'!$B$12</definedName>
    <definedName name="Instances_For_Selected_AWS_Region">OFFSET('AWS Region-Instance'!$A$1,1,MATCH(region,AWS_Region_Listing,0)-1,COUNTA(INDIRECT("AWSRegionInstance["&amp;region&amp;"]")),1)</definedName>
    <definedName name="license_model" localSheetId="4">'[1]Price Estimator'!$B$11</definedName>
    <definedName name="license_model" localSheetId="5">'[1]Price Estimator'!$B$11</definedName>
    <definedName name="license_model" localSheetId="6">'[1]Price Estimator'!$B$11</definedName>
    <definedName name="license_model">'Price Estimator'!$B$17</definedName>
    <definedName name="lookup_column">Calculations!$B$3</definedName>
    <definedName name="Monthly_Buffer_WD_Hours">'[1]Price Estimator'!$C$19</definedName>
    <definedName name="Monthly_Buffer_WE_Hours">'[1]Price Estimator'!$C$20</definedName>
    <definedName name="Monthly_Used_WD_Hours">'[1]Price Estimator'!$B$19</definedName>
    <definedName name="Monthly_Used_WE_Hours">'[1]Price Estimator'!$B$20</definedName>
    <definedName name="monthly_weekday_hours">'Price Estimator'!$B$9</definedName>
    <definedName name="monthly_weekend_hours">'Price Estimator'!$B$10</definedName>
    <definedName name="no_desktop_regions">Lookup!$O$17:$O$19</definedName>
    <definedName name="NON_GRAPHICS">Lookup!$A$3:$A$14</definedName>
    <definedName name="OD_WD_Cost">'[1]Price Estimator'!#REF!</definedName>
    <definedName name="OD_WE_Cost">'[1]Price Estimator'!#REF!</definedName>
    <definedName name="ph">Lookup!$A$19:$A$22</definedName>
    <definedName name="price_lookup_col_headers">Lookup!$A$2:$M$2</definedName>
    <definedName name="RDS_SAL_Fee">'[1]Price Estimator'!$B$15</definedName>
    <definedName name="region">'Price Estimator'!$B$16</definedName>
    <definedName name="Region_Column_Map">Lookup!$Y$3:$Z$43</definedName>
    <definedName name="sal_fee">'Price Estimator'!$B$18</definedName>
    <definedName name="Selected_AWS_Region">'[1]Price Estimator'!$B$7</definedName>
    <definedName name="Selected_Instance">'[1]Price Estimator'!$B$8</definedName>
    <definedName name="sizes_general">Lookup!$S$3:$S$8</definedName>
    <definedName name="sizes_graphics">Lookup!$S$3:$S$7</definedName>
    <definedName name="total_users" localSheetId="4">'[1]Price Estimator'!$B$9</definedName>
    <definedName name="total_users" localSheetId="5">'[1]Price Estimator'!$B$9</definedName>
    <definedName name="total_users" localSheetId="6">'[1]Price Estimator'!$B$9</definedName>
    <definedName name="total_users">'Price Estimator'!$B$7</definedName>
    <definedName name="Used_Weekday_Hours">'[1]Usage Pattern'!$C$29</definedName>
    <definedName name="Used_Weekend_Hours">'[1]Usage Pattern'!$C$59</definedName>
    <definedName name="User_Fees_License_Types">Lookup!$O$9:$P$11</definedName>
    <definedName name="workload_type">'Price Estimator'!#REF!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 l="1"/>
  <c r="B14" i="1" s="1"/>
  <c r="C27" i="6" l="1"/>
  <c r="F27" i="6" s="1"/>
  <c r="B27" i="6"/>
  <c r="B28" i="6" s="1"/>
  <c r="B29" i="6" s="1"/>
  <c r="F26" i="6"/>
  <c r="E26" i="6"/>
  <c r="E27" i="6" l="1"/>
  <c r="C28" i="6"/>
  <c r="F28" i="6" l="1"/>
  <c r="E28" i="6"/>
  <c r="C29" i="6"/>
  <c r="F29" i="6" l="1"/>
  <c r="E29" i="6"/>
  <c r="C29" i="4" l="1"/>
  <c r="C59" i="4" l="1"/>
  <c r="D14" i="4" l="1"/>
  <c r="D12" i="4"/>
  <c r="D36" i="4" l="1"/>
  <c r="D37" i="4"/>
  <c r="D38" i="4"/>
  <c r="D39" i="4"/>
  <c r="D40" i="4"/>
  <c r="D41" i="4"/>
  <c r="D42" i="4"/>
  <c r="D43" i="4"/>
  <c r="D44" i="4"/>
  <c r="D45" i="4"/>
  <c r="D46" i="4"/>
  <c r="D47" i="4"/>
  <c r="D48" i="4"/>
  <c r="D49" i="4"/>
  <c r="D50" i="4"/>
  <c r="D51" i="4"/>
  <c r="D52" i="4"/>
  <c r="D53" i="4"/>
  <c r="D54" i="4"/>
  <c r="D55" i="4"/>
  <c r="D56" i="4"/>
  <c r="D57" i="4"/>
  <c r="D58" i="4"/>
  <c r="D35" i="4"/>
  <c r="D5" i="4"/>
  <c r="D6" i="4"/>
  <c r="D7" i="4"/>
  <c r="D8" i="4"/>
  <c r="D9" i="4"/>
  <c r="D10" i="4"/>
  <c r="D11" i="4"/>
  <c r="D13" i="4"/>
  <c r="D15" i="4"/>
  <c r="D16" i="4"/>
  <c r="D17" i="4"/>
  <c r="D18" i="4"/>
  <c r="D19" i="4"/>
  <c r="D20" i="4"/>
  <c r="D21" i="4"/>
  <c r="D22" i="4"/>
  <c r="D23" i="4"/>
  <c r="D24" i="4"/>
  <c r="D25" i="4"/>
  <c r="D26" i="4"/>
  <c r="D27" i="4"/>
  <c r="D28" i="4"/>
  <c r="D59" i="4" l="1"/>
  <c r="D29" i="4"/>
  <c r="B3" i="3"/>
  <c r="B18" i="1" l="1"/>
  <c r="B25" i="1" s="1"/>
  <c r="E38" i="1" l="1"/>
  <c r="B4" i="3" l="1"/>
  <c r="B23" i="1" l="1"/>
  <c r="B24" i="1"/>
  <c r="C25" i="1"/>
  <c r="G15" i="2"/>
  <c r="J15" i="2" s="1"/>
  <c r="E4" i="3"/>
  <c r="D4" i="3"/>
  <c r="F16" i="2"/>
  <c r="G16" i="2" s="1"/>
  <c r="J16" i="2" s="1"/>
  <c r="AC4" i="2"/>
  <c r="AC5" i="2" s="1"/>
  <c r="AA4" i="2"/>
  <c r="AA5" i="2" s="1"/>
  <c r="AA6" i="2" s="1"/>
  <c r="AA7" i="2" s="1"/>
  <c r="AA8" i="2" s="1"/>
  <c r="AA9" i="2" s="1"/>
  <c r="AA10" i="2" s="1"/>
  <c r="AA11" i="2" s="1"/>
  <c r="AA12" i="2" s="1"/>
  <c r="AA13" i="2" s="1"/>
  <c r="AA14" i="2" s="1"/>
  <c r="AA19" i="2" s="1"/>
  <c r="AA20" i="2" s="1"/>
  <c r="AA21" i="2" s="1"/>
  <c r="AA22" i="2" s="1"/>
  <c r="AA15" i="2" s="1"/>
  <c r="AA16" i="2" s="1"/>
  <c r="AA17" i="2" s="1"/>
  <c r="AA18" i="2" s="1"/>
  <c r="AA23" i="2" s="1"/>
  <c r="AA24" i="2" s="1"/>
  <c r="AA25" i="2" s="1"/>
  <c r="AA26" i="2" s="1"/>
  <c r="F4" i="3"/>
  <c r="C4" i="3"/>
  <c r="G4" i="3"/>
  <c r="I15" i="2" l="1"/>
  <c r="F17" i="2"/>
  <c r="F18" i="2" s="1"/>
  <c r="G18" i="2" s="1"/>
  <c r="I18" i="2" s="1"/>
  <c r="AE3" i="2"/>
  <c r="AE5" i="2"/>
  <c r="AC6" i="2"/>
  <c r="AE4" i="2"/>
  <c r="D37" i="1"/>
  <c r="J18" i="2"/>
  <c r="I16" i="2"/>
  <c r="G17" i="2"/>
  <c r="D36" i="1" l="1"/>
  <c r="AC7" i="2"/>
  <c r="AE6" i="2"/>
  <c r="C36" i="1"/>
  <c r="C37" i="1"/>
  <c r="B26" i="1"/>
  <c r="B28" i="1" s="1"/>
  <c r="J17" i="2"/>
  <c r="I17" i="2"/>
  <c r="AC8" i="2" l="1"/>
  <c r="AE7" i="2"/>
  <c r="E36" i="1"/>
  <c r="C23" i="1" s="1"/>
  <c r="E37" i="1"/>
  <c r="C24" i="1" s="1"/>
  <c r="B27" i="1"/>
  <c r="AE8" i="2" l="1"/>
  <c r="AC9" i="2"/>
  <c r="E39" i="1"/>
  <c r="E41" i="1" l="1"/>
  <c r="AC10" i="2"/>
  <c r="AE9" i="2"/>
  <c r="E40" i="1"/>
  <c r="C27" i="1" s="1"/>
  <c r="C26" i="1"/>
  <c r="C28" i="1" l="1"/>
  <c r="B30" i="1"/>
  <c r="AC11" i="2"/>
  <c r="AE10" i="2"/>
  <c r="AC12" i="2" l="1"/>
  <c r="AE11" i="2"/>
  <c r="AC13" i="2" l="1"/>
  <c r="AE12" i="2"/>
  <c r="AC14" i="2" l="1"/>
  <c r="AE13" i="2"/>
  <c r="AE14" i="2" l="1"/>
  <c r="AC19" i="2"/>
  <c r="AE19" i="2" l="1"/>
  <c r="AC20" i="2"/>
  <c r="AE20" i="2" l="1"/>
  <c r="AC21" i="2"/>
  <c r="AE21" i="2" l="1"/>
  <c r="AC22" i="2"/>
  <c r="AC15" i="2" l="1"/>
  <c r="AE22" i="2"/>
  <c r="AC16" i="2" l="1"/>
  <c r="AE15" i="2"/>
  <c r="AC17" i="2" l="1"/>
  <c r="AE16" i="2"/>
  <c r="AE17" i="2" l="1"/>
  <c r="AC18" i="2"/>
  <c r="AC23" i="2" l="1"/>
  <c r="AE18" i="2"/>
  <c r="AE23" i="2" l="1"/>
  <c r="AC24" i="2"/>
  <c r="AC25" i="2" l="1"/>
  <c r="AE24" i="2"/>
  <c r="AE25" i="2" l="1"/>
  <c r="AC26" i="2"/>
  <c r="AE2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Deepak Sury</author>
  </authors>
  <commentList>
    <comment ref="B25" authorId="0" shapeId="0" xr:uid="{00000000-0006-0000-0000-000001000000}">
      <text>
        <r>
          <rPr>
            <b/>
            <sz val="10"/>
            <color indexed="81"/>
            <rFont val="Calibri"/>
            <family val="2"/>
          </rPr>
          <t>This is $0 for BYOL</t>
        </r>
      </text>
    </comment>
    <comment ref="C25" authorId="0" shapeId="0" xr:uid="{00000000-0006-0000-0000-000002000000}">
      <text>
        <r>
          <rPr>
            <sz val="10"/>
            <color indexed="81"/>
            <rFont val="Calibri"/>
            <family val="2"/>
          </rPr>
          <t xml:space="preserve">
This is $0 for BYOL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Rathinasamy, Murali</author>
  </authors>
  <commentList>
    <comment ref="C4" authorId="0" shapeId="0" xr:uid="{00000000-0006-0000-0100-000001000000}">
      <text>
        <r>
          <rPr>
            <sz val="9"/>
            <color indexed="81"/>
            <rFont val="Tahoma"/>
            <family val="2"/>
          </rPr>
          <t>Actual concurrent users expected during this house</t>
        </r>
      </text>
    </comment>
    <comment ref="D4" authorId="0" shapeId="0" xr:uid="{00000000-0006-0000-0100-000002000000}">
      <text>
        <r>
          <rPr>
            <sz val="9"/>
            <color indexed="81"/>
            <rFont val="Tahoma"/>
            <family val="2"/>
          </rPr>
          <t>Automatically calculated number of instances provisioned based on concurrent users + intended fleet utilization. Calculation: Concurrent users/fleet utilization. No changes are needed to this field.</t>
        </r>
      </text>
    </comment>
    <comment ref="C34" authorId="0" shapeId="0" xr:uid="{00000000-0006-0000-0100-000003000000}">
      <text>
        <r>
          <rPr>
            <sz val="9"/>
            <color indexed="81"/>
            <rFont val="Tahoma"/>
            <family val="2"/>
          </rPr>
          <t>Actual concurrent users expected during this house</t>
        </r>
      </text>
    </comment>
    <comment ref="D34" authorId="0" shapeId="0" xr:uid="{00000000-0006-0000-0100-000004000000}">
      <text>
        <r>
          <rPr>
            <sz val="9"/>
            <color indexed="81"/>
            <rFont val="Tahoma"/>
            <family val="2"/>
          </rPr>
          <t>Automatically calculated number of instances provisioned based on concurrent users + intended fleet utilization. Calculation: Concurrent users/fleet utilization. No changes are needed to this field.</t>
        </r>
      </text>
    </comment>
  </commentList>
</comments>
</file>

<file path=xl/sharedStrings.xml><?xml version="1.0" encoding="utf-8"?>
<sst xmlns="http://schemas.openxmlformats.org/spreadsheetml/2006/main" count="582" uniqueCount="151">
  <si>
    <t>Compute Optimized</t>
  </si>
  <si>
    <t>Memory Optimized</t>
  </si>
  <si>
    <t>Streaming Resource Fees</t>
  </si>
  <si>
    <t>Category</t>
  </si>
  <si>
    <t>vCPU</t>
  </si>
  <si>
    <t>Memory (GiB)</t>
  </si>
  <si>
    <t>Video Memory (GiB)</t>
  </si>
  <si>
    <t>General Purpose</t>
  </si>
  <si>
    <t>-</t>
  </si>
  <si>
    <t>User Fees</t>
  </si>
  <si>
    <t>Microsoft RDS SAL Fee</t>
  </si>
  <si>
    <t>*charged for each authorized user in a month in an AWS region</t>
  </si>
  <si>
    <t>medium</t>
  </si>
  <si>
    <t>large</t>
  </si>
  <si>
    <t>xlarge</t>
  </si>
  <si>
    <t>2xlarge</t>
  </si>
  <si>
    <t>4xlarge</t>
  </si>
  <si>
    <t>8xlarge</t>
  </si>
  <si>
    <t>Region Enum</t>
  </si>
  <si>
    <t>Price ($/hr)</t>
  </si>
  <si>
    <t>Workload Input</t>
  </si>
  <si>
    <t>Output</t>
  </si>
  <si>
    <t>BYOL</t>
  </si>
  <si>
    <t>User Input</t>
  </si>
  <si>
    <t>stream.standard</t>
  </si>
  <si>
    <t>stream.compute</t>
  </si>
  <si>
    <t>stream.memory</t>
  </si>
  <si>
    <t>tbd</t>
  </si>
  <si>
    <t>placeholders</t>
  </si>
  <si>
    <t>Other Inputs</t>
  </si>
  <si>
    <t>AWS Region</t>
  </si>
  <si>
    <t>Total Monthly Cost</t>
  </si>
  <si>
    <t>Annualized Cost</t>
  </si>
  <si>
    <t>Monthly User Fee Costs</t>
  </si>
  <si>
    <t>Graphics Desktop</t>
  </si>
  <si>
    <t>Graphics Pro</t>
  </si>
  <si>
    <t>stream.graphics-desktop</t>
  </si>
  <si>
    <t>stream.graphics-pro</t>
  </si>
  <si>
    <t>16xlarge</t>
  </si>
  <si>
    <t>Example Sheets Lookup</t>
  </si>
  <si>
    <t>Graphics Design</t>
  </si>
  <si>
    <t>stream.graphics-design</t>
  </si>
  <si>
    <t>Always-On</t>
  </si>
  <si>
    <t>On-Demand</t>
  </si>
  <si>
    <t>StoppedInstanceFee</t>
  </si>
  <si>
    <t>Always-On Fleet</t>
  </si>
  <si>
    <t xml:space="preserve">On-Demand Fleet </t>
  </si>
  <si>
    <t>Streaming Cost</t>
  </si>
  <si>
    <t>Standby Cost</t>
  </si>
  <si>
    <t>Total Cost</t>
  </si>
  <si>
    <t>Fleet Type</t>
  </si>
  <si>
    <t>EDU License Included</t>
  </si>
  <si>
    <t>Commercial License Included</t>
  </si>
  <si>
    <t>EDU Microsoft RDS SAL Fee</t>
  </si>
  <si>
    <t>Simple</t>
  </si>
  <si>
    <t>Advanced</t>
  </si>
  <si>
    <t>standard.large</t>
  </si>
  <si>
    <t>compute.large</t>
  </si>
  <si>
    <t>compute.xlarge</t>
  </si>
  <si>
    <t>compute.2xlarge</t>
  </si>
  <si>
    <t>compute.4xlarge</t>
  </si>
  <si>
    <t>compute.8xlarge</t>
  </si>
  <si>
    <t>memory.large</t>
  </si>
  <si>
    <t>memory.xlarge</t>
  </si>
  <si>
    <t>memory.2xlarge</t>
  </si>
  <si>
    <t>memory.4xlarge</t>
  </si>
  <si>
    <t>memory.8xlarge</t>
  </si>
  <si>
    <t>graphics-desktop.2xlarge</t>
  </si>
  <si>
    <t>graphics-pro.4xlarge</t>
  </si>
  <si>
    <t>graphics-pro.8xlarge</t>
  </si>
  <si>
    <t>graphics-pro.16xlarge</t>
  </si>
  <si>
    <t>graphics-design.xlarge</t>
  </si>
  <si>
    <t>graphics-design.2xlarge</t>
  </si>
  <si>
    <t>graphics-design.4xlarge</t>
  </si>
  <si>
    <t>GRAPHICS</t>
  </si>
  <si>
    <t>NON_GRAPHICS</t>
  </si>
  <si>
    <t>DEFAULT</t>
  </si>
  <si>
    <t>ADVANCED</t>
  </si>
  <si>
    <t>standard.medium (Default)</t>
  </si>
  <si>
    <t>graphics-design.large (Default)</t>
  </si>
  <si>
    <t>Effective Monthly Cost/User (Estimate)</t>
  </si>
  <si>
    <t>Calculator output estimates are in GREEN</t>
  </si>
  <si>
    <t>Usage Scenarios</t>
  </si>
  <si>
    <t>Start Time</t>
  </si>
  <si>
    <t>End Time</t>
  </si>
  <si>
    <t>Weekday Usage</t>
  </si>
  <si>
    <t>Weekend Usage</t>
  </si>
  <si>
    <t>Weekday streaming cost</t>
  </si>
  <si>
    <t>Weekend streaming cost</t>
  </si>
  <si>
    <t>Savings of on-demand over always-on</t>
  </si>
  <si>
    <t>On-Demand Fleet Cost</t>
  </si>
  <si>
    <t>Standby Cost Worksheet</t>
  </si>
  <si>
    <t>Total users in your organization</t>
  </si>
  <si>
    <t>Enter your usage pattern in the "Usage Pattern" sheet</t>
  </si>
  <si>
    <t>Enter total users</t>
  </si>
  <si>
    <t>Instance size</t>
  </si>
  <si>
    <t>Monthly hours (weekdays)</t>
  </si>
  <si>
    <t>Concurrent Users in each hour</t>
  </si>
  <si>
    <t>Price per streaming hour</t>
  </si>
  <si>
    <t>Price per stopped instance hour</t>
  </si>
  <si>
    <t>Usage Input - Enter usage pattern in "Usage Pattern" worksheet</t>
  </si>
  <si>
    <t>Savings increase with - larger instance size, BYOL vs License Included, Lower utilization (more stand by instances)</t>
  </si>
  <si>
    <t>Monthly streaming cost - Weekdays</t>
  </si>
  <si>
    <t>Monthly streaming cost - Weekends</t>
  </si>
  <si>
    <t>Monthly user fee costs</t>
  </si>
  <si>
    <t>Total monthly cost estimate</t>
  </si>
  <si>
    <t>Instance type (Leave as default or select)</t>
  </si>
  <si>
    <t>Monthly hours (weekends)</t>
  </si>
  <si>
    <t>Annualized cost estimate</t>
  </si>
  <si>
    <t>Effective monthly cost/user Estimate</t>
  </si>
  <si>
    <t>N/A</t>
  </si>
  <si>
    <t>License model for RDS SAL (BYOL, License Included, or EDU)</t>
  </si>
  <si>
    <t>RDS SAL fee per user per month</t>
  </si>
  <si>
    <r>
      <t xml:space="preserve">User inputs are in </t>
    </r>
    <r>
      <rPr>
        <b/>
        <i/>
        <sz val="12"/>
        <color theme="8"/>
        <rFont val="Calibri (Body)"/>
      </rPr>
      <t>BLUE</t>
    </r>
  </si>
  <si>
    <t>Regions sans graphics-desktop</t>
  </si>
  <si>
    <t>Graphics instance sizes sans graphics-desktop</t>
  </si>
  <si>
    <t>US East (N. Virginia)</t>
  </si>
  <si>
    <t>US West (Oregon)</t>
  </si>
  <si>
    <t>EU (Frankfurt)</t>
  </si>
  <si>
    <t>EU (Ireland)</t>
  </si>
  <si>
    <t>Asia Pacific (Tokyo)</t>
  </si>
  <si>
    <t>Asia Pacific (Singapore)</t>
  </si>
  <si>
    <t>Asia Pacific (Sydney)</t>
  </si>
  <si>
    <t>Asia Pacific (Seoul)</t>
  </si>
  <si>
    <t>Provisioned Instances</t>
  </si>
  <si>
    <t>Fleet Utilization %</t>
  </si>
  <si>
    <t>Specify a percent for the fleet utilization. The fleet utilization percent determines the total number of instances provisioned given the specified concurrent user count on the Usage Pattern worksheet, with additional instances for buffer capacity. Example: If you select 70% utilization, and specify 70 concurrent users for the specific hour, 100 total instances are provisioned, with 30 kept as buffer capacity. Calculation: 70 concurrent users/70% utilization = 100 total instances</t>
  </si>
  <si>
    <t>Total per weekend day</t>
  </si>
  <si>
    <t>Total per weekday</t>
  </si>
  <si>
    <t>Amazon AppStream 2.0 Pricing Tool</t>
  </si>
  <si>
    <t>The Amazon AppStream 2.0 Pricing Tool provides only an estimate of your AWS fees related to your usage of AppStream 2.0 and doesn’t include any taxes that might apply.  Your actual fees depend on a variety of factors, including your actual usage of AWS services.</t>
  </si>
  <si>
    <t>AppStream 2.0 Resource Unit Name</t>
  </si>
  <si>
    <t>AWS GovCloud (US-West)</t>
  </si>
  <si>
    <t>standard.medium</t>
  </si>
  <si>
    <t>memory.z1d.large</t>
  </si>
  <si>
    <t>memory.z1d.xlarge</t>
  </si>
  <si>
    <t>memory.z1d.2xlarge</t>
  </si>
  <si>
    <t>memory.z1d.3xlarge</t>
  </si>
  <si>
    <t>memory.z1d.6xlarge</t>
  </si>
  <si>
    <t>memory.z1d.12xlarge</t>
  </si>
  <si>
    <t>graphics-design.large</t>
  </si>
  <si>
    <t>Commercial license included</t>
  </si>
  <si>
    <t>Academic license included</t>
  </si>
  <si>
    <t>RDS SAL Options</t>
  </si>
  <si>
    <t>graphics.g4dn.xlarge</t>
  </si>
  <si>
    <t>graphics.g4dn.2xlarge</t>
  </si>
  <si>
    <t>graphics.g4dn.4xlarge</t>
  </si>
  <si>
    <t>graphics.g4dn.8xlarge</t>
  </si>
  <si>
    <t>graphics.g4dn.12xlarge</t>
  </si>
  <si>
    <t>graphics.g4dn.16xlarge</t>
  </si>
  <si>
    <r>
      <rPr>
        <b/>
        <i/>
        <sz val="12"/>
        <color theme="1"/>
        <rFont val="Calibri"/>
        <family val="2"/>
        <scheme val="minor"/>
      </rPr>
      <t>Version:</t>
    </r>
    <r>
      <rPr>
        <i/>
        <sz val="12"/>
        <color theme="1"/>
        <rFont val="Calibri"/>
        <family val="2"/>
        <scheme val="minor"/>
      </rPr>
      <t xml:space="preserve"> MAR-19-2020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</si>
</sst>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_-&quot;$&quot;* #,##0.00_-;\-&quot;$&quot;* #,##0.00_-;_-&quot;$&quot;* &quot;-&quot;??_-;_-@_-"/>
    <numFmt numFmtId="165" formatCode="h:mm;@"/>
    <numFmt numFmtId="166" formatCode="[$-409]h:mm\ AM/PM;@"/>
    <numFmt numFmtId="167" formatCode="_(&quot;$&quot;* #,##0_);_(&quot;$&quot;* \(#,##0\);_(&quot;$&quot;* &quot;-&quot;??_);_(@_)"/>
    <numFmt numFmtId="168" formatCode="_(&quot;$&quot;* #,##0.000_);_(&quot;$&quot;* \(#,##0.000\);_(&quot;$&quot;* &quot;-&quot;??_);_(@_)"/>
    <numFmt numFmtId="169" formatCode="0.0%"/>
    <numFmt numFmtId="170" formatCode="_-&quot;$&quot;* #,##0.000_-;\-&quot;$&quot;* #,##0.000_-;_-&quot;$&quot;* &quot;-&quot;??_-;_-@_-"/>
    <numFmt numFmtId="171" formatCode="_(* #,##0_);_(* \(#,##0\);_(* &quot;-&quot;??_);_(@_)"/>
    <numFmt numFmtId="172" formatCode="&quot;$&quot;#,##0.00"/>
    <numFmt numFmtId="173" formatCode="&quot;$&quot;#,##0.000"/>
  </numFmts>
  <fonts count="26">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b/>
      <sz val="16"/>
      <color theme="0"/>
      <name val="Calibri"/>
      <family val="2"/>
      <scheme val="minor"/>
    </font>
    <font>
      <sz val="12"/>
      <color theme="0"/>
      <name val="Calibri"/>
      <family val="2"/>
      <scheme val="minor"/>
    </font>
    <font>
      <sz val="12"/>
      <color theme="4"/>
      <name val="Calibri"/>
      <family val="2"/>
      <scheme val="minor"/>
    </font>
    <font>
      <i/>
      <sz val="12"/>
      <color theme="1"/>
      <name val="Calibri"/>
      <family val="2"/>
      <scheme val="minor"/>
    </font>
    <font>
      <b/>
      <sz val="22"/>
      <color theme="1"/>
      <name val="Calibri"/>
      <family val="2"/>
      <scheme val="minor"/>
    </font>
    <font>
      <sz val="10"/>
      <color indexed="81"/>
      <name val="Calibri"/>
      <family val="2"/>
    </font>
    <font>
      <b/>
      <sz val="10"/>
      <color indexed="81"/>
      <name val="Calibri"/>
      <family val="2"/>
    </font>
    <font>
      <sz val="11"/>
      <color rgb="FF9C5700"/>
      <name val="Calibri"/>
      <family val="2"/>
      <scheme val="minor"/>
    </font>
    <font>
      <sz val="12"/>
      <color rgb="FF9C5700"/>
      <name val="Calibri"/>
      <family val="2"/>
      <scheme val="minor"/>
    </font>
    <font>
      <b/>
      <sz val="12"/>
      <color theme="0"/>
      <name val="Calibri"/>
      <family val="2"/>
      <scheme val="minor"/>
    </font>
    <font>
      <b/>
      <i/>
      <sz val="12"/>
      <color theme="1"/>
      <name val="Calibri"/>
      <family val="2"/>
      <scheme val="minor"/>
    </font>
    <font>
      <b/>
      <i/>
      <sz val="12"/>
      <color theme="8"/>
      <name val="Calibri"/>
      <family val="2"/>
      <scheme val="minor"/>
    </font>
    <font>
      <b/>
      <i/>
      <sz val="12"/>
      <color theme="8"/>
      <name val="Calibri (Body)"/>
    </font>
    <font>
      <b/>
      <i/>
      <sz val="12"/>
      <color theme="9"/>
      <name val="Calibri"/>
      <family val="2"/>
      <scheme val="minor"/>
    </font>
    <font>
      <sz val="12"/>
      <color rgb="FF0070C0"/>
      <name val="Calibri"/>
      <family val="2"/>
      <scheme val="minor"/>
    </font>
    <font>
      <sz val="12"/>
      <color theme="9"/>
      <name val="Calibri"/>
      <family val="2"/>
      <scheme val="minor"/>
    </font>
    <font>
      <sz val="9"/>
      <color indexed="81"/>
      <name val="Tahoma"/>
      <family val="2"/>
    </font>
  </fonts>
  <fills count="9">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bgColor indexed="64"/>
      </patternFill>
    </fill>
    <fill>
      <patternFill patternType="solid">
        <fgColor theme="9" tint="0.39997558519241921"/>
        <bgColor indexed="64"/>
      </patternFill>
    </fill>
    <fill>
      <patternFill patternType="solid">
        <fgColor rgb="FFFFEB9C"/>
      </patternFill>
    </fill>
    <fill>
      <patternFill patternType="solid">
        <fgColor theme="0" tint="-0.14999847407452621"/>
        <bgColor indexed="64"/>
      </patternFill>
    </fill>
  </fills>
  <borders count="46">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style="medium">
        <color auto="1"/>
      </bottom>
      <diagonal/>
    </border>
    <border>
      <left style="medium">
        <color auto="1"/>
      </left>
      <right/>
      <top/>
      <bottom/>
      <diagonal/>
    </border>
    <border>
      <left style="medium">
        <color auto="1"/>
      </left>
      <right/>
      <top/>
      <bottom style="double">
        <color theme="4" tint="-0.499984740745262"/>
      </bottom>
      <diagonal/>
    </border>
    <border>
      <left style="medium">
        <color auto="1"/>
      </left>
      <right/>
      <top/>
      <bottom style="medium">
        <color auto="1"/>
      </bottom>
      <diagonal/>
    </border>
    <border>
      <left/>
      <right/>
      <top style="medium">
        <color theme="4" tint="-0.499984740745262"/>
      </top>
      <bottom/>
      <diagonal/>
    </border>
    <border>
      <left/>
      <right/>
      <top/>
      <bottom style="double">
        <color theme="1"/>
      </bottom>
      <diagonal/>
    </border>
    <border>
      <left/>
      <right/>
      <top/>
      <bottom style="thin">
        <color theme="0" tint="-0.14999847407452621"/>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diagonal/>
    </border>
    <border>
      <left style="medium">
        <color theme="0" tint="-0.14999847407452621"/>
      </left>
      <right style="medium">
        <color theme="0" tint="-0.14999847407452621"/>
      </right>
      <top/>
      <bottom style="double">
        <color theme="1"/>
      </bottom>
      <diagonal/>
    </border>
    <border>
      <left style="medium">
        <color theme="0" tint="-0.14999847407452621"/>
      </left>
      <right/>
      <top style="medium">
        <color theme="0" tint="-0.14999847407452621"/>
      </top>
      <bottom/>
      <diagonal/>
    </border>
    <border>
      <left/>
      <right/>
      <top style="medium">
        <color theme="0" tint="-0.14999847407452621"/>
      </top>
      <bottom/>
      <diagonal/>
    </border>
    <border>
      <left/>
      <right style="medium">
        <color theme="0" tint="-0.14999847407452621"/>
      </right>
      <top style="medium">
        <color theme="0" tint="-0.14999847407452621"/>
      </top>
      <bottom/>
      <diagonal/>
    </border>
    <border>
      <left style="medium">
        <color theme="0" tint="-0.14999847407452621"/>
      </left>
      <right/>
      <top/>
      <bottom style="thin">
        <color theme="0" tint="-0.14999847407452621"/>
      </bottom>
      <diagonal/>
    </border>
    <border>
      <left/>
      <right style="medium">
        <color theme="0" tint="-0.14999847407452621"/>
      </right>
      <top/>
      <bottom style="thin">
        <color theme="0" tint="-0.14999847407452621"/>
      </bottom>
      <diagonal/>
    </border>
    <border>
      <left style="medium">
        <color theme="0" tint="-0.14999847407452621"/>
      </left>
      <right/>
      <top/>
      <bottom/>
      <diagonal/>
    </border>
    <border>
      <left/>
      <right style="medium">
        <color theme="0" tint="-0.14999847407452621"/>
      </right>
      <top/>
      <bottom/>
      <diagonal/>
    </border>
    <border>
      <left style="medium">
        <color theme="0" tint="-0.14999847407452621"/>
      </left>
      <right/>
      <top/>
      <bottom style="double">
        <color theme="1"/>
      </bottom>
      <diagonal/>
    </border>
    <border>
      <left/>
      <right style="medium">
        <color theme="0" tint="-0.14999847407452621"/>
      </right>
      <top/>
      <bottom style="double">
        <color theme="1"/>
      </bottom>
      <diagonal/>
    </border>
    <border>
      <left style="medium">
        <color theme="0" tint="-0.14999847407452621"/>
      </left>
      <right/>
      <top/>
      <bottom style="medium">
        <color theme="0" tint="-0.14999847407452621"/>
      </bottom>
      <diagonal/>
    </border>
    <border>
      <left/>
      <right/>
      <top/>
      <bottom style="medium">
        <color theme="0" tint="-0.14999847407452621"/>
      </bottom>
      <diagonal/>
    </border>
    <border>
      <left/>
      <right style="medium">
        <color theme="0" tint="-0.14999847407452621"/>
      </right>
      <top/>
      <bottom style="medium">
        <color theme="0" tint="-0.14999847407452621"/>
      </bottom>
      <diagonal/>
    </border>
    <border>
      <left style="medium">
        <color auto="1"/>
      </left>
      <right/>
      <top style="medium">
        <color auto="1"/>
      </top>
      <bottom style="medium">
        <color theme="0" tint="-0.14999847407452621"/>
      </bottom>
      <diagonal/>
    </border>
    <border>
      <left style="medium">
        <color auto="1"/>
      </left>
      <right/>
      <top style="medium">
        <color theme="4" tint="-0.499984740745262"/>
      </top>
      <bottom/>
      <diagonal/>
    </border>
    <border>
      <left/>
      <right/>
      <top/>
      <bottom style="medium">
        <color theme="4" tint="-0.499984740745262"/>
      </bottom>
      <diagonal/>
    </border>
    <border>
      <left style="medium">
        <color theme="0" tint="-0.14999847407452621"/>
      </left>
      <right style="medium">
        <color theme="0" tint="-0.14999847407452621"/>
      </right>
      <top/>
      <bottom style="medium">
        <color theme="1"/>
      </bottom>
      <diagonal/>
    </border>
    <border>
      <left style="medium">
        <color theme="4"/>
      </left>
      <right/>
      <top style="medium">
        <color theme="4"/>
      </top>
      <bottom/>
      <diagonal/>
    </border>
    <border>
      <left style="medium">
        <color theme="4"/>
      </left>
      <right/>
      <top/>
      <bottom/>
      <diagonal/>
    </border>
    <border>
      <left style="medium">
        <color theme="4"/>
      </left>
      <right/>
      <top/>
      <bottom style="medium">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theme="0" tint="-0.14999847407452621"/>
      </bottom>
      <diagonal/>
    </border>
    <border>
      <left style="medium">
        <color theme="0" tint="-0.14999847407452621"/>
      </left>
      <right style="medium">
        <color indexed="64"/>
      </right>
      <top style="medium">
        <color theme="0" tint="-0.14999847407452621"/>
      </top>
      <bottom/>
      <diagonal/>
    </border>
    <border>
      <left style="medium">
        <color theme="0" tint="-0.14999847407452621"/>
      </left>
      <right style="medium">
        <color theme="0" tint="-0.14999847407452621"/>
      </right>
      <top/>
      <bottom style="medium">
        <color indexed="64"/>
      </bottom>
      <diagonal/>
    </border>
    <border>
      <left style="medium">
        <color theme="0" tint="-0.14999847407452621"/>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s>
  <cellStyleXfs count="24">
    <xf numFmtId="0" fontId="0" fillId="0" borderId="0"/>
    <xf numFmtId="44"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3" fontId="2"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6" fillId="7" borderId="0" applyNumberFormat="0" applyBorder="0" applyAlignment="0" applyProtection="0"/>
    <xf numFmtId="44" fontId="1" fillId="0" borderId="0" applyFont="0" applyFill="0" applyBorder="0" applyAlignment="0" applyProtection="0"/>
  </cellStyleXfs>
  <cellXfs count="126">
    <xf numFmtId="0" fontId="0" fillId="0" borderId="0" xfId="0"/>
    <xf numFmtId="0" fontId="5" fillId="0" borderId="0" xfId="0" applyFont="1"/>
    <xf numFmtId="0" fontId="6" fillId="0" borderId="0" xfId="0" applyFont="1"/>
    <xf numFmtId="0" fontId="5" fillId="0" borderId="1" xfId="0" applyFont="1" applyBorder="1"/>
    <xf numFmtId="0" fontId="5" fillId="0" borderId="1" xfId="0" applyFont="1" applyBorder="1" applyAlignment="1">
      <alignment wrapText="1"/>
    </xf>
    <xf numFmtId="0" fontId="6" fillId="0" borderId="2" xfId="0" applyFont="1" applyBorder="1"/>
    <xf numFmtId="0" fontId="6" fillId="0" borderId="3" xfId="0" applyFont="1" applyBorder="1"/>
    <xf numFmtId="164" fontId="6" fillId="0" borderId="3" xfId="0" applyNumberFormat="1" applyFont="1" applyBorder="1"/>
    <xf numFmtId="8" fontId="6" fillId="0" borderId="0" xfId="0" applyNumberFormat="1" applyFont="1"/>
    <xf numFmtId="165" fontId="0" fillId="0" borderId="0" xfId="0" applyNumberFormat="1"/>
    <xf numFmtId="20" fontId="0" fillId="0" borderId="0" xfId="0" applyNumberFormat="1"/>
    <xf numFmtId="166" fontId="0" fillId="0" borderId="0" xfId="0" applyNumberFormat="1"/>
    <xf numFmtId="0" fontId="0" fillId="0" borderId="0" xfId="0" applyFill="1"/>
    <xf numFmtId="0" fontId="4" fillId="0" borderId="0" xfId="0" applyFont="1" applyFill="1"/>
    <xf numFmtId="44" fontId="6" fillId="0" borderId="3" xfId="1" applyFont="1" applyBorder="1"/>
    <xf numFmtId="168" fontId="6" fillId="0" borderId="3" xfId="1" applyNumberFormat="1" applyFont="1" applyBorder="1"/>
    <xf numFmtId="0" fontId="4" fillId="0" borderId="0" xfId="0" applyFont="1" applyFill="1" applyBorder="1"/>
    <xf numFmtId="8" fontId="0" fillId="0" borderId="0" xfId="0" applyNumberFormat="1"/>
    <xf numFmtId="0" fontId="5" fillId="5" borderId="2" xfId="0" applyFont="1" applyFill="1" applyBorder="1"/>
    <xf numFmtId="18" fontId="0" fillId="0" borderId="0" xfId="0" applyNumberFormat="1"/>
    <xf numFmtId="0" fontId="4" fillId="0" borderId="0" xfId="0" applyFont="1"/>
    <xf numFmtId="0" fontId="6" fillId="2" borderId="0" xfId="0" applyFont="1" applyFill="1"/>
    <xf numFmtId="0" fontId="9" fillId="2" borderId="0" xfId="0" applyFont="1" applyFill="1" applyAlignment="1"/>
    <xf numFmtId="0" fontId="10" fillId="2" borderId="0" xfId="0" applyFont="1" applyFill="1"/>
    <xf numFmtId="0" fontId="12" fillId="0" borderId="0" xfId="0" applyFont="1"/>
    <xf numFmtId="0" fontId="4" fillId="0" borderId="0" xfId="0" applyFont="1" applyBorder="1"/>
    <xf numFmtId="0" fontId="13" fillId="0" borderId="0" xfId="0" applyFont="1"/>
    <xf numFmtId="0" fontId="5" fillId="0" borderId="1" xfId="0" applyFont="1" applyBorder="1" applyAlignment="1">
      <alignment horizontal="left"/>
    </xf>
    <xf numFmtId="0" fontId="5" fillId="0" borderId="0" xfId="0" applyFont="1" applyFill="1" applyBorder="1" applyAlignment="1">
      <alignment horizontal="left"/>
    </xf>
    <xf numFmtId="0" fontId="6" fillId="0" borderId="0" xfId="0" applyFont="1" applyFill="1"/>
    <xf numFmtId="164" fontId="6" fillId="0" borderId="3" xfId="0" applyNumberFormat="1" applyFont="1" applyFill="1" applyBorder="1"/>
    <xf numFmtId="0" fontId="5" fillId="0" borderId="1" xfId="0" applyFont="1" applyBorder="1" applyAlignment="1">
      <alignment horizontal="center"/>
    </xf>
    <xf numFmtId="0" fontId="6" fillId="0" borderId="2" xfId="0" applyFont="1" applyFill="1" applyBorder="1"/>
    <xf numFmtId="0" fontId="5" fillId="0" borderId="1" xfId="0" applyFont="1" applyFill="1" applyBorder="1" applyAlignment="1">
      <alignment horizontal="center"/>
    </xf>
    <xf numFmtId="170" fontId="6" fillId="0" borderId="3" xfId="0" applyNumberFormat="1" applyFont="1" applyFill="1" applyBorder="1"/>
    <xf numFmtId="0" fontId="6" fillId="0" borderId="3" xfId="0" applyFont="1" applyFill="1" applyBorder="1"/>
    <xf numFmtId="0" fontId="17" fillId="7" borderId="2" xfId="22" applyFont="1" applyBorder="1"/>
    <xf numFmtId="0" fontId="18" fillId="2" borderId="0" xfId="0" applyFont="1" applyFill="1" applyAlignment="1"/>
    <xf numFmtId="0" fontId="0" fillId="0" borderId="0" xfId="0" applyFont="1"/>
    <xf numFmtId="0" fontId="12" fillId="0" borderId="0" xfId="0" applyFont="1" applyFill="1"/>
    <xf numFmtId="0" fontId="20" fillId="3" borderId="0" xfId="0" applyFont="1" applyFill="1"/>
    <xf numFmtId="0" fontId="22" fillId="4" borderId="0" xfId="0" applyFont="1" applyFill="1"/>
    <xf numFmtId="0" fontId="0" fillId="0" borderId="0" xfId="0" applyFont="1" applyFill="1"/>
    <xf numFmtId="0" fontId="18" fillId="2" borderId="7" xfId="0" applyFont="1" applyFill="1" applyBorder="1" applyAlignment="1"/>
    <xf numFmtId="0" fontId="18" fillId="2" borderId="4" xfId="0" applyFont="1" applyFill="1" applyBorder="1" applyAlignment="1"/>
    <xf numFmtId="0" fontId="4" fillId="0" borderId="8" xfId="0" applyFont="1" applyFill="1" applyBorder="1" applyAlignment="1">
      <alignment horizontal="left"/>
    </xf>
    <xf numFmtId="0" fontId="4" fillId="0" borderId="8" xfId="0" applyFont="1" applyFill="1" applyBorder="1"/>
    <xf numFmtId="0" fontId="18" fillId="2" borderId="30" xfId="0" applyFont="1" applyFill="1" applyBorder="1" applyAlignment="1"/>
    <xf numFmtId="0" fontId="18" fillId="2" borderId="11" xfId="0" applyFont="1" applyFill="1" applyBorder="1" applyAlignment="1"/>
    <xf numFmtId="0" fontId="11" fillId="3" borderId="0" xfId="0" applyFont="1" applyFill="1" applyBorder="1" applyAlignment="1" applyProtection="1">
      <alignment horizontal="center"/>
      <protection locked="0"/>
    </xf>
    <xf numFmtId="0" fontId="12" fillId="0" borderId="0" xfId="0" applyFont="1" applyFill="1" applyBorder="1" applyAlignment="1">
      <alignment vertical="center" wrapText="1"/>
    </xf>
    <xf numFmtId="0" fontId="18" fillId="2" borderId="10" xfId="0" applyFont="1" applyFill="1" applyBorder="1" applyAlignment="1"/>
    <xf numFmtId="0" fontId="18" fillId="2" borderId="6" xfId="0" applyFont="1" applyFill="1" applyBorder="1" applyAlignment="1"/>
    <xf numFmtId="9" fontId="0" fillId="0" borderId="0" xfId="0" applyNumberFormat="1" applyFont="1"/>
    <xf numFmtId="0" fontId="23" fillId="3" borderId="0" xfId="0" applyFont="1" applyFill="1" applyBorder="1" applyAlignment="1" applyProtection="1">
      <alignment horizontal="right"/>
      <protection locked="0"/>
    </xf>
    <xf numFmtId="0" fontId="23" fillId="0" borderId="0" xfId="0" applyFont="1" applyFill="1" applyBorder="1"/>
    <xf numFmtId="0" fontId="4" fillId="0" borderId="8" xfId="0" applyFont="1" applyFill="1" applyBorder="1" applyAlignment="1">
      <alignment wrapText="1"/>
    </xf>
    <xf numFmtId="9" fontId="23" fillId="3" borderId="0" xfId="0" applyNumberFormat="1" applyFont="1" applyFill="1" applyBorder="1" applyAlignment="1" applyProtection="1">
      <alignment horizontal="right"/>
      <protection locked="0"/>
    </xf>
    <xf numFmtId="0" fontId="0" fillId="2" borderId="0" xfId="0" applyFont="1" applyFill="1"/>
    <xf numFmtId="10" fontId="0" fillId="0" borderId="0" xfId="0" applyNumberFormat="1" applyFont="1" applyFill="1"/>
    <xf numFmtId="0" fontId="18" fillId="2" borderId="8" xfId="0" applyFont="1" applyFill="1" applyBorder="1" applyAlignment="1">
      <alignment horizontal="left" vertical="center"/>
    </xf>
    <xf numFmtId="0" fontId="18" fillId="2" borderId="14" xfId="0" applyFont="1" applyFill="1" applyBorder="1" applyAlignment="1">
      <alignment horizontal="center" vertical="center"/>
    </xf>
    <xf numFmtId="167" fontId="24" fillId="4" borderId="15" xfId="1" applyNumberFormat="1" applyFont="1" applyFill="1" applyBorder="1"/>
    <xf numFmtId="0" fontId="4" fillId="0" borderId="9" xfId="0" applyFont="1" applyFill="1" applyBorder="1"/>
    <xf numFmtId="167" fontId="24" fillId="4" borderId="16" xfId="1" applyNumberFormat="1" applyFont="1" applyFill="1" applyBorder="1"/>
    <xf numFmtId="0" fontId="4" fillId="0" borderId="10" xfId="0" applyFont="1" applyFill="1" applyBorder="1"/>
    <xf numFmtId="44" fontId="4" fillId="6" borderId="32" xfId="1" applyNumberFormat="1" applyFont="1" applyFill="1" applyBorder="1"/>
    <xf numFmtId="169" fontId="4" fillId="4" borderId="0" xfId="13" applyNumberFormat="1" applyFont="1" applyFill="1" applyBorder="1"/>
    <xf numFmtId="0" fontId="0" fillId="0" borderId="0" xfId="0" applyFont="1" applyFill="1" applyBorder="1"/>
    <xf numFmtId="0" fontId="0" fillId="0" borderId="0" xfId="0" applyFont="1" applyBorder="1"/>
    <xf numFmtId="0" fontId="12" fillId="0" borderId="0" xfId="0" applyFont="1" applyFill="1" applyBorder="1" applyAlignment="1"/>
    <xf numFmtId="0" fontId="0" fillId="0" borderId="0" xfId="0" applyFont="1" applyFill="1" applyBorder="1" applyAlignment="1"/>
    <xf numFmtId="0" fontId="18" fillId="2" borderId="20" xfId="0" applyFont="1" applyFill="1" applyBorder="1" applyAlignment="1">
      <alignment horizontal="center" vertical="center"/>
    </xf>
    <xf numFmtId="0" fontId="18" fillId="2" borderId="13" xfId="0" applyFont="1" applyFill="1" applyBorder="1" applyAlignment="1">
      <alignment horizontal="center" vertical="center"/>
    </xf>
    <xf numFmtId="0" fontId="18" fillId="2" borderId="21" xfId="0" applyFont="1" applyFill="1" applyBorder="1" applyAlignment="1">
      <alignment horizontal="center" vertical="center"/>
    </xf>
    <xf numFmtId="167" fontId="24" fillId="4" borderId="22" xfId="1" applyNumberFormat="1" applyFont="1" applyFill="1" applyBorder="1"/>
    <xf numFmtId="167" fontId="24" fillId="4" borderId="0" xfId="1" applyNumberFormat="1" applyFont="1" applyFill="1" applyBorder="1"/>
    <xf numFmtId="167" fontId="24" fillId="4" borderId="23" xfId="1" applyNumberFormat="1" applyFont="1" applyFill="1" applyBorder="1"/>
    <xf numFmtId="167" fontId="24" fillId="4" borderId="24" xfId="1" applyNumberFormat="1" applyFont="1" applyFill="1" applyBorder="1"/>
    <xf numFmtId="167" fontId="24" fillId="4" borderId="12" xfId="1" applyNumberFormat="1" applyFont="1" applyFill="1" applyBorder="1"/>
    <xf numFmtId="167" fontId="24" fillId="4" borderId="25" xfId="1" applyNumberFormat="1" applyFont="1" applyFill="1" applyBorder="1"/>
    <xf numFmtId="167" fontId="0" fillId="6" borderId="26" xfId="1" applyNumberFormat="1" applyFont="1" applyFill="1" applyBorder="1"/>
    <xf numFmtId="167" fontId="0" fillId="6" borderId="27" xfId="1" applyNumberFormat="1" applyFont="1" applyFill="1" applyBorder="1"/>
    <xf numFmtId="44" fontId="4" fillId="6" borderId="28" xfId="1" applyNumberFormat="1" applyFont="1" applyFill="1" applyBorder="1"/>
    <xf numFmtId="165" fontId="4" fillId="0" borderId="0" xfId="0" applyNumberFormat="1" applyFont="1"/>
    <xf numFmtId="0" fontId="6" fillId="5" borderId="2" xfId="0" applyFont="1" applyFill="1" applyBorder="1"/>
    <xf numFmtId="171" fontId="11" fillId="3" borderId="33" xfId="12" applyNumberFormat="1" applyFont="1" applyFill="1" applyBorder="1"/>
    <xf numFmtId="171" fontId="0" fillId="8" borderId="36" xfId="12" applyNumberFormat="1" applyFont="1" applyFill="1" applyBorder="1"/>
    <xf numFmtId="171" fontId="11" fillId="3" borderId="34" xfId="12" applyNumberFormat="1" applyFont="1" applyFill="1" applyBorder="1"/>
    <xf numFmtId="171" fontId="0" fillId="8" borderId="37" xfId="12" applyNumberFormat="1" applyFont="1" applyFill="1" applyBorder="1"/>
    <xf numFmtId="171" fontId="11" fillId="3" borderId="35" xfId="12" applyNumberFormat="1" applyFont="1" applyFill="1" applyBorder="1"/>
    <xf numFmtId="171" fontId="0" fillId="8" borderId="38" xfId="12" applyNumberFormat="1" applyFont="1" applyFill="1" applyBorder="1"/>
    <xf numFmtId="171" fontId="0" fillId="0" borderId="0" xfId="12" applyNumberFormat="1" applyFont="1"/>
    <xf numFmtId="171" fontId="0" fillId="0" borderId="0" xfId="12" applyNumberFormat="1" applyFont="1" applyFill="1" applyBorder="1"/>
    <xf numFmtId="172" fontId="0" fillId="8" borderId="0" xfId="12" applyNumberFormat="1" applyFont="1" applyFill="1" applyBorder="1"/>
    <xf numFmtId="0" fontId="18" fillId="2" borderId="5" xfId="0" applyFont="1" applyFill="1" applyBorder="1" applyAlignment="1"/>
    <xf numFmtId="0" fontId="18" fillId="2" borderId="0" xfId="0" applyFont="1" applyFill="1" applyBorder="1" applyAlignment="1"/>
    <xf numFmtId="171" fontId="0" fillId="8" borderId="0" xfId="12" applyNumberFormat="1" applyFont="1" applyFill="1" applyBorder="1"/>
    <xf numFmtId="173" fontId="0" fillId="8" borderId="0" xfId="12" applyNumberFormat="1" applyFont="1" applyFill="1" applyBorder="1"/>
    <xf numFmtId="171" fontId="0" fillId="8" borderId="36" xfId="12" applyNumberFormat="1" applyFont="1" applyFill="1" applyBorder="1" applyProtection="1"/>
    <xf numFmtId="171" fontId="0" fillId="8" borderId="37" xfId="12" applyNumberFormat="1" applyFont="1" applyFill="1" applyBorder="1" applyProtection="1"/>
    <xf numFmtId="171" fontId="0" fillId="8" borderId="38" xfId="12" applyNumberFormat="1" applyFont="1" applyFill="1" applyBorder="1" applyProtection="1"/>
    <xf numFmtId="0" fontId="0" fillId="2" borderId="39" xfId="0" applyFont="1" applyFill="1" applyBorder="1"/>
    <xf numFmtId="0" fontId="18" fillId="2" borderId="41" xfId="0" applyFont="1" applyFill="1" applyBorder="1" applyAlignment="1">
      <alignment horizontal="center" vertical="center"/>
    </xf>
    <xf numFmtId="0" fontId="18" fillId="2" borderId="10" xfId="0" applyFont="1" applyFill="1" applyBorder="1" applyAlignment="1">
      <alignment horizontal="left" vertical="center"/>
    </xf>
    <xf numFmtId="0" fontId="18" fillId="2" borderId="42" xfId="0" applyFont="1" applyFill="1" applyBorder="1" applyAlignment="1">
      <alignment horizontal="center" vertical="center"/>
    </xf>
    <xf numFmtId="0" fontId="18" fillId="2" borderId="43" xfId="0" applyFont="1" applyFill="1" applyBorder="1" applyAlignment="1">
      <alignment horizontal="center" vertical="center"/>
    </xf>
    <xf numFmtId="171" fontId="11" fillId="3" borderId="0" xfId="12" applyNumberFormat="1" applyFont="1" applyFill="1" applyBorder="1" applyAlignment="1" applyProtection="1">
      <alignment horizontal="right"/>
      <protection locked="0"/>
    </xf>
    <xf numFmtId="0" fontId="5" fillId="0" borderId="3" xfId="0" applyFont="1" applyBorder="1" applyAlignment="1">
      <alignment horizontal="left"/>
    </xf>
    <xf numFmtId="0" fontId="5" fillId="0" borderId="3" xfId="0" applyFont="1" applyFill="1" applyBorder="1" applyAlignment="1">
      <alignment horizontal="left"/>
    </xf>
    <xf numFmtId="0" fontId="0" fillId="0" borderId="0" xfId="0" applyAlignment="1">
      <alignment horizontal="left"/>
    </xf>
    <xf numFmtId="0" fontId="5" fillId="0" borderId="44" xfId="0" applyFont="1" applyBorder="1"/>
    <xf numFmtId="0" fontId="6" fillId="0" borderId="44" xfId="0" applyFont="1" applyBorder="1"/>
    <xf numFmtId="44" fontId="6" fillId="0" borderId="3" xfId="23" applyFont="1" applyBorder="1"/>
    <xf numFmtId="168" fontId="6" fillId="0" borderId="3" xfId="23" applyNumberFormat="1" applyFont="1" applyBorder="1"/>
    <xf numFmtId="170" fontId="6" fillId="0" borderId="3" xfId="0" applyNumberFormat="1" applyFont="1" applyBorder="1"/>
    <xf numFmtId="44" fontId="6" fillId="0" borderId="3" xfId="23" applyNumberFormat="1" applyFont="1" applyBorder="1"/>
    <xf numFmtId="0" fontId="6" fillId="0" borderId="45" xfId="0" applyFont="1" applyBorder="1"/>
    <xf numFmtId="0" fontId="18" fillId="2" borderId="17"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19" xfId="0" applyFont="1" applyFill="1" applyBorder="1" applyAlignment="1">
      <alignment horizontal="center" vertical="center"/>
    </xf>
    <xf numFmtId="0" fontId="12" fillId="0" borderId="5" xfId="0" applyFont="1" applyFill="1" applyBorder="1" applyAlignment="1">
      <alignment horizontal="left" wrapText="1"/>
    </xf>
    <xf numFmtId="0" fontId="12" fillId="0" borderId="31" xfId="0" applyFont="1" applyFill="1" applyBorder="1" applyAlignment="1">
      <alignment horizontal="left" wrapText="1"/>
    </xf>
    <xf numFmtId="0" fontId="18" fillId="2" borderId="29"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2" fillId="0" borderId="0" xfId="12" applyNumberFormat="1" applyFont="1" applyFill="1" applyBorder="1" applyAlignment="1">
      <alignment horizontal="left" vertical="top" wrapText="1"/>
    </xf>
  </cellXfs>
  <cellStyles count="24">
    <cellStyle name="Comma" xfId="12" builtinId="3"/>
    <cellStyle name="Currency" xfId="1" builtinId="4"/>
    <cellStyle name="Currency 2" xfId="23" xr:uid="{8F2E1D35-BB54-462C-B7B3-50FF59C09DE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4" builtinId="8" hidden="1"/>
    <cellStyle name="Hyperlink" xfId="16" builtinId="8" hidden="1"/>
    <cellStyle name="Hyperlink" xfId="18" builtinId="8" hidden="1"/>
    <cellStyle name="Hyperlink" xfId="20" builtinId="8" hidden="1"/>
    <cellStyle name="Neutral" xfId="22" builtinId="28"/>
    <cellStyle name="Normal" xfId="0" builtinId="0"/>
    <cellStyle name="Percent" xfId="13" builtinId="5"/>
  </cellStyles>
  <dxfs count="11">
    <dxf>
      <font>
        <b val="0"/>
        <i val="0"/>
        <strike val="0"/>
        <condense val="0"/>
        <extend val="0"/>
        <outline val="0"/>
        <shadow val="0"/>
        <u val="none"/>
        <vertAlign val="baseline"/>
        <sz val="12"/>
        <color rgb="FF000000"/>
        <name val="Calibri"/>
        <family val="2"/>
        <scheme val="minor"/>
      </font>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2"/>
        <color rgb="FF000000"/>
        <name val="Calibri"/>
        <family val="2"/>
        <scheme val="minor"/>
      </font>
      <border diagonalUp="0" diagonalDown="0">
        <left style="thin">
          <color auto="1"/>
        </left>
        <right style="thin">
          <color auto="1"/>
        </right>
        <top/>
        <bottom style="thin">
          <color auto="1"/>
        </bottom>
        <vertical/>
        <horizontal/>
      </border>
    </dxf>
    <dxf>
      <border outline="0">
        <top style="thin">
          <color auto="1"/>
        </top>
      </border>
    </dxf>
    <dxf>
      <font>
        <b val="0"/>
        <i val="0"/>
        <strike val="0"/>
        <condense val="0"/>
        <extend val="0"/>
        <outline val="0"/>
        <shadow val="0"/>
        <u val="none"/>
        <vertAlign val="baseline"/>
        <sz val="12"/>
        <color rgb="FF000000"/>
        <name val="Calibri"/>
        <family val="2"/>
        <scheme val="minor"/>
      </font>
    </dxf>
    <dxf>
      <border outline="0">
        <bottom style="thin">
          <color auto="1"/>
        </bottom>
      </border>
    </dxf>
    <dxf>
      <font>
        <b/>
        <i val="0"/>
        <strike val="0"/>
        <condense val="0"/>
        <extend val="0"/>
        <outline val="0"/>
        <shadow val="0"/>
        <u val="none"/>
        <vertAlign val="baseline"/>
        <sz val="12"/>
        <color rgb="FF000000"/>
        <name val="Calibri"/>
        <family val="2"/>
        <scheme val="minor"/>
      </font>
      <fill>
        <patternFill patternType="none">
          <fgColor indexed="64"/>
          <bgColor indexed="65"/>
        </patternFill>
      </fill>
      <alignment horizontal="left"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Concurrent Users During Weekday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373063741447302E-2"/>
          <c:y val="0.110395209580838"/>
          <c:w val="0.94154581301362295"/>
          <c:h val="0.81850723749351695"/>
        </c:manualLayout>
      </c:layout>
      <c:lineChart>
        <c:grouping val="standard"/>
        <c:varyColors val="0"/>
        <c:ser>
          <c:idx val="0"/>
          <c:order val="0"/>
          <c:tx>
            <c:strRef>
              <c:f>'Usage Pattern'!$C$4</c:f>
              <c:strCache>
                <c:ptCount val="1"/>
                <c:pt idx="0">
                  <c:v>Concurrent Users in each hour</c:v>
                </c:pt>
              </c:strCache>
            </c:strRef>
          </c:tx>
          <c:spPr>
            <a:ln w="28575" cap="rnd">
              <a:solidFill>
                <a:schemeClr val="accent1"/>
              </a:solidFill>
              <a:round/>
            </a:ln>
            <a:effectLst/>
          </c:spPr>
          <c:marker>
            <c:symbol val="none"/>
          </c:marker>
          <c:cat>
            <c:numRef>
              <c:f>'Usage Pattern'!$B$5:$B$28</c:f>
              <c:numCache>
                <c:formatCode>h:mm\ AM/PM</c:formatCode>
                <c:ptCount val="24"/>
                <c:pt idx="0">
                  <c:v>0.29166666666666669</c:v>
                </c:pt>
                <c:pt idx="1">
                  <c:v>0.33333333333333331</c:v>
                </c:pt>
                <c:pt idx="2">
                  <c:v>0.375</c:v>
                </c:pt>
                <c:pt idx="3">
                  <c:v>0.41666666666666702</c:v>
                </c:pt>
                <c:pt idx="4">
                  <c:v>0.45833333333333398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0.91666666666666596</c:v>
                </c:pt>
                <c:pt idx="16">
                  <c:v>0.95833333333333304</c:v>
                </c:pt>
                <c:pt idx="17">
                  <c:v>1</c:v>
                </c:pt>
                <c:pt idx="18">
                  <c:v>1.0416666666666701</c:v>
                </c:pt>
                <c:pt idx="19">
                  <c:v>1.0833333333333299</c:v>
                </c:pt>
                <c:pt idx="20">
                  <c:v>1.125</c:v>
                </c:pt>
                <c:pt idx="21">
                  <c:v>1.1666666666666701</c:v>
                </c:pt>
                <c:pt idx="22">
                  <c:v>1.2083333333333299</c:v>
                </c:pt>
                <c:pt idx="23">
                  <c:v>1.25</c:v>
                </c:pt>
              </c:numCache>
            </c:numRef>
          </c:cat>
          <c:val>
            <c:numRef>
              <c:f>'Usage Pattern'!$C$5:$C$28</c:f>
              <c:numCache>
                <c:formatCode>_(* #,##0_);_(* \(#,##0\);_(* "-"??_);_(@_)</c:formatCode>
                <c:ptCount val="24"/>
              </c:numCache>
            </c:numRef>
          </c:val>
          <c:smooth val="0"/>
          <c:extLst>
            <c:ext xmlns:c16="http://schemas.microsoft.com/office/drawing/2014/chart" uri="{C3380CC4-5D6E-409C-BE32-E72D297353CC}">
              <c16:uniqueId val="{00000000-F598-4928-80DC-8F2B139341C0}"/>
            </c:ext>
          </c:extLst>
        </c:ser>
        <c:dLbls>
          <c:showLegendKey val="0"/>
          <c:showVal val="0"/>
          <c:showCatName val="0"/>
          <c:showSerName val="0"/>
          <c:showPercent val="0"/>
          <c:showBubbleSize val="0"/>
        </c:dLbls>
        <c:smooth val="0"/>
        <c:axId val="582243512"/>
        <c:axId val="582253704"/>
      </c:lineChart>
      <c:catAx>
        <c:axId val="582243512"/>
        <c:scaling>
          <c:orientation val="minMax"/>
        </c:scaling>
        <c:delete val="0"/>
        <c:axPos val="b"/>
        <c:numFmt formatCode="h:mm\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53704"/>
        <c:crosses val="autoZero"/>
        <c:auto val="1"/>
        <c:lblAlgn val="ctr"/>
        <c:lblOffset val="100"/>
        <c:noMultiLvlLbl val="0"/>
      </c:catAx>
      <c:valAx>
        <c:axId val="5822537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43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Concurrent Users During Weekend Hours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'Usage Pattern'!$C$34</c:f>
              <c:strCache>
                <c:ptCount val="1"/>
                <c:pt idx="0">
                  <c:v>Concurrent Users in each hour</c:v>
                </c:pt>
              </c:strCache>
            </c:strRef>
          </c:tx>
          <c:spPr>
            <a:ln w="28575" cap="rnd">
              <a:solidFill>
                <a:schemeClr val="accent1"/>
              </a:solidFill>
              <a:round/>
            </a:ln>
            <a:effectLst/>
          </c:spPr>
          <c:marker>
            <c:symbol val="none"/>
          </c:marker>
          <c:cat>
            <c:numRef>
              <c:f>'Usage Pattern'!$B$35:$B$58</c:f>
              <c:numCache>
                <c:formatCode>h:mm\ AM/PM</c:formatCode>
                <c:ptCount val="24"/>
                <c:pt idx="0">
                  <c:v>0.29166666666666669</c:v>
                </c:pt>
                <c:pt idx="1">
                  <c:v>0.33333333333333331</c:v>
                </c:pt>
                <c:pt idx="2">
                  <c:v>0.375</c:v>
                </c:pt>
                <c:pt idx="3">
                  <c:v>0.41666666666666702</c:v>
                </c:pt>
                <c:pt idx="4">
                  <c:v>0.45833333333333398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0.91666666666666596</c:v>
                </c:pt>
                <c:pt idx="16">
                  <c:v>0.95833333333333304</c:v>
                </c:pt>
                <c:pt idx="17">
                  <c:v>1</c:v>
                </c:pt>
                <c:pt idx="18">
                  <c:v>1.0416666666666701</c:v>
                </c:pt>
                <c:pt idx="19">
                  <c:v>1.0833333333333299</c:v>
                </c:pt>
                <c:pt idx="20">
                  <c:v>1.125</c:v>
                </c:pt>
                <c:pt idx="21">
                  <c:v>1.1666666666666701</c:v>
                </c:pt>
                <c:pt idx="22">
                  <c:v>1.2083333333333299</c:v>
                </c:pt>
                <c:pt idx="23">
                  <c:v>1.25</c:v>
                </c:pt>
              </c:numCache>
            </c:numRef>
          </c:cat>
          <c:val>
            <c:numRef>
              <c:f>'Usage Pattern'!$C$35:$C$58</c:f>
              <c:numCache>
                <c:formatCode>_(* #,##0_);_(* \(#,##0\);_(* "-"??_);_(@_)</c:formatCode>
                <c:ptCount val="24"/>
              </c:numCache>
            </c:numRef>
          </c:val>
          <c:smooth val="0"/>
          <c:extLst>
            <c:ext xmlns:c16="http://schemas.microsoft.com/office/drawing/2014/chart" uri="{C3380CC4-5D6E-409C-BE32-E72D297353CC}">
              <c16:uniqueId val="{00000000-7C0F-40D2-89BB-ECEAA8B31827}"/>
            </c:ext>
          </c:extLst>
        </c:ser>
        <c:dLbls>
          <c:showLegendKey val="0"/>
          <c:showVal val="0"/>
          <c:showCatName val="0"/>
          <c:showSerName val="0"/>
          <c:showPercent val="0"/>
          <c:showBubbleSize val="0"/>
        </c:dLbls>
        <c:smooth val="0"/>
        <c:axId val="582251744"/>
        <c:axId val="582252136"/>
      </c:lineChart>
      <c:catAx>
        <c:axId val="582251744"/>
        <c:scaling>
          <c:orientation val="minMax"/>
        </c:scaling>
        <c:delete val="0"/>
        <c:axPos val="b"/>
        <c:numFmt formatCode="h:mm\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52136"/>
        <c:crosses val="autoZero"/>
        <c:auto val="1"/>
        <c:lblAlgn val="ctr"/>
        <c:lblOffset val="100"/>
        <c:noMultiLvlLbl val="0"/>
      </c:catAx>
      <c:valAx>
        <c:axId val="5822521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251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155574</xdr:colOff>
      <xdr:row>3</xdr:row>
      <xdr:rowOff>0</xdr:rowOff>
    </xdr:from>
    <xdr:to>
      <xdr:col>13</xdr:col>
      <xdr:colOff>838199</xdr:colOff>
      <xdr:row>28</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155574</xdr:colOff>
      <xdr:row>33</xdr:row>
      <xdr:rowOff>3175</xdr:rowOff>
    </xdr:from>
    <xdr:to>
      <xdr:col>14</xdr:col>
      <xdr:colOff>0</xdr:colOff>
      <xdr:row>58</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New-Amazon-AppStream-2.0-Pricing-Too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Estimator"/>
      <sheetName val="Usage Pattern"/>
      <sheetName val="AWS Region-Instance"/>
      <sheetName val="AWS Region-Instance Pricing"/>
      <sheetName val="Constants"/>
    </sheetNames>
    <sheetDataSet>
      <sheetData sheetId="0">
        <row r="7">
          <cell r="B7" t="str">
            <v>US West (Oregon)</v>
          </cell>
        </row>
        <row r="8">
          <cell r="B8" t="str">
            <v>standard.large</v>
          </cell>
        </row>
        <row r="11">
          <cell r="B11" t="str">
            <v>Commercial license included</v>
          </cell>
        </row>
        <row r="12">
          <cell r="B12">
            <v>0.1</v>
          </cell>
        </row>
        <row r="15">
          <cell r="B15">
            <v>4.1900000000000004</v>
          </cell>
        </row>
        <row r="16">
          <cell r="B16">
            <v>0.2</v>
          </cell>
        </row>
        <row r="17">
          <cell r="B17">
            <v>2.5000000000000001E-2</v>
          </cell>
        </row>
        <row r="19">
          <cell r="B19">
            <v>216.5</v>
          </cell>
          <cell r="C19">
            <v>21.65</v>
          </cell>
        </row>
        <row r="20">
          <cell r="B20">
            <v>0</v>
          </cell>
          <cell r="C20">
            <v>0</v>
          </cell>
        </row>
      </sheetData>
      <sheetData sheetId="1">
        <row r="29">
          <cell r="C29">
            <v>10</v>
          </cell>
          <cell r="D29">
            <v>1</v>
          </cell>
        </row>
        <row r="59">
          <cell r="C59">
            <v>0</v>
          </cell>
          <cell r="D59">
            <v>0</v>
          </cell>
        </row>
      </sheetData>
      <sheetData sheetId="2">
        <row r="1">
          <cell r="A1" t="str">
            <v>US East (N. Virginia)</v>
          </cell>
        </row>
      </sheetData>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DF2902-25BE-4EAC-821D-BA1944D27E83}" name="AWSRegionInstance" displayName="AWSRegionInstance" ref="A1:I33" totalsRowShown="0" headerRowDxfId="10" dataDxfId="8" headerRowBorderDxfId="9" tableBorderDxfId="7">
  <autoFilter ref="A1:I33" xr:uid="{C95ABEEB-EBDB-4A4D-BF62-77C7029D8A0E}"/>
  <tableColumns count="9">
    <tableColumn id="1" xr3:uid="{EE23ECFE-87C3-4CD9-8AF1-2BD10264ED6C}" name="US East (N. Virginia)" dataDxfId="6"/>
    <tableColumn id="2" xr3:uid="{3902D900-90F3-43AE-8DE5-C8958D638F51}" name="US West (Oregon)" dataDxfId="5"/>
    <tableColumn id="3" xr3:uid="{FC797C44-EFDB-4D33-92AE-A7596659AABA}" name="EU (Frankfurt)" dataDxfId="4"/>
    <tableColumn id="4" xr3:uid="{33810204-0E19-489F-AC38-4410B7F40720}" name="EU (Ireland)" dataDxfId="3"/>
    <tableColumn id="5" xr3:uid="{380743E4-1933-4125-8A59-2A27912403F3}" name="Asia Pacific (Tokyo)" dataDxfId="2"/>
    <tableColumn id="6" xr3:uid="{5F629530-88BB-4628-A244-B1573B93E54F}" name="Asia Pacific (Singapore)" dataDxfId="1"/>
    <tableColumn id="7" xr3:uid="{CA399F83-6B31-44DF-8EE1-62C436849D5E}" name="Asia Pacific (Sydney)" dataDxfId="0"/>
    <tableColumn id="8" xr3:uid="{0DA3248C-4A5E-4671-8A4F-D7369AE490FB}" name="Asia Pacific (Seoul)"/>
    <tableColumn id="9" xr3:uid="{8CEDE013-2F71-40B9-971B-82E379249C73}" name="AWS GovCloud (US-Wes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2"/>
  <sheetViews>
    <sheetView tabSelected="1" zoomScaleNormal="100" zoomScalePageLayoutView="97" workbookViewId="0">
      <selection activeCell="D25" sqref="D25"/>
    </sheetView>
  </sheetViews>
  <sheetFormatPr defaultColWidth="15.109375" defaultRowHeight="15.7" outlineLevelRow="1"/>
  <cols>
    <col min="1" max="1" width="52.109375" style="38" customWidth="1"/>
    <col min="2" max="5" width="25.5" style="38" customWidth="1"/>
    <col min="6" max="7" width="28.609375" style="38" customWidth="1"/>
    <col min="8" max="8" width="24.609375" style="38" customWidth="1"/>
    <col min="9" max="9" width="21.5" style="38" bestFit="1" customWidth="1"/>
    <col min="10" max="16384" width="15.109375" style="38"/>
  </cols>
  <sheetData>
    <row r="1" spans="1:10" ht="20.7">
      <c r="A1" s="22" t="s">
        <v>129</v>
      </c>
      <c r="B1" s="37"/>
      <c r="C1" s="37"/>
    </row>
    <row r="2" spans="1:10">
      <c r="A2" s="39" t="s">
        <v>150</v>
      </c>
      <c r="B2" s="24"/>
    </row>
    <row r="3" spans="1:10" ht="51" customHeight="1">
      <c r="A3" s="125" t="s">
        <v>130</v>
      </c>
      <c r="B3" s="125"/>
      <c r="C3" s="125"/>
    </row>
    <row r="4" spans="1:10">
      <c r="A4" s="40" t="s">
        <v>113</v>
      </c>
    </row>
    <row r="5" spans="1:10" ht="16" thickBot="1">
      <c r="A5" s="41" t="s">
        <v>81</v>
      </c>
      <c r="B5" s="42"/>
      <c r="C5" s="42"/>
      <c r="G5" s="42"/>
      <c r="H5" s="42"/>
      <c r="I5" s="42"/>
      <c r="J5" s="42"/>
    </row>
    <row r="6" spans="1:10" ht="16" thickBot="1">
      <c r="A6" s="43" t="s">
        <v>23</v>
      </c>
      <c r="B6" s="44"/>
      <c r="C6" s="44"/>
      <c r="G6" s="13"/>
      <c r="H6" s="42"/>
      <c r="I6" s="42"/>
      <c r="J6" s="42"/>
    </row>
    <row r="7" spans="1:10" ht="16" thickBot="1">
      <c r="A7" s="45" t="s">
        <v>92</v>
      </c>
      <c r="B7" s="107">
        <v>5000</v>
      </c>
      <c r="C7" s="24" t="s">
        <v>94</v>
      </c>
      <c r="G7" s="13"/>
      <c r="H7" s="42"/>
      <c r="I7" s="42"/>
      <c r="J7" s="42"/>
    </row>
    <row r="8" spans="1:10" ht="16" thickBot="1">
      <c r="A8" s="43" t="s">
        <v>100</v>
      </c>
      <c r="B8" s="95"/>
      <c r="C8" s="44"/>
      <c r="G8" s="13"/>
      <c r="H8" s="42"/>
      <c r="I8" s="42"/>
      <c r="J8" s="42"/>
    </row>
    <row r="9" spans="1:10">
      <c r="A9" s="45" t="s">
        <v>96</v>
      </c>
      <c r="B9" s="97">
        <v>132</v>
      </c>
      <c r="C9" s="121" t="s">
        <v>93</v>
      </c>
      <c r="G9" s="13"/>
      <c r="H9" s="42"/>
      <c r="I9" s="42"/>
      <c r="J9" s="42"/>
    </row>
    <row r="10" spans="1:10" ht="16" thickBot="1">
      <c r="A10" s="46" t="s">
        <v>107</v>
      </c>
      <c r="B10" s="97">
        <v>24</v>
      </c>
      <c r="C10" s="122"/>
      <c r="G10" s="42"/>
      <c r="H10" s="42"/>
      <c r="I10" s="42"/>
      <c r="J10" s="42"/>
    </row>
    <row r="11" spans="1:10">
      <c r="A11" s="47" t="s">
        <v>20</v>
      </c>
      <c r="B11" s="96"/>
      <c r="C11" s="48"/>
    </row>
    <row r="12" spans="1:10" ht="60.95" customHeight="1">
      <c r="A12" s="45" t="s">
        <v>106</v>
      </c>
      <c r="B12" s="49" t="s">
        <v>57</v>
      </c>
      <c r="C12" s="50" t="s">
        <v>95</v>
      </c>
    </row>
    <row r="13" spans="1:10">
      <c r="A13" s="45" t="s">
        <v>98</v>
      </c>
      <c r="B13" s="94">
        <f ca="1">VLOOKUP(instance_type,AWS_Region_Instance_Pricing,MATCH(region,AWS_Region_Listing,0)+1,FALSE)</f>
        <v>0.25</v>
      </c>
      <c r="C13" s="50"/>
    </row>
    <row r="14" spans="1:10">
      <c r="A14" s="45" t="s">
        <v>99</v>
      </c>
      <c r="B14" s="98">
        <f ca="1">IF(instance_price_streaming="N/A","N/A",VLOOKUP("StoppedInstanceFee",AWS_Region_Instance_Pricing,MATCH(region,AWS_Region_Listing,0)+1,FALSE))</f>
        <v>2.5000000000000001E-2</v>
      </c>
      <c r="C14" s="50"/>
    </row>
    <row r="15" spans="1:10" ht="16" thickBot="1">
      <c r="A15" s="51" t="s">
        <v>29</v>
      </c>
      <c r="B15" s="52"/>
      <c r="C15" s="52"/>
      <c r="G15" s="53"/>
    </row>
    <row r="16" spans="1:10">
      <c r="A16" s="46" t="s">
        <v>30</v>
      </c>
      <c r="B16" s="54" t="s">
        <v>116</v>
      </c>
      <c r="C16" s="55"/>
    </row>
    <row r="17" spans="1:12" ht="18" customHeight="1">
      <c r="A17" s="46" t="s">
        <v>111</v>
      </c>
      <c r="B17" s="54" t="s">
        <v>51</v>
      </c>
      <c r="C17" s="55"/>
    </row>
    <row r="18" spans="1:12" ht="18" customHeight="1">
      <c r="A18" s="45" t="s">
        <v>112</v>
      </c>
      <c r="B18" s="94">
        <f>VLOOKUP(license_model,User_Fees_License_Types,2,FALSE)</f>
        <v>0.44</v>
      </c>
      <c r="C18" s="55"/>
    </row>
    <row r="19" spans="1:12" ht="129" customHeight="1" thickBot="1">
      <c r="A19" s="56" t="s">
        <v>125</v>
      </c>
      <c r="B19" s="57">
        <v>1</v>
      </c>
      <c r="C19" s="125" t="s">
        <v>126</v>
      </c>
      <c r="D19" s="125"/>
    </row>
    <row r="20" spans="1:12" ht="16" thickBot="1">
      <c r="A20" s="102"/>
      <c r="B20" s="123" t="s">
        <v>21</v>
      </c>
      <c r="C20" s="124"/>
      <c r="G20" s="59"/>
      <c r="H20" s="13"/>
      <c r="I20" s="42"/>
      <c r="J20" s="42"/>
    </row>
    <row r="21" spans="1:12">
      <c r="A21" s="60" t="s">
        <v>50</v>
      </c>
      <c r="B21" s="61" t="s">
        <v>45</v>
      </c>
      <c r="C21" s="103" t="s">
        <v>90</v>
      </c>
      <c r="G21" s="59"/>
      <c r="H21" s="13"/>
      <c r="I21" s="42"/>
      <c r="J21" s="42"/>
    </row>
    <row r="22" spans="1:12" ht="16" thickBot="1">
      <c r="A22" s="104"/>
      <c r="B22" s="105" t="s">
        <v>49</v>
      </c>
      <c r="C22" s="106" t="s">
        <v>49</v>
      </c>
      <c r="G22" s="59"/>
      <c r="H22" s="13"/>
      <c r="I22" s="42"/>
      <c r="J22" s="42"/>
    </row>
    <row r="23" spans="1:12">
      <c r="A23" s="46" t="s">
        <v>102</v>
      </c>
      <c r="B23" s="62">
        <f ca="1">monthly_weekday_hours/fleet_utilization*instance_price_streaming</f>
        <v>33</v>
      </c>
      <c r="C23" s="62">
        <f t="shared" ref="C23:C27" ca="1" si="0">E36</f>
        <v>33</v>
      </c>
      <c r="G23" s="42"/>
      <c r="H23" s="13"/>
      <c r="I23" s="42"/>
      <c r="J23" s="42"/>
    </row>
    <row r="24" spans="1:12">
      <c r="A24" s="46" t="s">
        <v>103</v>
      </c>
      <c r="B24" s="62">
        <f ca="1">monthly_weekend_hours*instance_price_streaming/fleet_utilization</f>
        <v>6</v>
      </c>
      <c r="C24" s="62">
        <f t="shared" ca="1" si="0"/>
        <v>6</v>
      </c>
      <c r="G24" s="42"/>
      <c r="H24" s="13"/>
      <c r="I24" s="42"/>
      <c r="J24" s="42"/>
    </row>
    <row r="25" spans="1:12" ht="16" thickBot="1">
      <c r="A25" s="63" t="s">
        <v>104</v>
      </c>
      <c r="B25" s="64">
        <f>sal_fee*total_users</f>
        <v>2200</v>
      </c>
      <c r="C25" s="64">
        <f t="shared" si="0"/>
        <v>2200</v>
      </c>
      <c r="D25" s="24"/>
      <c r="G25" s="42"/>
      <c r="H25" s="42"/>
      <c r="I25" s="42"/>
      <c r="J25" s="42"/>
    </row>
    <row r="26" spans="1:12" ht="16" thickTop="1">
      <c r="A26" s="46" t="s">
        <v>105</v>
      </c>
      <c r="B26" s="62">
        <f ca="1">SUM(B23:B25)</f>
        <v>2239</v>
      </c>
      <c r="C26" s="62">
        <f t="shared" ca="1" si="0"/>
        <v>2239</v>
      </c>
      <c r="G26" s="42"/>
      <c r="H26" s="13"/>
      <c r="I26" s="42"/>
      <c r="J26" s="42"/>
    </row>
    <row r="27" spans="1:12">
      <c r="A27" s="46" t="s">
        <v>108</v>
      </c>
      <c r="B27" s="62">
        <f ca="1">12*B26</f>
        <v>26868</v>
      </c>
      <c r="C27" s="62">
        <f t="shared" ca="1" si="0"/>
        <v>26868</v>
      </c>
      <c r="G27" s="42"/>
      <c r="H27" s="42"/>
      <c r="I27" s="42"/>
      <c r="J27" s="42"/>
    </row>
    <row r="28" spans="1:12" ht="16" thickBot="1">
      <c r="A28" s="65" t="s">
        <v>109</v>
      </c>
      <c r="B28" s="66">
        <f ca="1">IF(total_users&lt;&gt;0,B26/total_users,0)</f>
        <v>0.44779999999999998</v>
      </c>
      <c r="C28" s="66">
        <f ca="1">E41</f>
        <v>0.44779999999999998</v>
      </c>
      <c r="G28" s="42"/>
      <c r="H28" s="13"/>
      <c r="I28" s="42"/>
      <c r="J28" s="42"/>
    </row>
    <row r="29" spans="1:12">
      <c r="A29" s="42"/>
      <c r="B29" s="42"/>
      <c r="C29" s="42"/>
      <c r="D29" s="42"/>
      <c r="G29" s="42"/>
      <c r="H29" s="42"/>
      <c r="I29" s="42"/>
      <c r="J29" s="42"/>
    </row>
    <row r="30" spans="1:12" s="69" customFormat="1" ht="17.100000000000001" customHeight="1">
      <c r="A30" s="16" t="s">
        <v>89</v>
      </c>
      <c r="B30" s="67">
        <f ca="1">IF(B28&lt;&gt;0,(B28-E41)/B28,0)</f>
        <v>0</v>
      </c>
      <c r="C30" s="68"/>
      <c r="D30" s="68"/>
      <c r="E30" s="38"/>
      <c r="F30" s="38"/>
      <c r="G30" s="68"/>
      <c r="H30" s="16"/>
      <c r="I30" s="68"/>
      <c r="J30" s="68"/>
    </row>
    <row r="31" spans="1:12" ht="17.100000000000001" customHeight="1">
      <c r="A31" s="70" t="s">
        <v>101</v>
      </c>
      <c r="B31" s="71"/>
      <c r="C31" s="71"/>
      <c r="D31" s="71"/>
      <c r="G31" s="42"/>
      <c r="H31" s="42"/>
      <c r="I31" s="42"/>
      <c r="J31" s="42"/>
    </row>
    <row r="32" spans="1:12">
      <c r="G32" s="42"/>
      <c r="H32" s="42"/>
      <c r="I32" s="42"/>
      <c r="J32" s="42"/>
      <c r="K32" s="42"/>
      <c r="L32" s="42"/>
    </row>
    <row r="33" spans="1:12">
      <c r="G33" s="42"/>
      <c r="H33" s="42"/>
      <c r="I33" s="42"/>
      <c r="J33" s="13"/>
      <c r="K33" s="42"/>
      <c r="L33" s="42"/>
    </row>
    <row r="34" spans="1:12" hidden="1" outlineLevel="1">
      <c r="A34" s="23" t="s">
        <v>91</v>
      </c>
      <c r="B34" s="21"/>
      <c r="C34" s="118" t="s">
        <v>46</v>
      </c>
      <c r="D34" s="119"/>
      <c r="E34" s="120"/>
      <c r="G34" s="42"/>
      <c r="H34" s="42"/>
      <c r="I34" s="42"/>
      <c r="J34" s="42"/>
      <c r="K34" s="42"/>
      <c r="L34" s="42"/>
    </row>
    <row r="35" spans="1:12" hidden="1" outlineLevel="1">
      <c r="A35" s="58"/>
      <c r="B35" s="21"/>
      <c r="C35" s="72" t="s">
        <v>47</v>
      </c>
      <c r="D35" s="73" t="s">
        <v>48</v>
      </c>
      <c r="E35" s="74" t="s">
        <v>49</v>
      </c>
      <c r="G35" s="42"/>
      <c r="H35" s="42"/>
      <c r="I35" s="42"/>
      <c r="J35" s="42"/>
      <c r="K35" s="42"/>
      <c r="L35" s="42"/>
    </row>
    <row r="36" spans="1:12" hidden="1" outlineLevel="1">
      <c r="A36" s="46" t="s">
        <v>87</v>
      </c>
      <c r="B36" s="21"/>
      <c r="C36" s="75">
        <f ca="1">monthly_weekday_hours*instance_price_streaming</f>
        <v>33</v>
      </c>
      <c r="D36" s="76">
        <f ca="1">(monthly_weekday_hours/fleet_utilization)*(1-fleet_utilization)*instance_price_stopped</f>
        <v>0</v>
      </c>
      <c r="E36" s="77">
        <f ca="1">C36+D36</f>
        <v>33</v>
      </c>
      <c r="G36" s="42"/>
      <c r="H36" s="42"/>
      <c r="I36" s="42"/>
      <c r="J36" s="42"/>
      <c r="K36" s="42"/>
      <c r="L36" s="42"/>
    </row>
    <row r="37" spans="1:12" hidden="1" outlineLevel="1">
      <c r="A37" s="46" t="s">
        <v>88</v>
      </c>
      <c r="B37" s="21"/>
      <c r="C37" s="75">
        <f ca="1">monthly_weekend_hours*instance_price_streaming</f>
        <v>6</v>
      </c>
      <c r="D37" s="76">
        <f ca="1">(monthly_weekend_hours/fleet_utilization)*(1-fleet_utilization)*instance_price_stopped</f>
        <v>0</v>
      </c>
      <c r="E37" s="77">
        <f ca="1">C37+D37</f>
        <v>6</v>
      </c>
    </row>
    <row r="38" spans="1:12" ht="16" hidden="1" outlineLevel="1" thickBot="1">
      <c r="A38" s="63" t="s">
        <v>33</v>
      </c>
      <c r="B38" s="21"/>
      <c r="C38" s="78"/>
      <c r="D38" s="79">
        <v>0</v>
      </c>
      <c r="E38" s="80">
        <f>sal_fee*total_users</f>
        <v>2200</v>
      </c>
    </row>
    <row r="39" spans="1:12" ht="16" hidden="1" outlineLevel="1" thickTop="1">
      <c r="A39" s="46" t="s">
        <v>31</v>
      </c>
      <c r="B39" s="21"/>
      <c r="C39" s="75"/>
      <c r="D39" s="76"/>
      <c r="E39" s="77">
        <f ca="1">SUM(E36:E38)</f>
        <v>2239</v>
      </c>
    </row>
    <row r="40" spans="1:12" hidden="1" outlineLevel="1">
      <c r="A40" s="46" t="s">
        <v>32</v>
      </c>
      <c r="B40" s="21"/>
      <c r="C40" s="75"/>
      <c r="D40" s="76"/>
      <c r="E40" s="77">
        <f ca="1">12*E39</f>
        <v>26868</v>
      </c>
    </row>
    <row r="41" spans="1:12" ht="16" hidden="1" outlineLevel="1" thickBot="1">
      <c r="A41" s="65" t="s">
        <v>80</v>
      </c>
      <c r="B41" s="21"/>
      <c r="C41" s="81"/>
      <c r="D41" s="82"/>
      <c r="E41" s="83">
        <f ca="1">IF(total_users&lt;&gt;0,E39/total_users,0)</f>
        <v>0.44779999999999998</v>
      </c>
    </row>
    <row r="42" spans="1:12" collapsed="1"/>
  </sheetData>
  <mergeCells count="5">
    <mergeCell ref="C34:E34"/>
    <mergeCell ref="C9:C10"/>
    <mergeCell ref="B20:C20"/>
    <mergeCell ref="C19:D19"/>
    <mergeCell ref="A3:C3"/>
  </mergeCells>
  <dataValidations count="5">
    <dataValidation operator="lessThanOrEqual" allowBlank="1" showInputMessage="1" showErrorMessage="1" errorTitle="Invalid Input" error="Value must be less than or equal to 24 hours" sqref="B9" xr:uid="{00000000-0002-0000-0000-000000000000}"/>
    <dataValidation type="decimal" allowBlank="1" showInputMessage="1" showErrorMessage="1" errorTitle="Value not between 0 and 1" promptTitle="Enter a value between 1 and 100" sqref="B19" xr:uid="{00000000-0002-0000-0000-000001000000}">
      <formula1>0</formula1>
      <formula2>1</formula2>
    </dataValidation>
    <dataValidation allowBlank="1" showInputMessage="1" errorTitle="Read Only" sqref="B13:B14" xr:uid="{00000000-0002-0000-0000-000002000000}"/>
    <dataValidation type="list" allowBlank="1" showInputMessage="1" errorTitle="Read Only" sqref="B12" xr:uid="{00000000-0002-0000-0000-000003000000}">
      <formula1>Instances_For_Selected_AWS_Region</formula1>
    </dataValidation>
    <dataValidation type="list" allowBlank="1" showInputMessage="1" showErrorMessage="1" sqref="B16" xr:uid="{00000000-0002-0000-0000-000006000000}">
      <formula1>AWS_Region_Listing</formula1>
    </dataValidation>
  </dataValidations>
  <pageMargins left="0.7" right="0.7" top="0.75" bottom="0.75" header="0.3" footer="0.3"/>
  <pageSetup scale="72" orientation="landscape"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Lookup!$X$3:$X$5</xm:f>
          </x14:formula1>
          <xm:sqref>B17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59"/>
  <sheetViews>
    <sheetView workbookViewId="0"/>
  </sheetViews>
  <sheetFormatPr defaultColWidth="11" defaultRowHeight="15.7"/>
  <cols>
    <col min="3" max="3" width="28.88671875" customWidth="1"/>
    <col min="4" max="4" width="19.609375" bestFit="1" customWidth="1"/>
  </cols>
  <sheetData>
    <row r="1" spans="1:4" ht="28.35">
      <c r="A1" s="26" t="s">
        <v>82</v>
      </c>
    </row>
    <row r="3" spans="1:4">
      <c r="A3" s="20" t="s">
        <v>85</v>
      </c>
    </row>
    <row r="4" spans="1:4" ht="16" thickBot="1">
      <c r="A4" s="20" t="s">
        <v>83</v>
      </c>
      <c r="B4" s="20" t="s">
        <v>84</v>
      </c>
      <c r="C4" s="25" t="s">
        <v>97</v>
      </c>
      <c r="D4" s="16" t="s">
        <v>124</v>
      </c>
    </row>
    <row r="5" spans="1:4">
      <c r="A5" s="19">
        <v>0.25</v>
      </c>
      <c r="B5" s="19">
        <v>0.29166666666666669</v>
      </c>
      <c r="C5" s="86"/>
      <c r="D5" s="99">
        <f t="shared" ref="D5:D28" si="0">$C5/fleet_utilization</f>
        <v>0</v>
      </c>
    </row>
    <row r="6" spans="1:4">
      <c r="A6" s="19">
        <v>0.29166666666666669</v>
      </c>
      <c r="B6" s="19">
        <v>0.33333333333333331</v>
      </c>
      <c r="C6" s="88"/>
      <c r="D6" s="100">
        <f t="shared" si="0"/>
        <v>0</v>
      </c>
    </row>
    <row r="7" spans="1:4">
      <c r="A7" s="19">
        <v>0.33333333333333331</v>
      </c>
      <c r="B7" s="19">
        <v>0.375</v>
      </c>
      <c r="C7" s="88"/>
      <c r="D7" s="100">
        <f t="shared" si="0"/>
        <v>0</v>
      </c>
    </row>
    <row r="8" spans="1:4">
      <c r="A8" s="19">
        <v>0.375</v>
      </c>
      <c r="B8" s="19">
        <v>0.41666666666666702</v>
      </c>
      <c r="C8" s="88"/>
      <c r="D8" s="100">
        <f t="shared" si="0"/>
        <v>0</v>
      </c>
    </row>
    <row r="9" spans="1:4">
      <c r="A9" s="19">
        <v>0.41666666666666702</v>
      </c>
      <c r="B9" s="19">
        <v>0.45833333333333398</v>
      </c>
      <c r="C9" s="88"/>
      <c r="D9" s="100">
        <f t="shared" si="0"/>
        <v>0</v>
      </c>
    </row>
    <row r="10" spans="1:4">
      <c r="A10" s="19">
        <v>0.45833333333333298</v>
      </c>
      <c r="B10" s="19">
        <v>0.5</v>
      </c>
      <c r="C10" s="88"/>
      <c r="D10" s="100">
        <f t="shared" si="0"/>
        <v>0</v>
      </c>
    </row>
    <row r="11" spans="1:4">
      <c r="A11" s="19">
        <v>0.5</v>
      </c>
      <c r="B11" s="19">
        <v>0.54166666666666696</v>
      </c>
      <c r="C11" s="88"/>
      <c r="D11" s="100">
        <f t="shared" si="0"/>
        <v>0</v>
      </c>
    </row>
    <row r="12" spans="1:4">
      <c r="A12" s="19">
        <v>0.54166666666666696</v>
      </c>
      <c r="B12" s="19">
        <v>0.58333333333333304</v>
      </c>
      <c r="C12" s="88"/>
      <c r="D12" s="100">
        <f t="shared" si="0"/>
        <v>0</v>
      </c>
    </row>
    <row r="13" spans="1:4">
      <c r="A13" s="19">
        <v>0.58333333333333304</v>
      </c>
      <c r="B13" s="19">
        <v>0.625</v>
      </c>
      <c r="C13" s="88"/>
      <c r="D13" s="100">
        <f t="shared" si="0"/>
        <v>0</v>
      </c>
    </row>
    <row r="14" spans="1:4">
      <c r="A14" s="19">
        <v>0.625</v>
      </c>
      <c r="B14" s="19">
        <v>0.66666666666666696</v>
      </c>
      <c r="C14" s="88"/>
      <c r="D14" s="100">
        <f t="shared" si="0"/>
        <v>0</v>
      </c>
    </row>
    <row r="15" spans="1:4">
      <c r="A15" s="19">
        <v>0.66666666666666696</v>
      </c>
      <c r="B15" s="19">
        <v>0.70833333333333304</v>
      </c>
      <c r="C15" s="88"/>
      <c r="D15" s="100">
        <f t="shared" si="0"/>
        <v>0</v>
      </c>
    </row>
    <row r="16" spans="1:4">
      <c r="A16" s="19">
        <v>0.70833333333333404</v>
      </c>
      <c r="B16" s="19">
        <v>0.75</v>
      </c>
      <c r="C16" s="88"/>
      <c r="D16" s="100">
        <f t="shared" si="0"/>
        <v>0</v>
      </c>
    </row>
    <row r="17" spans="1:4">
      <c r="A17" s="19">
        <v>0.75</v>
      </c>
      <c r="B17" s="19">
        <v>0.79166666666666696</v>
      </c>
      <c r="C17" s="88"/>
      <c r="D17" s="100">
        <f t="shared" si="0"/>
        <v>0</v>
      </c>
    </row>
    <row r="18" spans="1:4">
      <c r="A18" s="19">
        <v>0.79166666666666696</v>
      </c>
      <c r="B18" s="19">
        <v>0.83333333333333304</v>
      </c>
      <c r="C18" s="88"/>
      <c r="D18" s="100">
        <f t="shared" si="0"/>
        <v>0</v>
      </c>
    </row>
    <row r="19" spans="1:4">
      <c r="A19" s="19">
        <v>0.83333333333333404</v>
      </c>
      <c r="B19" s="19">
        <v>0.875</v>
      </c>
      <c r="C19" s="88"/>
      <c r="D19" s="100">
        <f t="shared" si="0"/>
        <v>0</v>
      </c>
    </row>
    <row r="20" spans="1:4">
      <c r="A20" s="19">
        <v>0.875</v>
      </c>
      <c r="B20" s="19">
        <v>0.91666666666666596</v>
      </c>
      <c r="C20" s="88"/>
      <c r="D20" s="100">
        <f t="shared" si="0"/>
        <v>0</v>
      </c>
    </row>
    <row r="21" spans="1:4">
      <c r="A21" s="19">
        <v>0.91666666666666696</v>
      </c>
      <c r="B21" s="19">
        <v>0.95833333333333304</v>
      </c>
      <c r="C21" s="88"/>
      <c r="D21" s="100">
        <f t="shared" si="0"/>
        <v>0</v>
      </c>
    </row>
    <row r="22" spans="1:4">
      <c r="A22" s="19">
        <v>0.95833333333333404</v>
      </c>
      <c r="B22" s="19">
        <v>1</v>
      </c>
      <c r="C22" s="88"/>
      <c r="D22" s="100">
        <f t="shared" si="0"/>
        <v>0</v>
      </c>
    </row>
    <row r="23" spans="1:4">
      <c r="A23" s="19">
        <v>1</v>
      </c>
      <c r="B23" s="19">
        <v>1.0416666666666701</v>
      </c>
      <c r="C23" s="88"/>
      <c r="D23" s="100">
        <f t="shared" si="0"/>
        <v>0</v>
      </c>
    </row>
    <row r="24" spans="1:4">
      <c r="A24" s="19">
        <v>1.0416666666666701</v>
      </c>
      <c r="B24" s="19">
        <v>1.0833333333333299</v>
      </c>
      <c r="C24" s="88"/>
      <c r="D24" s="100">
        <f t="shared" si="0"/>
        <v>0</v>
      </c>
    </row>
    <row r="25" spans="1:4">
      <c r="A25" s="19">
        <v>1.0833333333333299</v>
      </c>
      <c r="B25" s="19">
        <v>1.125</v>
      </c>
      <c r="C25" s="88"/>
      <c r="D25" s="100">
        <f t="shared" si="0"/>
        <v>0</v>
      </c>
    </row>
    <row r="26" spans="1:4">
      <c r="A26" s="19">
        <v>1.125</v>
      </c>
      <c r="B26" s="19">
        <v>1.1666666666666701</v>
      </c>
      <c r="C26" s="88"/>
      <c r="D26" s="100">
        <f t="shared" si="0"/>
        <v>0</v>
      </c>
    </row>
    <row r="27" spans="1:4">
      <c r="A27" s="19">
        <v>1.1666666666666701</v>
      </c>
      <c r="B27" s="19">
        <v>1.2083333333333299</v>
      </c>
      <c r="C27" s="88"/>
      <c r="D27" s="100">
        <f t="shared" si="0"/>
        <v>0</v>
      </c>
    </row>
    <row r="28" spans="1:4" ht="16" thickBot="1">
      <c r="A28" s="19">
        <v>1.2083333333333299</v>
      </c>
      <c r="B28" s="19">
        <v>1.25</v>
      </c>
      <c r="C28" s="90"/>
      <c r="D28" s="101">
        <f t="shared" si="0"/>
        <v>0</v>
      </c>
    </row>
    <row r="29" spans="1:4">
      <c r="A29" s="20" t="s">
        <v>128</v>
      </c>
      <c r="C29" s="92">
        <f>SUM(C5:C28)</f>
        <v>0</v>
      </c>
      <c r="D29" s="93">
        <f>SUM(D5:D28)</f>
        <v>0</v>
      </c>
    </row>
    <row r="33" spans="1:4">
      <c r="A33" s="20" t="s">
        <v>86</v>
      </c>
    </row>
    <row r="34" spans="1:4" ht="16" thickBot="1">
      <c r="A34" s="20" t="s">
        <v>83</v>
      </c>
      <c r="B34" s="20" t="s">
        <v>84</v>
      </c>
      <c r="C34" s="25" t="s">
        <v>97</v>
      </c>
      <c r="D34" s="16" t="s">
        <v>124</v>
      </c>
    </row>
    <row r="35" spans="1:4">
      <c r="A35" s="19">
        <v>0.25</v>
      </c>
      <c r="B35" s="19">
        <v>0.29166666666666669</v>
      </c>
      <c r="C35" s="86"/>
      <c r="D35" s="87">
        <f t="shared" ref="D35:D58" si="1">$C35/fleet_utilization</f>
        <v>0</v>
      </c>
    </row>
    <row r="36" spans="1:4">
      <c r="A36" s="19">
        <v>0.29166666666666669</v>
      </c>
      <c r="B36" s="19">
        <v>0.33333333333333331</v>
      </c>
      <c r="C36" s="88"/>
      <c r="D36" s="89">
        <f t="shared" si="1"/>
        <v>0</v>
      </c>
    </row>
    <row r="37" spans="1:4">
      <c r="A37" s="19">
        <v>0.33333333333333331</v>
      </c>
      <c r="B37" s="19">
        <v>0.375</v>
      </c>
      <c r="C37" s="88"/>
      <c r="D37" s="89">
        <f t="shared" si="1"/>
        <v>0</v>
      </c>
    </row>
    <row r="38" spans="1:4">
      <c r="A38" s="19">
        <v>0.375</v>
      </c>
      <c r="B38" s="19">
        <v>0.41666666666666702</v>
      </c>
      <c r="C38" s="88"/>
      <c r="D38" s="89">
        <f t="shared" si="1"/>
        <v>0</v>
      </c>
    </row>
    <row r="39" spans="1:4">
      <c r="A39" s="19">
        <v>0.41666666666666702</v>
      </c>
      <c r="B39" s="19">
        <v>0.45833333333333398</v>
      </c>
      <c r="C39" s="88"/>
      <c r="D39" s="89">
        <f t="shared" si="1"/>
        <v>0</v>
      </c>
    </row>
    <row r="40" spans="1:4">
      <c r="A40" s="19">
        <v>0.45833333333333298</v>
      </c>
      <c r="B40" s="19">
        <v>0.5</v>
      </c>
      <c r="C40" s="88"/>
      <c r="D40" s="89">
        <f t="shared" si="1"/>
        <v>0</v>
      </c>
    </row>
    <row r="41" spans="1:4">
      <c r="A41" s="19">
        <v>0.5</v>
      </c>
      <c r="B41" s="19">
        <v>0.54166666666666696</v>
      </c>
      <c r="C41" s="88"/>
      <c r="D41" s="89">
        <f t="shared" si="1"/>
        <v>0</v>
      </c>
    </row>
    <row r="42" spans="1:4">
      <c r="A42" s="19">
        <v>0.54166666666666696</v>
      </c>
      <c r="B42" s="19">
        <v>0.58333333333333304</v>
      </c>
      <c r="C42" s="88"/>
      <c r="D42" s="89">
        <f t="shared" si="1"/>
        <v>0</v>
      </c>
    </row>
    <row r="43" spans="1:4">
      <c r="A43" s="19">
        <v>0.58333333333333304</v>
      </c>
      <c r="B43" s="19">
        <v>0.625</v>
      </c>
      <c r="C43" s="88"/>
      <c r="D43" s="89">
        <f t="shared" si="1"/>
        <v>0</v>
      </c>
    </row>
    <row r="44" spans="1:4">
      <c r="A44" s="19">
        <v>0.625</v>
      </c>
      <c r="B44" s="19">
        <v>0.66666666666666696</v>
      </c>
      <c r="C44" s="88"/>
      <c r="D44" s="89">
        <f t="shared" si="1"/>
        <v>0</v>
      </c>
    </row>
    <row r="45" spans="1:4">
      <c r="A45" s="19">
        <v>0.66666666666666696</v>
      </c>
      <c r="B45" s="19">
        <v>0.70833333333333304</v>
      </c>
      <c r="C45" s="88"/>
      <c r="D45" s="89">
        <f t="shared" si="1"/>
        <v>0</v>
      </c>
    </row>
    <row r="46" spans="1:4">
      <c r="A46" s="19">
        <v>0.70833333333333404</v>
      </c>
      <c r="B46" s="19">
        <v>0.75</v>
      </c>
      <c r="C46" s="88"/>
      <c r="D46" s="89">
        <f t="shared" si="1"/>
        <v>0</v>
      </c>
    </row>
    <row r="47" spans="1:4">
      <c r="A47" s="19">
        <v>0.75</v>
      </c>
      <c r="B47" s="19">
        <v>0.79166666666666696</v>
      </c>
      <c r="C47" s="88"/>
      <c r="D47" s="89">
        <f t="shared" si="1"/>
        <v>0</v>
      </c>
    </row>
    <row r="48" spans="1:4">
      <c r="A48" s="19">
        <v>0.79166666666666696</v>
      </c>
      <c r="B48" s="19">
        <v>0.83333333333333304</v>
      </c>
      <c r="C48" s="88"/>
      <c r="D48" s="89">
        <f t="shared" si="1"/>
        <v>0</v>
      </c>
    </row>
    <row r="49" spans="1:4">
      <c r="A49" s="19">
        <v>0.83333333333333404</v>
      </c>
      <c r="B49" s="19">
        <v>0.875</v>
      </c>
      <c r="C49" s="88"/>
      <c r="D49" s="89">
        <f t="shared" si="1"/>
        <v>0</v>
      </c>
    </row>
    <row r="50" spans="1:4">
      <c r="A50" s="19">
        <v>0.875</v>
      </c>
      <c r="B50" s="19">
        <v>0.91666666666666596</v>
      </c>
      <c r="C50" s="88"/>
      <c r="D50" s="89">
        <f t="shared" si="1"/>
        <v>0</v>
      </c>
    </row>
    <row r="51" spans="1:4">
      <c r="A51" s="19">
        <v>0.91666666666666696</v>
      </c>
      <c r="B51" s="19">
        <v>0.95833333333333304</v>
      </c>
      <c r="C51" s="88"/>
      <c r="D51" s="89">
        <f t="shared" si="1"/>
        <v>0</v>
      </c>
    </row>
    <row r="52" spans="1:4">
      <c r="A52" s="19">
        <v>0.95833333333333404</v>
      </c>
      <c r="B52" s="19">
        <v>1</v>
      </c>
      <c r="C52" s="88"/>
      <c r="D52" s="89">
        <f t="shared" si="1"/>
        <v>0</v>
      </c>
    </row>
    <row r="53" spans="1:4">
      <c r="A53" s="19">
        <v>1</v>
      </c>
      <c r="B53" s="19">
        <v>1.0416666666666701</v>
      </c>
      <c r="C53" s="88"/>
      <c r="D53" s="89">
        <f t="shared" si="1"/>
        <v>0</v>
      </c>
    </row>
    <row r="54" spans="1:4">
      <c r="A54" s="19">
        <v>1.0416666666666701</v>
      </c>
      <c r="B54" s="19">
        <v>1.0833333333333299</v>
      </c>
      <c r="C54" s="88"/>
      <c r="D54" s="89">
        <f t="shared" si="1"/>
        <v>0</v>
      </c>
    </row>
    <row r="55" spans="1:4">
      <c r="A55" s="19">
        <v>1.0833333333333299</v>
      </c>
      <c r="B55" s="19">
        <v>1.125</v>
      </c>
      <c r="C55" s="88"/>
      <c r="D55" s="89">
        <f t="shared" si="1"/>
        <v>0</v>
      </c>
    </row>
    <row r="56" spans="1:4">
      <c r="A56" s="19">
        <v>1.125</v>
      </c>
      <c r="B56" s="19">
        <v>1.1666666666666701</v>
      </c>
      <c r="C56" s="88"/>
      <c r="D56" s="89">
        <f t="shared" si="1"/>
        <v>0</v>
      </c>
    </row>
    <row r="57" spans="1:4">
      <c r="A57" s="19">
        <v>1.1666666666666701</v>
      </c>
      <c r="B57" s="19">
        <v>1.2083333333333299</v>
      </c>
      <c r="C57" s="88"/>
      <c r="D57" s="89">
        <f t="shared" si="1"/>
        <v>0</v>
      </c>
    </row>
    <row r="58" spans="1:4" ht="16" thickBot="1">
      <c r="A58" s="19">
        <v>1.2083333333333299</v>
      </c>
      <c r="B58" s="19">
        <v>1.25</v>
      </c>
      <c r="C58" s="90"/>
      <c r="D58" s="91">
        <f t="shared" si="1"/>
        <v>0</v>
      </c>
    </row>
    <row r="59" spans="1:4">
      <c r="A59" s="20" t="s">
        <v>127</v>
      </c>
      <c r="C59" s="92">
        <f>SUM(C35:C58)</f>
        <v>0</v>
      </c>
      <c r="D59" s="92">
        <f>SUM(D35:D58)</f>
        <v>0</v>
      </c>
    </row>
  </sheetData>
  <pageMargins left="0.25" right="0.25" top="0.75" bottom="0.75" header="0.3" footer="0.3"/>
  <pageSetup scale="54"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73"/>
  <sheetViews>
    <sheetView workbookViewId="0"/>
  </sheetViews>
  <sheetFormatPr defaultColWidth="52.109375" defaultRowHeight="15.7"/>
  <cols>
    <col min="1" max="1" width="27.38671875" bestFit="1" customWidth="1"/>
    <col min="2" max="2" width="18.109375" bestFit="1" customWidth="1"/>
    <col min="3" max="3" width="5.5" customWidth="1"/>
    <col min="4" max="4" width="12.609375" customWidth="1"/>
    <col min="5" max="6" width="18" customWidth="1"/>
    <col min="7" max="7" width="16.21875" customWidth="1"/>
    <col min="8" max="8" width="13.21875" customWidth="1"/>
    <col min="9" max="9" width="13.88671875" customWidth="1"/>
    <col min="10" max="10" width="17.609375" customWidth="1"/>
    <col min="11" max="11" width="21" style="12" customWidth="1"/>
    <col min="12" max="12" width="18.609375" style="12" customWidth="1"/>
    <col min="13" max="13" width="18.609375" style="12" bestFit="1" customWidth="1"/>
    <col min="14" max="14" width="15.38671875" customWidth="1"/>
    <col min="15" max="15" width="52.5" bestFit="1" customWidth="1"/>
    <col min="16" max="16" width="6.109375" bestFit="1" customWidth="1"/>
    <col min="18" max="18" width="28.5" bestFit="1" customWidth="1"/>
    <col min="19" max="19" width="29.609375" bestFit="1" customWidth="1"/>
    <col min="20" max="20" width="30.609375" bestFit="1" customWidth="1"/>
    <col min="21" max="21" width="29" customWidth="1"/>
    <col min="22" max="22" width="51.109375" bestFit="1" customWidth="1"/>
    <col min="23" max="23" width="45.609375" bestFit="1" customWidth="1"/>
    <col min="24" max="24" width="14.5" bestFit="1" customWidth="1"/>
    <col min="25" max="25" width="22.109375" customWidth="1"/>
    <col min="26" max="26" width="3.109375" bestFit="1" customWidth="1"/>
    <col min="27" max="27" width="9" bestFit="1" customWidth="1"/>
    <col min="28" max="28" width="4.609375" bestFit="1" customWidth="1"/>
    <col min="29" max="29" width="3.109375" bestFit="1" customWidth="1"/>
    <col min="30" max="31" width="2.109375" bestFit="1" customWidth="1"/>
  </cols>
  <sheetData>
    <row r="1" spans="1:32">
      <c r="A1" s="1" t="s">
        <v>2</v>
      </c>
      <c r="B1" s="2"/>
      <c r="C1" s="2"/>
      <c r="D1" s="2"/>
      <c r="E1" s="2"/>
      <c r="F1" s="2"/>
      <c r="G1" s="2"/>
      <c r="H1" s="2"/>
      <c r="I1" s="2"/>
      <c r="J1" s="2"/>
      <c r="K1" s="29"/>
      <c r="L1" s="29"/>
      <c r="M1" s="29"/>
    </row>
    <row r="2" spans="1:32">
      <c r="A2" s="3" t="s">
        <v>131</v>
      </c>
      <c r="B2" s="3" t="s">
        <v>3</v>
      </c>
      <c r="C2" s="3" t="s">
        <v>4</v>
      </c>
      <c r="D2" s="3" t="s">
        <v>5</v>
      </c>
      <c r="E2" s="4" t="s">
        <v>6</v>
      </c>
      <c r="F2" s="3" t="s">
        <v>116</v>
      </c>
      <c r="G2" s="3" t="s">
        <v>117</v>
      </c>
      <c r="H2" s="31" t="s">
        <v>118</v>
      </c>
      <c r="I2" s="31" t="s">
        <v>119</v>
      </c>
      <c r="J2" s="31" t="s">
        <v>120</v>
      </c>
      <c r="K2" s="31" t="s">
        <v>121</v>
      </c>
      <c r="L2" s="33" t="s">
        <v>122</v>
      </c>
      <c r="M2" s="33" t="s">
        <v>123</v>
      </c>
      <c r="O2" s="1" t="s">
        <v>9</v>
      </c>
      <c r="P2" s="2"/>
      <c r="Q2" s="2"/>
    </row>
    <row r="3" spans="1:32">
      <c r="A3" s="18" t="s">
        <v>78</v>
      </c>
      <c r="B3" s="6" t="s">
        <v>7</v>
      </c>
      <c r="C3" s="6">
        <v>2</v>
      </c>
      <c r="D3" s="6">
        <v>4</v>
      </c>
      <c r="E3" s="6" t="s">
        <v>8</v>
      </c>
      <c r="F3" s="7">
        <v>0.1</v>
      </c>
      <c r="G3" s="7">
        <v>0.1</v>
      </c>
      <c r="H3" s="30">
        <v>0.12</v>
      </c>
      <c r="I3" s="7">
        <v>0.11</v>
      </c>
      <c r="J3" s="7">
        <v>0.12</v>
      </c>
      <c r="K3" s="30">
        <v>0.12</v>
      </c>
      <c r="L3" s="30">
        <v>0.13600000000000001</v>
      </c>
      <c r="M3" s="30">
        <v>0.12</v>
      </c>
      <c r="O3" s="2" t="s">
        <v>10</v>
      </c>
      <c r="P3" s="8">
        <v>4.1900000000000004</v>
      </c>
      <c r="Q3" s="8"/>
      <c r="X3" t="s">
        <v>52</v>
      </c>
      <c r="Y3" s="27" t="s">
        <v>116</v>
      </c>
      <c r="Z3">
        <v>6</v>
      </c>
      <c r="AA3" s="11">
        <v>0</v>
      </c>
      <c r="AB3" s="10">
        <v>4.1666666666666664E-2</v>
      </c>
      <c r="AC3">
        <v>1</v>
      </c>
      <c r="AD3">
        <v>1</v>
      </c>
      <c r="AE3">
        <f>IF(AC3&lt;'Price Estimator'!$B$9,Lookup!AC3,"")</f>
        <v>1</v>
      </c>
      <c r="AF3" t="s">
        <v>42</v>
      </c>
    </row>
    <row r="4" spans="1:32">
      <c r="A4" s="5" t="s">
        <v>56</v>
      </c>
      <c r="B4" s="6" t="s">
        <v>7</v>
      </c>
      <c r="C4" s="6">
        <v>2</v>
      </c>
      <c r="D4" s="6">
        <v>8</v>
      </c>
      <c r="E4" s="6" t="s">
        <v>8</v>
      </c>
      <c r="F4" s="7">
        <v>0.2</v>
      </c>
      <c r="G4" s="7">
        <v>0.2</v>
      </c>
      <c r="H4" s="30">
        <v>0.24</v>
      </c>
      <c r="I4" s="7">
        <v>0.22</v>
      </c>
      <c r="J4" s="7">
        <v>0.24</v>
      </c>
      <c r="K4" s="30">
        <v>0.24</v>
      </c>
      <c r="L4" s="30">
        <v>0.27200000000000002</v>
      </c>
      <c r="M4" s="30">
        <v>0.24</v>
      </c>
      <c r="O4" s="2" t="s">
        <v>11</v>
      </c>
      <c r="P4" s="2"/>
      <c r="Q4" s="2"/>
      <c r="X4" t="s">
        <v>51</v>
      </c>
      <c r="Y4" s="27" t="s">
        <v>117</v>
      </c>
      <c r="Z4">
        <v>7</v>
      </c>
      <c r="AA4" s="11">
        <f>AA3+$AB$3</f>
        <v>4.1666666666666664E-2</v>
      </c>
      <c r="AC4">
        <f>AC3+1</f>
        <v>2</v>
      </c>
      <c r="AD4">
        <v>2</v>
      </c>
      <c r="AE4">
        <f>IF(AC4&lt;'Price Estimator'!$B$9,Lookup!AC4,"")</f>
        <v>2</v>
      </c>
      <c r="AF4" t="s">
        <v>43</v>
      </c>
    </row>
    <row r="5" spans="1:32">
      <c r="A5" s="36" t="s">
        <v>57</v>
      </c>
      <c r="B5" s="6" t="s">
        <v>0</v>
      </c>
      <c r="C5" s="6">
        <v>2</v>
      </c>
      <c r="D5" s="6">
        <v>3.75</v>
      </c>
      <c r="E5" s="6" t="s">
        <v>8</v>
      </c>
      <c r="F5" s="7">
        <v>0.25</v>
      </c>
      <c r="G5" s="7">
        <v>0.25</v>
      </c>
      <c r="H5" s="30">
        <v>0.3</v>
      </c>
      <c r="I5" s="7">
        <v>0.28000000000000003</v>
      </c>
      <c r="J5" s="7">
        <v>0.3</v>
      </c>
      <c r="K5" s="30">
        <v>0.33</v>
      </c>
      <c r="L5" s="30">
        <v>0.35</v>
      </c>
      <c r="M5" s="30">
        <v>0.3</v>
      </c>
      <c r="X5" t="s">
        <v>22</v>
      </c>
      <c r="Y5" s="27" t="s">
        <v>118</v>
      </c>
      <c r="Z5">
        <v>8</v>
      </c>
      <c r="AA5" s="11">
        <f t="shared" ref="AA5:AA26" si="0">AA4+$AB$3</f>
        <v>8.3333333333333329E-2</v>
      </c>
      <c r="AC5">
        <f t="shared" ref="AC5:AC26" si="1">AC4+1</f>
        <v>3</v>
      </c>
      <c r="AD5">
        <v>3</v>
      </c>
      <c r="AE5">
        <f>IF(AC5&lt;'Price Estimator'!$B$9,Lookup!AC5,"")</f>
        <v>3</v>
      </c>
    </row>
    <row r="6" spans="1:32">
      <c r="A6" s="5" t="s">
        <v>58</v>
      </c>
      <c r="B6" s="6" t="s">
        <v>0</v>
      </c>
      <c r="C6" s="6">
        <v>4</v>
      </c>
      <c r="D6" s="6">
        <v>7.5</v>
      </c>
      <c r="E6" s="6" t="s">
        <v>8</v>
      </c>
      <c r="F6" s="7">
        <v>0.5</v>
      </c>
      <c r="G6" s="7">
        <v>0.5</v>
      </c>
      <c r="H6" s="30">
        <v>0.6</v>
      </c>
      <c r="I6" s="7">
        <v>0.55000000000000004</v>
      </c>
      <c r="J6" s="7">
        <v>0.6</v>
      </c>
      <c r="K6" s="30">
        <v>0.66</v>
      </c>
      <c r="L6" s="30">
        <v>0.7</v>
      </c>
      <c r="M6" s="30">
        <v>0.6</v>
      </c>
      <c r="O6" t="s">
        <v>53</v>
      </c>
      <c r="P6" s="17">
        <v>0.44</v>
      </c>
      <c r="Y6" s="27" t="s">
        <v>119</v>
      </c>
      <c r="Z6">
        <v>9</v>
      </c>
      <c r="AA6" s="11">
        <f t="shared" si="0"/>
        <v>0.125</v>
      </c>
      <c r="AC6">
        <f t="shared" si="1"/>
        <v>4</v>
      </c>
      <c r="AD6">
        <v>4</v>
      </c>
      <c r="AE6">
        <f>IF(AC6&lt;'Price Estimator'!$B$9,Lookup!AC6,"")</f>
        <v>4</v>
      </c>
    </row>
    <row r="7" spans="1:32">
      <c r="A7" s="5" t="s">
        <v>59</v>
      </c>
      <c r="B7" s="6" t="s">
        <v>0</v>
      </c>
      <c r="C7" s="6">
        <v>8</v>
      </c>
      <c r="D7" s="6">
        <v>15</v>
      </c>
      <c r="E7" s="6" t="s">
        <v>8</v>
      </c>
      <c r="F7" s="7">
        <v>1</v>
      </c>
      <c r="G7" s="7">
        <v>1</v>
      </c>
      <c r="H7" s="30">
        <v>1.2</v>
      </c>
      <c r="I7" s="7">
        <v>1.1000000000000001</v>
      </c>
      <c r="J7" s="7">
        <v>1.2</v>
      </c>
      <c r="K7" s="30">
        <v>1.32</v>
      </c>
      <c r="L7" s="30">
        <v>1.4</v>
      </c>
      <c r="M7" s="30">
        <v>1.2</v>
      </c>
      <c r="Y7" s="27" t="s">
        <v>120</v>
      </c>
      <c r="Z7">
        <v>10</v>
      </c>
      <c r="AA7" s="11">
        <f t="shared" si="0"/>
        <v>0.16666666666666666</v>
      </c>
      <c r="AC7">
        <f t="shared" si="1"/>
        <v>5</v>
      </c>
      <c r="AD7">
        <v>5</v>
      </c>
      <c r="AE7">
        <f>IF(AC7&lt;'Price Estimator'!$B$9,Lookup!AC7,"")</f>
        <v>5</v>
      </c>
    </row>
    <row r="8" spans="1:32">
      <c r="A8" s="5" t="s">
        <v>60</v>
      </c>
      <c r="B8" s="6" t="s">
        <v>0</v>
      </c>
      <c r="C8" s="6">
        <v>16</v>
      </c>
      <c r="D8" s="6">
        <v>30</v>
      </c>
      <c r="E8" s="6" t="s">
        <v>8</v>
      </c>
      <c r="F8" s="7">
        <v>2</v>
      </c>
      <c r="G8" s="7">
        <v>2</v>
      </c>
      <c r="H8" s="30">
        <v>2.4</v>
      </c>
      <c r="I8" s="7">
        <v>2.2000000000000002</v>
      </c>
      <c r="J8" s="7">
        <v>2.4</v>
      </c>
      <c r="K8" s="30">
        <v>2.64</v>
      </c>
      <c r="L8" s="30">
        <v>2.8</v>
      </c>
      <c r="M8" s="30">
        <v>2.4</v>
      </c>
      <c r="Y8" s="28" t="s">
        <v>121</v>
      </c>
      <c r="Z8">
        <v>11</v>
      </c>
      <c r="AA8" s="11">
        <f t="shared" si="0"/>
        <v>0.20833333333333331</v>
      </c>
      <c r="AC8">
        <f t="shared" si="1"/>
        <v>6</v>
      </c>
      <c r="AD8">
        <v>6</v>
      </c>
      <c r="AE8">
        <f>IF(AC8&lt;'Price Estimator'!$B$9,Lookup!AC8,"")</f>
        <v>6</v>
      </c>
    </row>
    <row r="9" spans="1:32">
      <c r="A9" s="5" t="s">
        <v>61</v>
      </c>
      <c r="B9" s="6" t="s">
        <v>0</v>
      </c>
      <c r="C9" s="6">
        <v>32</v>
      </c>
      <c r="D9" s="6">
        <v>60</v>
      </c>
      <c r="E9" s="6" t="s">
        <v>8</v>
      </c>
      <c r="F9" s="7">
        <v>4</v>
      </c>
      <c r="G9" s="7">
        <v>4</v>
      </c>
      <c r="H9" s="30">
        <v>4.8</v>
      </c>
      <c r="I9" s="7">
        <v>4.4000000000000004</v>
      </c>
      <c r="J9" s="7">
        <v>4.8</v>
      </c>
      <c r="K9" s="30">
        <v>5.28</v>
      </c>
      <c r="L9" s="30">
        <v>5.6</v>
      </c>
      <c r="M9" s="30">
        <v>4.8</v>
      </c>
      <c r="O9" t="s">
        <v>52</v>
      </c>
      <c r="P9" s="8">
        <v>4.1900000000000004</v>
      </c>
      <c r="Y9" s="28" t="s">
        <v>122</v>
      </c>
      <c r="Z9">
        <v>12</v>
      </c>
      <c r="AA9" s="11">
        <f t="shared" si="0"/>
        <v>0.24999999999999997</v>
      </c>
      <c r="AC9">
        <f t="shared" si="1"/>
        <v>7</v>
      </c>
      <c r="AD9">
        <v>7</v>
      </c>
      <c r="AE9">
        <f>IF(AC9&lt;'Price Estimator'!$B$9,Lookup!AC9,"")</f>
        <v>7</v>
      </c>
    </row>
    <row r="10" spans="1:32">
      <c r="A10" s="5" t="s">
        <v>62</v>
      </c>
      <c r="B10" s="6" t="s">
        <v>1</v>
      </c>
      <c r="C10" s="6">
        <v>2</v>
      </c>
      <c r="D10" s="35">
        <v>15.25</v>
      </c>
      <c r="E10" s="6" t="s">
        <v>8</v>
      </c>
      <c r="F10" s="7">
        <v>0.25</v>
      </c>
      <c r="G10" s="7">
        <v>0.25</v>
      </c>
      <c r="H10" s="30">
        <v>0.34</v>
      </c>
      <c r="I10" s="7">
        <v>0.28000000000000003</v>
      </c>
      <c r="J10" s="7">
        <v>0.3</v>
      </c>
      <c r="K10" s="30">
        <v>0.34</v>
      </c>
      <c r="L10" s="30">
        <v>0.35</v>
      </c>
      <c r="M10" s="30">
        <v>0.3</v>
      </c>
      <c r="O10" t="s">
        <v>51</v>
      </c>
      <c r="P10" s="17">
        <v>0.44</v>
      </c>
      <c r="Y10" s="28" t="s">
        <v>123</v>
      </c>
      <c r="Z10">
        <v>13</v>
      </c>
      <c r="AA10" s="11">
        <f t="shared" si="0"/>
        <v>0.29166666666666663</v>
      </c>
      <c r="AC10">
        <f t="shared" si="1"/>
        <v>8</v>
      </c>
      <c r="AE10">
        <f>IF(AC10&lt;'Price Estimator'!$B$9,Lookup!AC10,"")</f>
        <v>8</v>
      </c>
    </row>
    <row r="11" spans="1:32">
      <c r="A11" s="5" t="s">
        <v>63</v>
      </c>
      <c r="B11" s="6" t="s">
        <v>1</v>
      </c>
      <c r="C11" s="6">
        <v>4</v>
      </c>
      <c r="D11" s="6">
        <v>30.5</v>
      </c>
      <c r="E11" s="6" t="s">
        <v>8</v>
      </c>
      <c r="F11" s="7">
        <v>0.5</v>
      </c>
      <c r="G11" s="7">
        <v>0.5</v>
      </c>
      <c r="H11" s="30">
        <v>0.68</v>
      </c>
      <c r="I11" s="7">
        <v>0.55000000000000004</v>
      </c>
      <c r="J11" s="7">
        <v>0.6</v>
      </c>
      <c r="K11" s="30">
        <v>0.68</v>
      </c>
      <c r="L11" s="30">
        <v>0.7</v>
      </c>
      <c r="M11" s="30">
        <v>0.6</v>
      </c>
      <c r="O11" t="s">
        <v>22</v>
      </c>
      <c r="P11">
        <v>0</v>
      </c>
      <c r="AA11" s="11">
        <f t="shared" si="0"/>
        <v>0.33333333333333331</v>
      </c>
      <c r="AC11">
        <f t="shared" si="1"/>
        <v>9</v>
      </c>
      <c r="AE11">
        <f>IF(AC11&lt;'Price Estimator'!$B$9,Lookup!AC11,"")</f>
        <v>9</v>
      </c>
    </row>
    <row r="12" spans="1:32">
      <c r="A12" s="5" t="s">
        <v>64</v>
      </c>
      <c r="B12" s="6" t="s">
        <v>1</v>
      </c>
      <c r="C12" s="6">
        <v>8</v>
      </c>
      <c r="D12" s="6">
        <v>61</v>
      </c>
      <c r="E12" s="6" t="s">
        <v>8</v>
      </c>
      <c r="F12" s="7">
        <v>1</v>
      </c>
      <c r="G12" s="7">
        <v>1</v>
      </c>
      <c r="H12" s="30">
        <v>1.36</v>
      </c>
      <c r="I12" s="7">
        <v>1.1000000000000001</v>
      </c>
      <c r="J12" s="7">
        <v>1.2</v>
      </c>
      <c r="K12" s="30">
        <v>1.36</v>
      </c>
      <c r="L12" s="30">
        <v>1.4</v>
      </c>
      <c r="M12" s="30">
        <v>1.2</v>
      </c>
      <c r="R12" t="s">
        <v>24</v>
      </c>
      <c r="S12" t="s">
        <v>25</v>
      </c>
      <c r="T12" t="s">
        <v>26</v>
      </c>
      <c r="U12" t="s">
        <v>36</v>
      </c>
      <c r="V12" t="s">
        <v>37</v>
      </c>
      <c r="W12" t="s">
        <v>41</v>
      </c>
      <c r="AA12" s="11">
        <f t="shared" si="0"/>
        <v>0.375</v>
      </c>
      <c r="AC12">
        <f t="shared" si="1"/>
        <v>10</v>
      </c>
      <c r="AE12">
        <f>IF(AC12&lt;'Price Estimator'!$B$9,Lookup!AC12,"")</f>
        <v>10</v>
      </c>
    </row>
    <row r="13" spans="1:32">
      <c r="A13" s="5" t="s">
        <v>65</v>
      </c>
      <c r="B13" s="6" t="s">
        <v>1</v>
      </c>
      <c r="C13" s="6">
        <v>16</v>
      </c>
      <c r="D13" s="6">
        <v>122</v>
      </c>
      <c r="E13" s="6" t="s">
        <v>8</v>
      </c>
      <c r="F13" s="7">
        <v>2</v>
      </c>
      <c r="G13" s="7">
        <v>2</v>
      </c>
      <c r="H13" s="30">
        <v>2.72</v>
      </c>
      <c r="I13" s="7">
        <v>2.2000000000000002</v>
      </c>
      <c r="J13" s="7">
        <v>2.4</v>
      </c>
      <c r="K13" s="30">
        <v>2.72</v>
      </c>
      <c r="L13" s="30">
        <v>2.8</v>
      </c>
      <c r="M13" s="30">
        <v>2.4</v>
      </c>
      <c r="R13" t="s">
        <v>12</v>
      </c>
      <c r="S13" t="s">
        <v>12</v>
      </c>
      <c r="T13" t="s">
        <v>12</v>
      </c>
      <c r="U13" t="s">
        <v>15</v>
      </c>
      <c r="V13" t="s">
        <v>16</v>
      </c>
      <c r="W13" t="s">
        <v>13</v>
      </c>
      <c r="AA13" s="11">
        <f t="shared" si="0"/>
        <v>0.41666666666666669</v>
      </c>
      <c r="AC13">
        <f t="shared" si="1"/>
        <v>11</v>
      </c>
      <c r="AE13">
        <f>IF(AC13&lt;'Price Estimator'!$B$9,Lookup!AC13,"")</f>
        <v>11</v>
      </c>
    </row>
    <row r="14" spans="1:32">
      <c r="A14" s="5" t="s">
        <v>66</v>
      </c>
      <c r="B14" s="6" t="s">
        <v>1</v>
      </c>
      <c r="C14" s="6">
        <v>32</v>
      </c>
      <c r="D14" s="6">
        <v>244</v>
      </c>
      <c r="E14" s="6" t="s">
        <v>8</v>
      </c>
      <c r="F14" s="7">
        <v>4</v>
      </c>
      <c r="G14" s="7">
        <v>4</v>
      </c>
      <c r="H14" s="30">
        <v>5.44</v>
      </c>
      <c r="I14" s="7">
        <v>4.4000000000000004</v>
      </c>
      <c r="J14" s="7">
        <v>4.8</v>
      </c>
      <c r="K14" s="30">
        <v>5.44</v>
      </c>
      <c r="L14" s="30">
        <v>5.6</v>
      </c>
      <c r="M14" s="30">
        <v>4.8</v>
      </c>
      <c r="R14" t="s">
        <v>13</v>
      </c>
      <c r="S14" t="s">
        <v>13</v>
      </c>
      <c r="T14" t="s">
        <v>13</v>
      </c>
      <c r="V14" t="s">
        <v>17</v>
      </c>
      <c r="W14" t="s">
        <v>14</v>
      </c>
      <c r="AA14" s="11">
        <f t="shared" si="0"/>
        <v>0.45833333333333337</v>
      </c>
      <c r="AC14">
        <f t="shared" si="1"/>
        <v>12</v>
      </c>
      <c r="AE14">
        <f>IF(AC14&lt;'Price Estimator'!$B$9,Lookup!AC14,"")</f>
        <v>12</v>
      </c>
    </row>
    <row r="15" spans="1:32">
      <c r="A15" s="18" t="s">
        <v>79</v>
      </c>
      <c r="B15" s="6" t="s">
        <v>40</v>
      </c>
      <c r="C15" s="6">
        <v>2</v>
      </c>
      <c r="D15" s="6">
        <v>7.5</v>
      </c>
      <c r="E15" s="6">
        <v>1</v>
      </c>
      <c r="F15" s="14">
        <v>0.25</v>
      </c>
      <c r="G15" s="14">
        <f>1*F15</f>
        <v>0.25</v>
      </c>
      <c r="H15" s="30">
        <v>0.32</v>
      </c>
      <c r="I15" s="14">
        <f>1.1*G15</f>
        <v>0.27500000000000002</v>
      </c>
      <c r="J15" s="14">
        <f>1.2*G15</f>
        <v>0.3</v>
      </c>
      <c r="K15" s="30">
        <v>0.33</v>
      </c>
      <c r="L15" s="30">
        <v>0.38500000000000001</v>
      </c>
      <c r="M15" s="30" t="s">
        <v>110</v>
      </c>
      <c r="AA15" s="11">
        <f>AA22+$AB$3</f>
        <v>0.66666666666666652</v>
      </c>
      <c r="AC15">
        <f>AC22+1</f>
        <v>17</v>
      </c>
      <c r="AE15">
        <f>IF(AC15&lt;'Price Estimator'!$B$9,Lookup!AC15,"")</f>
        <v>17</v>
      </c>
    </row>
    <row r="16" spans="1:32">
      <c r="A16" s="5" t="s">
        <v>71</v>
      </c>
      <c r="B16" s="6" t="s">
        <v>40</v>
      </c>
      <c r="C16" s="6">
        <v>4</v>
      </c>
      <c r="D16" s="6">
        <v>15.3</v>
      </c>
      <c r="E16" s="6">
        <v>2</v>
      </c>
      <c r="F16" s="14">
        <f>F15*2</f>
        <v>0.5</v>
      </c>
      <c r="G16" s="14">
        <f>1*F16</f>
        <v>0.5</v>
      </c>
      <c r="H16" s="30">
        <v>0.64</v>
      </c>
      <c r="I16" s="14">
        <f>1.1*G16</f>
        <v>0.55000000000000004</v>
      </c>
      <c r="J16" s="14">
        <f>1.2*G16</f>
        <v>0.6</v>
      </c>
      <c r="K16" s="30">
        <v>0.66</v>
      </c>
      <c r="L16" s="30">
        <v>0.77</v>
      </c>
      <c r="M16" s="30" t="s">
        <v>110</v>
      </c>
      <c r="O16" s="84" t="s">
        <v>114</v>
      </c>
      <c r="AA16" s="11">
        <f>AA15+$AB$3</f>
        <v>0.70833333333333315</v>
      </c>
      <c r="AC16">
        <f>AC15+1</f>
        <v>18</v>
      </c>
      <c r="AE16">
        <f>IF(AC16&lt;'Price Estimator'!$B$9,Lookup!AC16,"")</f>
        <v>18</v>
      </c>
    </row>
    <row r="17" spans="1:31">
      <c r="A17" s="5" t="s">
        <v>72</v>
      </c>
      <c r="B17" s="6" t="s">
        <v>40</v>
      </c>
      <c r="C17" s="6">
        <v>8</v>
      </c>
      <c r="D17" s="6">
        <v>30.5</v>
      </c>
      <c r="E17" s="6">
        <v>4</v>
      </c>
      <c r="F17" s="14">
        <f>F16*2</f>
        <v>1</v>
      </c>
      <c r="G17" s="14">
        <f>1*F17</f>
        <v>1</v>
      </c>
      <c r="H17" s="30">
        <v>1.28</v>
      </c>
      <c r="I17" s="14">
        <f>1.1*G17</f>
        <v>1.1000000000000001</v>
      </c>
      <c r="J17" s="14">
        <f>1.2*G17</f>
        <v>1.2</v>
      </c>
      <c r="K17" s="30">
        <v>1.32</v>
      </c>
      <c r="L17" s="30">
        <v>1.54</v>
      </c>
      <c r="M17" s="30" t="s">
        <v>110</v>
      </c>
      <c r="O17" t="s">
        <v>118</v>
      </c>
      <c r="R17" t="s">
        <v>54</v>
      </c>
      <c r="S17" t="s">
        <v>74</v>
      </c>
      <c r="AA17" s="11">
        <f>AA16+$AB$3</f>
        <v>0.74999999999999978</v>
      </c>
      <c r="AC17">
        <f>AC16+1</f>
        <v>19</v>
      </c>
      <c r="AE17">
        <f>IF(AC17&lt;'Price Estimator'!$B$9,Lookup!AC17,"")</f>
        <v>19</v>
      </c>
    </row>
    <row r="18" spans="1:31">
      <c r="A18" s="5" t="s">
        <v>73</v>
      </c>
      <c r="B18" s="6" t="s">
        <v>40</v>
      </c>
      <c r="C18" s="6">
        <v>16</v>
      </c>
      <c r="D18" s="6">
        <v>61</v>
      </c>
      <c r="E18" s="6">
        <v>8</v>
      </c>
      <c r="F18" s="14">
        <f>F17*2</f>
        <v>2</v>
      </c>
      <c r="G18" s="14">
        <f>1*F18</f>
        <v>2</v>
      </c>
      <c r="H18" s="30">
        <v>2.56</v>
      </c>
      <c r="I18" s="14">
        <f>1.1*G18</f>
        <v>2.2000000000000002</v>
      </c>
      <c r="J18" s="14">
        <f>1.2*G18</f>
        <v>2.4</v>
      </c>
      <c r="K18" s="30">
        <v>2.64</v>
      </c>
      <c r="L18" s="30">
        <v>3.08</v>
      </c>
      <c r="M18" s="30" t="s">
        <v>110</v>
      </c>
      <c r="O18" t="s">
        <v>121</v>
      </c>
      <c r="R18" t="s">
        <v>55</v>
      </c>
      <c r="S18" t="s">
        <v>75</v>
      </c>
      <c r="AA18" s="11">
        <f>AA17+$AB$3</f>
        <v>0.79166666666666641</v>
      </c>
      <c r="AC18">
        <f>AC17+1</f>
        <v>20</v>
      </c>
      <c r="AE18">
        <f>IF(AC18&lt;'Price Estimator'!$B$9,Lookup!AC18,"")</f>
        <v>20</v>
      </c>
    </row>
    <row r="19" spans="1:31">
      <c r="A19" s="5" t="s">
        <v>67</v>
      </c>
      <c r="B19" s="6" t="s">
        <v>34</v>
      </c>
      <c r="C19" s="6">
        <v>8</v>
      </c>
      <c r="D19" s="6">
        <v>15</v>
      </c>
      <c r="E19" s="6">
        <v>4</v>
      </c>
      <c r="F19" s="7">
        <v>0.5</v>
      </c>
      <c r="G19" s="7">
        <v>0.5</v>
      </c>
      <c r="H19" s="30" t="s">
        <v>110</v>
      </c>
      <c r="I19" s="7">
        <v>0.55000000000000004</v>
      </c>
      <c r="J19" s="7">
        <v>0.6</v>
      </c>
      <c r="K19" s="30" t="s">
        <v>110</v>
      </c>
      <c r="L19" s="30" t="s">
        <v>110</v>
      </c>
      <c r="M19" s="30" t="s">
        <v>110</v>
      </c>
      <c r="O19" t="s">
        <v>122</v>
      </c>
      <c r="S19" t="s">
        <v>14</v>
      </c>
      <c r="T19" t="s">
        <v>14</v>
      </c>
      <c r="V19" t="s">
        <v>38</v>
      </c>
      <c r="W19" t="s">
        <v>15</v>
      </c>
      <c r="AA19" s="11">
        <f>AA14+$AB$3</f>
        <v>0.5</v>
      </c>
      <c r="AC19">
        <f>AC14+1</f>
        <v>13</v>
      </c>
      <c r="AE19">
        <f>IF(AC19&lt;'Price Estimator'!$B$9,Lookup!AC19,"")</f>
        <v>13</v>
      </c>
    </row>
    <row r="20" spans="1:31">
      <c r="A20" s="5" t="s">
        <v>68</v>
      </c>
      <c r="B20" s="6" t="s">
        <v>35</v>
      </c>
      <c r="C20" s="6">
        <v>16</v>
      </c>
      <c r="D20" s="6">
        <v>122</v>
      </c>
      <c r="E20" s="6">
        <v>8</v>
      </c>
      <c r="F20" s="7">
        <v>2.0499999999999998</v>
      </c>
      <c r="G20" s="7">
        <v>2.0499999999999998</v>
      </c>
      <c r="H20" s="30">
        <v>2.7</v>
      </c>
      <c r="I20" s="7">
        <v>2.2599999999999998</v>
      </c>
      <c r="J20" s="7">
        <v>2.46</v>
      </c>
      <c r="K20" s="30">
        <v>3.07</v>
      </c>
      <c r="L20" s="30">
        <v>3.04</v>
      </c>
      <c r="M20" s="30" t="s">
        <v>110</v>
      </c>
      <c r="S20" t="s">
        <v>15</v>
      </c>
      <c r="T20" t="s">
        <v>15</v>
      </c>
      <c r="W20" t="s">
        <v>16</v>
      </c>
      <c r="AA20" s="11">
        <f t="shared" si="0"/>
        <v>0.54166666666666663</v>
      </c>
      <c r="AC20">
        <f t="shared" si="1"/>
        <v>14</v>
      </c>
      <c r="AE20">
        <f>IF(AC20&lt;'Price Estimator'!$B$9,Lookup!AC20,"")</f>
        <v>14</v>
      </c>
    </row>
    <row r="21" spans="1:31">
      <c r="A21" s="5" t="s">
        <v>69</v>
      </c>
      <c r="B21" s="6" t="s">
        <v>35</v>
      </c>
      <c r="C21" s="6">
        <v>32</v>
      </c>
      <c r="D21" s="6">
        <v>244</v>
      </c>
      <c r="E21" s="6">
        <v>16</v>
      </c>
      <c r="F21" s="7">
        <v>4.0999999999999996</v>
      </c>
      <c r="G21" s="7">
        <v>4.0999999999999996</v>
      </c>
      <c r="H21" s="30">
        <v>5.4</v>
      </c>
      <c r="I21" s="7">
        <v>4.5199999999999996</v>
      </c>
      <c r="J21" s="7">
        <v>4.92</v>
      </c>
      <c r="K21" s="30">
        <v>6.14</v>
      </c>
      <c r="L21" s="30">
        <v>6.08</v>
      </c>
      <c r="M21" s="30" t="s">
        <v>110</v>
      </c>
      <c r="S21" t="s">
        <v>16</v>
      </c>
      <c r="T21" t="s">
        <v>16</v>
      </c>
      <c r="AA21" s="11">
        <f t="shared" si="0"/>
        <v>0.58333333333333326</v>
      </c>
      <c r="AC21">
        <f t="shared" si="1"/>
        <v>15</v>
      </c>
      <c r="AE21">
        <f>IF(AC21&lt;'Price Estimator'!$B$9,Lookup!AC21,"")</f>
        <v>15</v>
      </c>
    </row>
    <row r="22" spans="1:31">
      <c r="A22" s="5" t="s">
        <v>70</v>
      </c>
      <c r="B22" s="6" t="s">
        <v>35</v>
      </c>
      <c r="C22" s="6">
        <v>64</v>
      </c>
      <c r="D22" s="6">
        <v>488</v>
      </c>
      <c r="E22" s="6">
        <v>32</v>
      </c>
      <c r="F22" s="7">
        <v>8.1999999999999993</v>
      </c>
      <c r="G22" s="7">
        <v>8.1999999999999993</v>
      </c>
      <c r="H22" s="30">
        <v>10.8</v>
      </c>
      <c r="I22" s="7">
        <v>9.0399999999999991</v>
      </c>
      <c r="J22" s="7">
        <v>9.84</v>
      </c>
      <c r="K22" s="30">
        <v>12.28</v>
      </c>
      <c r="L22" s="30">
        <v>12.16</v>
      </c>
      <c r="M22" s="30" t="s">
        <v>110</v>
      </c>
      <c r="S22" t="s">
        <v>17</v>
      </c>
      <c r="T22" t="s">
        <v>17</v>
      </c>
      <c r="AA22" s="11">
        <f t="shared" si="0"/>
        <v>0.62499999999999989</v>
      </c>
      <c r="AC22">
        <f t="shared" si="1"/>
        <v>16</v>
      </c>
      <c r="AE22">
        <f>IF(AC22&lt;'Price Estimator'!$B$9,Lookup!AC22,"")</f>
        <v>16</v>
      </c>
    </row>
    <row r="23" spans="1:31">
      <c r="A23" s="32" t="s">
        <v>44</v>
      </c>
      <c r="B23" s="6" t="s">
        <v>27</v>
      </c>
      <c r="C23" s="6" t="s">
        <v>27</v>
      </c>
      <c r="D23" s="6" t="s">
        <v>27</v>
      </c>
      <c r="E23" s="6" t="s">
        <v>27</v>
      </c>
      <c r="F23" s="15">
        <v>2.5000000000000001E-2</v>
      </c>
      <c r="G23" s="15">
        <v>2.5000000000000001E-2</v>
      </c>
      <c r="H23" s="34">
        <v>3.5000000000000003E-2</v>
      </c>
      <c r="I23" s="15">
        <v>2.5999999999999999E-2</v>
      </c>
      <c r="J23" s="15">
        <v>2.9000000000000001E-2</v>
      </c>
      <c r="K23" s="34">
        <v>2.5000000000000001E-2</v>
      </c>
      <c r="L23" s="34">
        <v>2.5000000000000001E-2</v>
      </c>
      <c r="M23" s="34">
        <v>2.9000000000000001E-2</v>
      </c>
      <c r="AA23" s="11">
        <f>AA18+$AB$3</f>
        <v>0.83333333333333304</v>
      </c>
      <c r="AC23">
        <f>AC18+1</f>
        <v>21</v>
      </c>
      <c r="AE23">
        <f>IF(AC23&lt;'Price Estimator'!$B$9,Lookup!AC23,"")</f>
        <v>21</v>
      </c>
    </row>
    <row r="24" spans="1:31">
      <c r="A24" s="32" t="s">
        <v>28</v>
      </c>
      <c r="B24" s="6" t="s">
        <v>27</v>
      </c>
      <c r="C24" s="6" t="s">
        <v>27</v>
      </c>
      <c r="D24" s="6" t="s">
        <v>27</v>
      </c>
      <c r="E24" s="6" t="s">
        <v>27</v>
      </c>
      <c r="F24" s="6" t="s">
        <v>27</v>
      </c>
      <c r="G24" s="6" t="s">
        <v>27</v>
      </c>
      <c r="H24" s="30" t="s">
        <v>27</v>
      </c>
      <c r="I24" s="6" t="s">
        <v>27</v>
      </c>
      <c r="J24" s="6" t="s">
        <v>27</v>
      </c>
      <c r="K24" s="30" t="s">
        <v>27</v>
      </c>
      <c r="L24" s="30" t="s">
        <v>27</v>
      </c>
      <c r="M24" s="30" t="s">
        <v>27</v>
      </c>
      <c r="R24" t="s">
        <v>76</v>
      </c>
      <c r="AA24" s="11">
        <f t="shared" si="0"/>
        <v>0.87499999999999967</v>
      </c>
      <c r="AC24">
        <f t="shared" si="1"/>
        <v>22</v>
      </c>
      <c r="AE24">
        <f>IF(AC24&lt;'Price Estimator'!$B$9,Lookup!AC24,"")</f>
        <v>22</v>
      </c>
    </row>
    <row r="25" spans="1:31">
      <c r="A25" s="32" t="s">
        <v>28</v>
      </c>
      <c r="B25" s="6" t="s">
        <v>27</v>
      </c>
      <c r="C25" s="6" t="s">
        <v>27</v>
      </c>
      <c r="D25" s="6" t="s">
        <v>27</v>
      </c>
      <c r="E25" s="6" t="s">
        <v>27</v>
      </c>
      <c r="F25" s="6" t="s">
        <v>27</v>
      </c>
      <c r="G25" s="6" t="s">
        <v>27</v>
      </c>
      <c r="H25" s="30" t="s">
        <v>27</v>
      </c>
      <c r="I25" s="6" t="s">
        <v>27</v>
      </c>
      <c r="J25" s="6" t="s">
        <v>27</v>
      </c>
      <c r="K25" s="30" t="s">
        <v>27</v>
      </c>
      <c r="L25" s="30" t="s">
        <v>27</v>
      </c>
      <c r="M25" s="30" t="s">
        <v>27</v>
      </c>
      <c r="R25" t="s">
        <v>77</v>
      </c>
      <c r="AA25" s="11">
        <f t="shared" si="0"/>
        <v>0.9166666666666663</v>
      </c>
      <c r="AC25">
        <f t="shared" si="1"/>
        <v>23</v>
      </c>
      <c r="AE25">
        <f>IF(AC25&lt;'Price Estimator'!$B$9,Lookup!AC25,"")</f>
        <v>23</v>
      </c>
    </row>
    <row r="26" spans="1:31">
      <c r="AA26" s="11">
        <f t="shared" si="0"/>
        <v>0.95833333333333293</v>
      </c>
      <c r="AC26">
        <f t="shared" si="1"/>
        <v>24</v>
      </c>
      <c r="AE26">
        <f>IF(AC26&lt;'Price Estimator'!$B$9,Lookup!AC26,"")</f>
        <v>24</v>
      </c>
    </row>
    <row r="27" spans="1:31">
      <c r="O27" s="20" t="s">
        <v>115</v>
      </c>
      <c r="AA27" s="9"/>
    </row>
    <row r="28" spans="1:31">
      <c r="O28" s="85" t="s">
        <v>79</v>
      </c>
      <c r="AA28" s="9"/>
    </row>
    <row r="29" spans="1:31">
      <c r="O29" s="5" t="s">
        <v>71</v>
      </c>
      <c r="AA29" s="9"/>
    </row>
    <row r="30" spans="1:31">
      <c r="O30" s="5" t="s">
        <v>72</v>
      </c>
      <c r="AA30" s="9"/>
    </row>
    <row r="31" spans="1:31">
      <c r="O31" s="5" t="s">
        <v>73</v>
      </c>
      <c r="AA31" s="9"/>
    </row>
    <row r="32" spans="1:31">
      <c r="O32" s="5" t="s">
        <v>68</v>
      </c>
      <c r="AA32" s="9"/>
    </row>
    <row r="33" spans="15:27">
      <c r="O33" s="5" t="s">
        <v>69</v>
      </c>
      <c r="AA33" s="9"/>
    </row>
    <row r="34" spans="15:27">
      <c r="O34" s="5" t="s">
        <v>70</v>
      </c>
      <c r="AA34" s="9"/>
    </row>
    <row r="35" spans="15:27">
      <c r="AA35" s="9"/>
    </row>
    <row r="36" spans="15:27">
      <c r="AA36" s="9"/>
    </row>
    <row r="37" spans="15:27">
      <c r="AA37" s="9"/>
    </row>
    <row r="38" spans="15:27">
      <c r="AA38" s="9"/>
    </row>
    <row r="39" spans="15:27">
      <c r="AA39" s="9"/>
    </row>
    <row r="40" spans="15:27">
      <c r="AA40" s="9"/>
    </row>
    <row r="41" spans="15:27">
      <c r="AA41" s="9"/>
    </row>
    <row r="42" spans="15:27">
      <c r="AA42" s="9"/>
    </row>
    <row r="43" spans="15:27">
      <c r="AA43" s="9"/>
    </row>
    <row r="44" spans="15:27">
      <c r="AA44" s="9"/>
    </row>
    <row r="45" spans="15:27">
      <c r="AA45" s="9"/>
    </row>
    <row r="46" spans="15:27">
      <c r="AA46" s="9"/>
    </row>
    <row r="47" spans="15:27">
      <c r="AA47" s="9"/>
    </row>
    <row r="48" spans="15:27">
      <c r="AA48" s="9"/>
    </row>
    <row r="49" spans="27:27">
      <c r="AA49" s="9"/>
    </row>
    <row r="50" spans="27:27">
      <c r="AA50" s="9"/>
    </row>
    <row r="51" spans="27:27">
      <c r="AA51" s="9"/>
    </row>
    <row r="52" spans="27:27">
      <c r="AA52" s="9"/>
    </row>
    <row r="53" spans="27:27">
      <c r="AA53" s="9"/>
    </row>
    <row r="54" spans="27:27">
      <c r="AA54" s="9"/>
    </row>
    <row r="55" spans="27:27">
      <c r="AA55" s="9"/>
    </row>
    <row r="56" spans="27:27">
      <c r="AA56" s="9"/>
    </row>
    <row r="57" spans="27:27">
      <c r="AA57" s="9"/>
    </row>
    <row r="58" spans="27:27">
      <c r="AA58" s="9"/>
    </row>
    <row r="59" spans="27:27">
      <c r="AA59" s="9"/>
    </row>
    <row r="60" spans="27:27">
      <c r="AA60" s="9"/>
    </row>
    <row r="61" spans="27:27">
      <c r="AA61" s="9"/>
    </row>
    <row r="62" spans="27:27">
      <c r="AA62" s="9"/>
    </row>
    <row r="63" spans="27:27">
      <c r="AA63" s="9"/>
    </row>
    <row r="64" spans="27:27">
      <c r="AA64" s="9"/>
    </row>
    <row r="65" spans="27:27">
      <c r="AA65" s="9"/>
    </row>
    <row r="66" spans="27:27">
      <c r="AA66" s="9"/>
    </row>
    <row r="67" spans="27:27">
      <c r="AA67" s="9"/>
    </row>
    <row r="68" spans="27:27">
      <c r="AA68" s="9"/>
    </row>
    <row r="69" spans="27:27">
      <c r="AA69" s="9"/>
    </row>
    <row r="70" spans="27:27">
      <c r="AA70" s="9"/>
    </row>
    <row r="71" spans="27:27">
      <c r="AA71" s="9"/>
    </row>
    <row r="72" spans="27:27">
      <c r="AA72" s="9"/>
    </row>
    <row r="73" spans="27:27">
      <c r="AA73"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workbookViewId="0"/>
  </sheetViews>
  <sheetFormatPr defaultColWidth="11" defaultRowHeight="15.7"/>
  <cols>
    <col min="1" max="1" width="19.5" bestFit="1" customWidth="1"/>
  </cols>
  <sheetData>
    <row r="3" spans="1:7">
      <c r="A3" t="s">
        <v>18</v>
      </c>
      <c r="B3">
        <f>VLOOKUP(region,Region_Column_Map,2,FALSE)</f>
        <v>6</v>
      </c>
    </row>
    <row r="4" spans="1:7">
      <c r="A4" t="s">
        <v>19</v>
      </c>
      <c r="B4" t="e">
        <f>VLOOKUP("stream.standard."&amp;LEFT('Price Estimator'!#REF!,FIND(" ",'Price Estimator'!#REF!)-1),Lookup!$A$2:$J$49,$B$3,FALSE)</f>
        <v>#REF!</v>
      </c>
      <c r="C4" t="e">
        <f>VLOOKUP("stream.compute."&amp;LEFT('Price Estimator'!#REF!,FIND(" ",'Price Estimator'!#REF!)-1),Lookup!$A$2:$J$49,$B$3,FALSE)</f>
        <v>#REF!</v>
      </c>
      <c r="D4" t="e">
        <f>VLOOKUP("stream.memory."&amp;LEFT('Price Estimator'!#REF!,FIND(" ",'Price Estimator'!#REF!)-1),Lookup!$A$2:$J$49,$B$3,FALSE)</f>
        <v>#REF!</v>
      </c>
      <c r="E4" t="e">
        <f>VLOOKUP("stream.graphics-design."&amp;LEFT('Price Estimator'!#REF!,FIND(" ",'Price Estimator'!#REF!)-1),Lookup!$A$2:$J$49,$B$3,FALSE)</f>
        <v>#REF!</v>
      </c>
      <c r="F4" t="e">
        <f>VLOOKUP("stream.graphics-desktop."&amp;LEFT('Price Estimator'!#REF!,FIND(" ",'Price Estimator'!#REF!)-1),Lookup!$A$2:$J$49,$B$3,FALSE)</f>
        <v>#REF!</v>
      </c>
      <c r="G4" t="e">
        <f>VLOOKUP("stream.graphics-pro."&amp;LEFT('Price Estimator'!#REF!,FIND(" ",'Price Estimator'!#REF!)-1),Lookup!$A$2:$J$49,$B$3,FALSE)</f>
        <v>#REF!</v>
      </c>
    </row>
    <row r="8" spans="1:7">
      <c r="A8" t="s">
        <v>39</v>
      </c>
      <c r="B8">
        <v>0.1</v>
      </c>
      <c r="C8">
        <v>0.25</v>
      </c>
      <c r="D8">
        <v>0.25</v>
      </c>
      <c r="E8">
        <v>0.25</v>
      </c>
      <c r="F8">
        <v>0.5</v>
      </c>
      <c r="G8">
        <v>2.0499999999999998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59C5-ECFA-468A-850A-87F55B54080E}">
  <dimension ref="A1:I33"/>
  <sheetViews>
    <sheetView workbookViewId="0">
      <selection activeCell="F20" sqref="F20"/>
    </sheetView>
  </sheetViews>
  <sheetFormatPr defaultRowHeight="15.7"/>
  <cols>
    <col min="1" max="1" width="27.38671875" bestFit="1" customWidth="1"/>
    <col min="2" max="2" width="21.609375" bestFit="1" customWidth="1"/>
    <col min="3" max="3" width="20.5" bestFit="1" customWidth="1"/>
    <col min="4" max="5" width="21.609375" bestFit="1" customWidth="1"/>
    <col min="6" max="6" width="22.609375" customWidth="1"/>
    <col min="7" max="7" width="20.5" bestFit="1" customWidth="1"/>
    <col min="8" max="8" width="18.71875" customWidth="1"/>
    <col min="9" max="9" width="24.609375" customWidth="1"/>
  </cols>
  <sheetData>
    <row r="1" spans="1:9" s="110" customFormat="1">
      <c r="A1" s="108" t="s">
        <v>116</v>
      </c>
      <c r="B1" s="108" t="s">
        <v>117</v>
      </c>
      <c r="C1" s="108" t="s">
        <v>118</v>
      </c>
      <c r="D1" s="108" t="s">
        <v>119</v>
      </c>
      <c r="E1" s="108" t="s">
        <v>120</v>
      </c>
      <c r="F1" s="108" t="s">
        <v>121</v>
      </c>
      <c r="G1" s="109" t="s">
        <v>122</v>
      </c>
      <c r="H1" s="109" t="s">
        <v>123</v>
      </c>
      <c r="I1" s="109" t="s">
        <v>132</v>
      </c>
    </row>
    <row r="2" spans="1:9">
      <c r="A2" s="5" t="s">
        <v>133</v>
      </c>
      <c r="B2" s="5" t="s">
        <v>133</v>
      </c>
      <c r="C2" s="5" t="s">
        <v>133</v>
      </c>
      <c r="D2" s="5" t="s">
        <v>133</v>
      </c>
      <c r="E2" s="5" t="s">
        <v>133</v>
      </c>
      <c r="F2" s="5" t="s">
        <v>133</v>
      </c>
      <c r="G2" s="5" t="s">
        <v>133</v>
      </c>
      <c r="H2" s="5" t="s">
        <v>133</v>
      </c>
      <c r="I2" s="5" t="s">
        <v>133</v>
      </c>
    </row>
    <row r="3" spans="1:9">
      <c r="A3" s="5" t="s">
        <v>56</v>
      </c>
      <c r="B3" s="5" t="s">
        <v>56</v>
      </c>
      <c r="C3" s="5" t="s">
        <v>56</v>
      </c>
      <c r="D3" s="5" t="s">
        <v>56</v>
      </c>
      <c r="E3" s="5" t="s">
        <v>56</v>
      </c>
      <c r="F3" s="5" t="s">
        <v>56</v>
      </c>
      <c r="G3" s="5" t="s">
        <v>56</v>
      </c>
      <c r="H3" s="5" t="s">
        <v>56</v>
      </c>
      <c r="I3" s="5" t="s">
        <v>56</v>
      </c>
    </row>
    <row r="4" spans="1:9">
      <c r="A4" s="5" t="s">
        <v>57</v>
      </c>
      <c r="B4" s="5" t="s">
        <v>57</v>
      </c>
      <c r="C4" s="5" t="s">
        <v>57</v>
      </c>
      <c r="D4" s="5" t="s">
        <v>57</v>
      </c>
      <c r="E4" s="5" t="s">
        <v>57</v>
      </c>
      <c r="F4" s="5" t="s">
        <v>57</v>
      </c>
      <c r="G4" s="5" t="s">
        <v>57</v>
      </c>
      <c r="H4" s="5" t="s">
        <v>57</v>
      </c>
      <c r="I4" s="5" t="s">
        <v>57</v>
      </c>
    </row>
    <row r="5" spans="1:9">
      <c r="A5" s="5" t="s">
        <v>58</v>
      </c>
      <c r="B5" s="5" t="s">
        <v>58</v>
      </c>
      <c r="C5" s="5" t="s">
        <v>58</v>
      </c>
      <c r="D5" s="5" t="s">
        <v>58</v>
      </c>
      <c r="E5" s="5" t="s">
        <v>58</v>
      </c>
      <c r="F5" s="5" t="s">
        <v>58</v>
      </c>
      <c r="G5" s="5" t="s">
        <v>58</v>
      </c>
      <c r="H5" s="5" t="s">
        <v>58</v>
      </c>
      <c r="I5" s="5" t="s">
        <v>58</v>
      </c>
    </row>
    <row r="6" spans="1:9">
      <c r="A6" s="5" t="s">
        <v>59</v>
      </c>
      <c r="B6" s="5" t="s">
        <v>59</v>
      </c>
      <c r="C6" s="5" t="s">
        <v>59</v>
      </c>
      <c r="D6" s="5" t="s">
        <v>59</v>
      </c>
      <c r="E6" s="5" t="s">
        <v>59</v>
      </c>
      <c r="F6" s="5" t="s">
        <v>59</v>
      </c>
      <c r="G6" s="5" t="s">
        <v>59</v>
      </c>
      <c r="H6" s="5" t="s">
        <v>59</v>
      </c>
      <c r="I6" s="5" t="s">
        <v>59</v>
      </c>
    </row>
    <row r="7" spans="1:9">
      <c r="A7" s="5" t="s">
        <v>60</v>
      </c>
      <c r="B7" s="5" t="s">
        <v>60</v>
      </c>
      <c r="C7" s="5" t="s">
        <v>60</v>
      </c>
      <c r="D7" s="5" t="s">
        <v>60</v>
      </c>
      <c r="E7" s="5" t="s">
        <v>60</v>
      </c>
      <c r="F7" s="5" t="s">
        <v>60</v>
      </c>
      <c r="G7" s="5" t="s">
        <v>60</v>
      </c>
      <c r="H7" s="5" t="s">
        <v>60</v>
      </c>
      <c r="I7" s="5" t="s">
        <v>60</v>
      </c>
    </row>
    <row r="8" spans="1:9">
      <c r="A8" s="5" t="s">
        <v>61</v>
      </c>
      <c r="B8" s="5" t="s">
        <v>61</v>
      </c>
      <c r="C8" s="5" t="s">
        <v>61</v>
      </c>
      <c r="D8" s="5" t="s">
        <v>61</v>
      </c>
      <c r="E8" s="5" t="s">
        <v>61</v>
      </c>
      <c r="F8" s="5" t="s">
        <v>61</v>
      </c>
      <c r="G8" s="5" t="s">
        <v>61</v>
      </c>
      <c r="H8" s="5" t="s">
        <v>61</v>
      </c>
      <c r="I8" s="5" t="s">
        <v>61</v>
      </c>
    </row>
    <row r="9" spans="1:9">
      <c r="A9" s="5" t="s">
        <v>62</v>
      </c>
      <c r="B9" s="5" t="s">
        <v>62</v>
      </c>
      <c r="C9" s="5" t="s">
        <v>62</v>
      </c>
      <c r="D9" s="5" t="s">
        <v>62</v>
      </c>
      <c r="E9" s="5" t="s">
        <v>62</v>
      </c>
      <c r="F9" s="5" t="s">
        <v>62</v>
      </c>
      <c r="G9" s="5" t="s">
        <v>62</v>
      </c>
      <c r="H9" s="5" t="s">
        <v>62</v>
      </c>
      <c r="I9" s="5" t="s">
        <v>62</v>
      </c>
    </row>
    <row r="10" spans="1:9">
      <c r="A10" s="5" t="s">
        <v>63</v>
      </c>
      <c r="B10" s="5" t="s">
        <v>63</v>
      </c>
      <c r="C10" s="5" t="s">
        <v>63</v>
      </c>
      <c r="D10" s="5" t="s">
        <v>63</v>
      </c>
      <c r="E10" s="5" t="s">
        <v>63</v>
      </c>
      <c r="F10" s="5" t="s">
        <v>63</v>
      </c>
      <c r="G10" s="5" t="s">
        <v>63</v>
      </c>
      <c r="H10" s="5" t="s">
        <v>63</v>
      </c>
      <c r="I10" s="5" t="s">
        <v>63</v>
      </c>
    </row>
    <row r="11" spans="1:9">
      <c r="A11" s="5" t="s">
        <v>64</v>
      </c>
      <c r="B11" s="5" t="s">
        <v>64</v>
      </c>
      <c r="C11" s="5" t="s">
        <v>64</v>
      </c>
      <c r="D11" s="5" t="s">
        <v>64</v>
      </c>
      <c r="E11" s="5" t="s">
        <v>64</v>
      </c>
      <c r="F11" s="5" t="s">
        <v>64</v>
      </c>
      <c r="G11" s="5" t="s">
        <v>64</v>
      </c>
      <c r="H11" s="5" t="s">
        <v>64</v>
      </c>
      <c r="I11" s="5" t="s">
        <v>64</v>
      </c>
    </row>
    <row r="12" spans="1:9">
      <c r="A12" s="5" t="s">
        <v>65</v>
      </c>
      <c r="B12" s="5" t="s">
        <v>65</v>
      </c>
      <c r="C12" s="5" t="s">
        <v>65</v>
      </c>
      <c r="D12" s="5" t="s">
        <v>65</v>
      </c>
      <c r="E12" s="5" t="s">
        <v>65</v>
      </c>
      <c r="F12" s="5" t="s">
        <v>65</v>
      </c>
      <c r="G12" s="5" t="s">
        <v>65</v>
      </c>
      <c r="H12" s="5" t="s">
        <v>65</v>
      </c>
      <c r="I12" s="5" t="s">
        <v>65</v>
      </c>
    </row>
    <row r="13" spans="1:9">
      <c r="A13" s="5" t="s">
        <v>66</v>
      </c>
      <c r="B13" s="5" t="s">
        <v>66</v>
      </c>
      <c r="C13" s="5" t="s">
        <v>66</v>
      </c>
      <c r="D13" s="5" t="s">
        <v>66</v>
      </c>
      <c r="E13" s="5" t="s">
        <v>66</v>
      </c>
      <c r="F13" s="5" t="s">
        <v>66</v>
      </c>
      <c r="G13" s="5" t="s">
        <v>66</v>
      </c>
      <c r="H13" s="5" t="s">
        <v>66</v>
      </c>
      <c r="I13" s="5" t="s">
        <v>66</v>
      </c>
    </row>
    <row r="14" spans="1:9">
      <c r="A14" s="5" t="s">
        <v>134</v>
      </c>
      <c r="B14" s="5" t="s">
        <v>134</v>
      </c>
      <c r="C14" s="5" t="s">
        <v>134</v>
      </c>
      <c r="D14" s="5" t="s">
        <v>134</v>
      </c>
      <c r="E14" s="5" t="s">
        <v>134</v>
      </c>
      <c r="F14" s="5" t="s">
        <v>134</v>
      </c>
      <c r="G14" s="5" t="s">
        <v>134</v>
      </c>
      <c r="H14" s="5" t="s">
        <v>134</v>
      </c>
      <c r="I14" s="5" t="s">
        <v>68</v>
      </c>
    </row>
    <row r="15" spans="1:9">
      <c r="A15" s="5" t="s">
        <v>135</v>
      </c>
      <c r="B15" s="5" t="s">
        <v>135</v>
      </c>
      <c r="C15" s="5" t="s">
        <v>135</v>
      </c>
      <c r="D15" s="5" t="s">
        <v>135</v>
      </c>
      <c r="E15" s="5" t="s">
        <v>135</v>
      </c>
      <c r="F15" s="5" t="s">
        <v>135</v>
      </c>
      <c r="G15" s="5" t="s">
        <v>135</v>
      </c>
      <c r="H15" s="5" t="s">
        <v>135</v>
      </c>
      <c r="I15" s="5" t="s">
        <v>69</v>
      </c>
    </row>
    <row r="16" spans="1:9">
      <c r="A16" s="5" t="s">
        <v>136</v>
      </c>
      <c r="B16" s="5" t="s">
        <v>136</v>
      </c>
      <c r="C16" s="5" t="s">
        <v>136</v>
      </c>
      <c r="D16" s="5" t="s">
        <v>136</v>
      </c>
      <c r="E16" s="5" t="s">
        <v>136</v>
      </c>
      <c r="F16" s="5" t="s">
        <v>136</v>
      </c>
      <c r="G16" s="5" t="s">
        <v>136</v>
      </c>
      <c r="H16" s="5" t="s">
        <v>136</v>
      </c>
      <c r="I16" s="5" t="s">
        <v>70</v>
      </c>
    </row>
    <row r="17" spans="1:9">
      <c r="A17" s="5" t="s">
        <v>137</v>
      </c>
      <c r="B17" s="5" t="s">
        <v>137</v>
      </c>
      <c r="C17" s="5" t="s">
        <v>137</v>
      </c>
      <c r="D17" s="5" t="s">
        <v>137</v>
      </c>
      <c r="E17" s="5" t="s">
        <v>137</v>
      </c>
      <c r="F17" s="5" t="s">
        <v>137</v>
      </c>
      <c r="G17" s="5" t="s">
        <v>137</v>
      </c>
      <c r="H17" s="5" t="s">
        <v>137</v>
      </c>
      <c r="I17" s="5" t="s">
        <v>144</v>
      </c>
    </row>
    <row r="18" spans="1:9">
      <c r="A18" s="5" t="s">
        <v>138</v>
      </c>
      <c r="B18" s="5" t="s">
        <v>138</v>
      </c>
      <c r="C18" s="5" t="s">
        <v>138</v>
      </c>
      <c r="D18" s="5" t="s">
        <v>138</v>
      </c>
      <c r="E18" s="5" t="s">
        <v>138</v>
      </c>
      <c r="F18" s="5" t="s">
        <v>138</v>
      </c>
      <c r="G18" s="5" t="s">
        <v>138</v>
      </c>
      <c r="H18" s="5" t="s">
        <v>138</v>
      </c>
      <c r="I18" s="5" t="s">
        <v>145</v>
      </c>
    </row>
    <row r="19" spans="1:9" s="38" customFormat="1">
      <c r="A19" s="5" t="s">
        <v>139</v>
      </c>
      <c r="B19" s="5" t="s">
        <v>139</v>
      </c>
      <c r="C19" s="5" t="s">
        <v>139</v>
      </c>
      <c r="D19" s="5" t="s">
        <v>139</v>
      </c>
      <c r="E19" s="5" t="s">
        <v>139</v>
      </c>
      <c r="F19" s="5" t="s">
        <v>139</v>
      </c>
      <c r="G19" s="5" t="s">
        <v>139</v>
      </c>
      <c r="H19" s="5" t="s">
        <v>139</v>
      </c>
      <c r="I19" s="5" t="s">
        <v>146</v>
      </c>
    </row>
    <row r="20" spans="1:9" s="38" customFormat="1">
      <c r="A20" s="5" t="s">
        <v>144</v>
      </c>
      <c r="B20" s="5" t="s">
        <v>144</v>
      </c>
      <c r="C20" s="5" t="s">
        <v>144</v>
      </c>
      <c r="D20" s="5" t="s">
        <v>144</v>
      </c>
      <c r="E20" s="5" t="s">
        <v>144</v>
      </c>
      <c r="F20" s="5" t="s">
        <v>144</v>
      </c>
      <c r="G20" s="5" t="s">
        <v>144</v>
      </c>
      <c r="H20" s="5" t="s">
        <v>144</v>
      </c>
      <c r="I20" s="5" t="s">
        <v>147</v>
      </c>
    </row>
    <row r="21" spans="1:9" s="38" customFormat="1">
      <c r="A21" s="5" t="s">
        <v>145</v>
      </c>
      <c r="B21" s="5" t="s">
        <v>145</v>
      </c>
      <c r="C21" s="5" t="s">
        <v>145</v>
      </c>
      <c r="D21" s="5" t="s">
        <v>145</v>
      </c>
      <c r="E21" s="5" t="s">
        <v>145</v>
      </c>
      <c r="F21" s="5" t="s">
        <v>145</v>
      </c>
      <c r="G21" s="5" t="s">
        <v>145</v>
      </c>
      <c r="H21" s="5" t="s">
        <v>145</v>
      </c>
      <c r="I21" s="5" t="s">
        <v>148</v>
      </c>
    </row>
    <row r="22" spans="1:9" s="38" customFormat="1">
      <c r="A22" s="5" t="s">
        <v>146</v>
      </c>
      <c r="B22" s="5" t="s">
        <v>146</v>
      </c>
      <c r="C22" s="5" t="s">
        <v>146</v>
      </c>
      <c r="D22" s="5" t="s">
        <v>146</v>
      </c>
      <c r="E22" s="5" t="s">
        <v>146</v>
      </c>
      <c r="F22" s="5" t="s">
        <v>146</v>
      </c>
      <c r="G22" s="5" t="s">
        <v>146</v>
      </c>
      <c r="H22" s="5" t="s">
        <v>146</v>
      </c>
      <c r="I22" s="5" t="s">
        <v>149</v>
      </c>
    </row>
    <row r="23" spans="1:9" s="38" customFormat="1">
      <c r="A23" s="5" t="s">
        <v>147</v>
      </c>
      <c r="B23" s="5" t="s">
        <v>147</v>
      </c>
      <c r="C23" s="5" t="s">
        <v>147</v>
      </c>
      <c r="D23" s="5" t="s">
        <v>147</v>
      </c>
      <c r="E23" s="5" t="s">
        <v>147</v>
      </c>
      <c r="F23" s="5" t="s">
        <v>147</v>
      </c>
      <c r="G23" s="5" t="s">
        <v>147</v>
      </c>
      <c r="H23" s="5" t="s">
        <v>147</v>
      </c>
      <c r="I23"/>
    </row>
    <row r="24" spans="1:9" s="38" customFormat="1">
      <c r="A24" s="5" t="s">
        <v>148</v>
      </c>
      <c r="B24" s="5" t="s">
        <v>148</v>
      </c>
      <c r="C24" s="5" t="s">
        <v>148</v>
      </c>
      <c r="D24" s="5" t="s">
        <v>148</v>
      </c>
      <c r="E24" s="5" t="s">
        <v>148</v>
      </c>
      <c r="F24" s="5" t="s">
        <v>148</v>
      </c>
      <c r="G24" s="5" t="s">
        <v>148</v>
      </c>
      <c r="H24" s="5" t="s">
        <v>148</v>
      </c>
      <c r="I24"/>
    </row>
    <row r="25" spans="1:9" s="38" customFormat="1">
      <c r="A25" s="5" t="s">
        <v>149</v>
      </c>
      <c r="B25" s="5" t="s">
        <v>149</v>
      </c>
      <c r="C25" s="5" t="s">
        <v>149</v>
      </c>
      <c r="D25" s="5" t="s">
        <v>149</v>
      </c>
      <c r="E25" s="5" t="s">
        <v>149</v>
      </c>
      <c r="F25" s="5" t="s">
        <v>149</v>
      </c>
      <c r="G25" s="5" t="s">
        <v>149</v>
      </c>
      <c r="H25" s="5" t="s">
        <v>149</v>
      </c>
      <c r="I25"/>
    </row>
    <row r="26" spans="1:9">
      <c r="A26" s="5" t="s">
        <v>140</v>
      </c>
      <c r="B26" s="5" t="s">
        <v>140</v>
      </c>
      <c r="C26" s="5" t="s">
        <v>140</v>
      </c>
      <c r="D26" s="5" t="s">
        <v>140</v>
      </c>
      <c r="E26" s="5" t="s">
        <v>140</v>
      </c>
      <c r="F26" s="5" t="s">
        <v>140</v>
      </c>
      <c r="G26" s="5" t="s">
        <v>140</v>
      </c>
    </row>
    <row r="27" spans="1:9">
      <c r="A27" s="5" t="s">
        <v>71</v>
      </c>
      <c r="B27" s="5" t="s">
        <v>71</v>
      </c>
      <c r="C27" s="5" t="s">
        <v>71</v>
      </c>
      <c r="D27" s="5" t="s">
        <v>71</v>
      </c>
      <c r="E27" s="5" t="s">
        <v>71</v>
      </c>
      <c r="F27" s="5" t="s">
        <v>71</v>
      </c>
      <c r="G27" s="5" t="s">
        <v>71</v>
      </c>
    </row>
    <row r="28" spans="1:9">
      <c r="A28" s="5" t="s">
        <v>72</v>
      </c>
      <c r="B28" s="5" t="s">
        <v>72</v>
      </c>
      <c r="C28" s="5" t="s">
        <v>72</v>
      </c>
      <c r="D28" s="5" t="s">
        <v>72</v>
      </c>
      <c r="E28" s="5" t="s">
        <v>72</v>
      </c>
      <c r="F28" s="5" t="s">
        <v>72</v>
      </c>
      <c r="G28" s="5" t="s">
        <v>72</v>
      </c>
    </row>
    <row r="29" spans="1:9">
      <c r="A29" s="5" t="s">
        <v>73</v>
      </c>
      <c r="B29" s="5" t="s">
        <v>73</v>
      </c>
      <c r="C29" s="5" t="s">
        <v>73</v>
      </c>
      <c r="D29" s="5" t="s">
        <v>73</v>
      </c>
      <c r="E29" s="5" t="s">
        <v>73</v>
      </c>
      <c r="F29" s="5" t="s">
        <v>73</v>
      </c>
      <c r="G29" s="5" t="s">
        <v>73</v>
      </c>
    </row>
    <row r="30" spans="1:9">
      <c r="A30" s="5" t="s">
        <v>68</v>
      </c>
      <c r="B30" s="5" t="s">
        <v>68</v>
      </c>
      <c r="C30" s="5" t="s">
        <v>68</v>
      </c>
      <c r="D30" s="5" t="s">
        <v>67</v>
      </c>
      <c r="E30" s="5" t="s">
        <v>67</v>
      </c>
      <c r="F30" s="5" t="s">
        <v>68</v>
      </c>
      <c r="G30" s="5" t="s">
        <v>68</v>
      </c>
    </row>
    <row r="31" spans="1:9">
      <c r="A31" s="5" t="s">
        <v>69</v>
      </c>
      <c r="B31" s="5" t="s">
        <v>69</v>
      </c>
      <c r="C31" s="5" t="s">
        <v>69</v>
      </c>
      <c r="D31" s="5" t="s">
        <v>68</v>
      </c>
      <c r="E31" s="5" t="s">
        <v>68</v>
      </c>
      <c r="F31" s="5" t="s">
        <v>69</v>
      </c>
      <c r="G31" s="5" t="s">
        <v>69</v>
      </c>
    </row>
    <row r="32" spans="1:9">
      <c r="A32" s="5" t="s">
        <v>70</v>
      </c>
      <c r="B32" s="5" t="s">
        <v>70</v>
      </c>
      <c r="C32" s="5" t="s">
        <v>70</v>
      </c>
      <c r="D32" s="5" t="s">
        <v>69</v>
      </c>
      <c r="E32" s="5" t="s">
        <v>69</v>
      </c>
      <c r="F32" s="5" t="s">
        <v>70</v>
      </c>
      <c r="G32" s="5" t="s">
        <v>70</v>
      </c>
    </row>
    <row r="33" spans="1:5">
      <c r="A33" s="117"/>
      <c r="B33" s="117"/>
      <c r="D33" s="5" t="s">
        <v>70</v>
      </c>
      <c r="E33" s="5" t="s">
        <v>70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96779-ECDC-4C33-AEBA-2DBBD7FC8095}">
  <dimension ref="A1:J36"/>
  <sheetViews>
    <sheetView workbookViewId="0">
      <selection activeCell="A20" sqref="A20:A25"/>
    </sheetView>
  </sheetViews>
  <sheetFormatPr defaultRowHeight="15.7"/>
  <cols>
    <col min="1" max="1" width="24.5" bestFit="1" customWidth="1"/>
    <col min="2" max="2" width="21.609375" bestFit="1" customWidth="1"/>
    <col min="3" max="3" width="16.21875" bestFit="1" customWidth="1"/>
    <col min="4" max="4" width="13" bestFit="1" customWidth="1"/>
    <col min="5" max="5" width="10.88671875" bestFit="1" customWidth="1"/>
    <col min="6" max="6" width="17.609375" bestFit="1" customWidth="1"/>
    <col min="7" max="7" width="21" bestFit="1" customWidth="1"/>
    <col min="8" max="8" width="18.609375" bestFit="1" customWidth="1"/>
    <col min="9" max="9" width="17.109375" bestFit="1" customWidth="1"/>
    <col min="10" max="10" width="23.109375" bestFit="1" customWidth="1"/>
  </cols>
  <sheetData>
    <row r="1" spans="1:10">
      <c r="B1" s="111" t="s">
        <v>116</v>
      </c>
      <c r="C1" s="3" t="s">
        <v>117</v>
      </c>
      <c r="D1" s="31" t="s">
        <v>118</v>
      </c>
      <c r="E1" s="31" t="s">
        <v>119</v>
      </c>
      <c r="F1" s="31" t="s">
        <v>120</v>
      </c>
      <c r="G1" s="31" t="s">
        <v>121</v>
      </c>
      <c r="H1" s="33" t="s">
        <v>122</v>
      </c>
      <c r="I1" s="33" t="s">
        <v>123</v>
      </c>
      <c r="J1" s="33" t="s">
        <v>132</v>
      </c>
    </row>
    <row r="2" spans="1:10">
      <c r="A2" s="112" t="s">
        <v>133</v>
      </c>
      <c r="B2" s="7">
        <v>0.1</v>
      </c>
      <c r="C2" s="7">
        <v>0.1</v>
      </c>
      <c r="D2" s="30">
        <v>0.12</v>
      </c>
      <c r="E2" s="7">
        <v>0.11</v>
      </c>
      <c r="F2" s="7">
        <v>0.12</v>
      </c>
      <c r="G2" s="30">
        <v>0.12</v>
      </c>
      <c r="H2" s="30">
        <v>0.13600000000000001</v>
      </c>
      <c r="I2" s="30">
        <v>0.12</v>
      </c>
      <c r="J2" s="7">
        <v>0.12</v>
      </c>
    </row>
    <row r="3" spans="1:10">
      <c r="A3" s="5" t="s">
        <v>56</v>
      </c>
      <c r="B3" s="7">
        <v>0.2</v>
      </c>
      <c r="C3" s="7">
        <v>0.2</v>
      </c>
      <c r="D3" s="30">
        <v>0.24</v>
      </c>
      <c r="E3" s="7">
        <v>0.22</v>
      </c>
      <c r="F3" s="7">
        <v>0.24</v>
      </c>
      <c r="G3" s="30">
        <v>0.24</v>
      </c>
      <c r="H3" s="30">
        <v>0.27200000000000002</v>
      </c>
      <c r="I3" s="30">
        <v>0.24</v>
      </c>
      <c r="J3" s="7">
        <v>0.24</v>
      </c>
    </row>
    <row r="4" spans="1:10">
      <c r="A4" s="5" t="s">
        <v>57</v>
      </c>
      <c r="B4" s="7">
        <v>0.25</v>
      </c>
      <c r="C4" s="7">
        <v>0.25</v>
      </c>
      <c r="D4" s="30">
        <v>0.3</v>
      </c>
      <c r="E4" s="7">
        <v>0.28000000000000003</v>
      </c>
      <c r="F4" s="7">
        <v>0.3</v>
      </c>
      <c r="G4" s="30">
        <v>0.33</v>
      </c>
      <c r="H4" s="30">
        <v>0.35</v>
      </c>
      <c r="I4" s="30">
        <v>0.3</v>
      </c>
      <c r="J4" s="7">
        <v>0.3</v>
      </c>
    </row>
    <row r="5" spans="1:10">
      <c r="A5" s="5" t="s">
        <v>58</v>
      </c>
      <c r="B5" s="7">
        <v>0.5</v>
      </c>
      <c r="C5" s="7">
        <v>0.5</v>
      </c>
      <c r="D5" s="30">
        <v>0.6</v>
      </c>
      <c r="E5" s="7">
        <v>0.55000000000000004</v>
      </c>
      <c r="F5" s="7">
        <v>0.6</v>
      </c>
      <c r="G5" s="30">
        <v>0.66</v>
      </c>
      <c r="H5" s="30">
        <v>0.7</v>
      </c>
      <c r="I5" s="30">
        <v>0.6</v>
      </c>
      <c r="J5" s="7">
        <v>0.6</v>
      </c>
    </row>
    <row r="6" spans="1:10">
      <c r="A6" s="5" t="s">
        <v>59</v>
      </c>
      <c r="B6" s="7">
        <v>1</v>
      </c>
      <c r="C6" s="7">
        <v>1</v>
      </c>
      <c r="D6" s="30">
        <v>1.2</v>
      </c>
      <c r="E6" s="7">
        <v>1.1000000000000001</v>
      </c>
      <c r="F6" s="7">
        <v>1.2</v>
      </c>
      <c r="G6" s="30">
        <v>1.32</v>
      </c>
      <c r="H6" s="30">
        <v>1.4</v>
      </c>
      <c r="I6" s="30">
        <v>1.2</v>
      </c>
      <c r="J6" s="7">
        <v>1.2</v>
      </c>
    </row>
    <row r="7" spans="1:10">
      <c r="A7" s="5" t="s">
        <v>60</v>
      </c>
      <c r="B7" s="7">
        <v>2</v>
      </c>
      <c r="C7" s="7">
        <v>2</v>
      </c>
      <c r="D7" s="30">
        <v>2.4</v>
      </c>
      <c r="E7" s="7">
        <v>2.2000000000000002</v>
      </c>
      <c r="F7" s="7">
        <v>2.4</v>
      </c>
      <c r="G7" s="30">
        <v>2.64</v>
      </c>
      <c r="H7" s="30">
        <v>2.8</v>
      </c>
      <c r="I7" s="30">
        <v>2.4</v>
      </c>
      <c r="J7" s="7">
        <v>2.4</v>
      </c>
    </row>
    <row r="8" spans="1:10">
      <c r="A8" s="5" t="s">
        <v>61</v>
      </c>
      <c r="B8" s="7">
        <v>4</v>
      </c>
      <c r="C8" s="7">
        <v>4</v>
      </c>
      <c r="D8" s="30">
        <v>4.8</v>
      </c>
      <c r="E8" s="7">
        <v>4.4000000000000004</v>
      </c>
      <c r="F8" s="7">
        <v>4.8</v>
      </c>
      <c r="G8" s="30">
        <v>5.28</v>
      </c>
      <c r="H8" s="30">
        <v>5.6</v>
      </c>
      <c r="I8" s="30">
        <v>4.8</v>
      </c>
      <c r="J8" s="7">
        <v>4.8</v>
      </c>
    </row>
    <row r="9" spans="1:10">
      <c r="A9" s="5" t="s">
        <v>62</v>
      </c>
      <c r="B9" s="7">
        <v>0.25</v>
      </c>
      <c r="C9" s="7">
        <v>0.25</v>
      </c>
      <c r="D9" s="30">
        <v>0.34</v>
      </c>
      <c r="E9" s="7">
        <v>0.28000000000000003</v>
      </c>
      <c r="F9" s="7">
        <v>0.3</v>
      </c>
      <c r="G9" s="30">
        <v>0.34</v>
      </c>
      <c r="H9" s="30">
        <v>0.35</v>
      </c>
      <c r="I9" s="30">
        <v>0.3</v>
      </c>
      <c r="J9" s="7">
        <v>0.3</v>
      </c>
    </row>
    <row r="10" spans="1:10">
      <c r="A10" s="5" t="s">
        <v>63</v>
      </c>
      <c r="B10" s="7">
        <v>0.5</v>
      </c>
      <c r="C10" s="7">
        <v>0.5</v>
      </c>
      <c r="D10" s="30">
        <v>0.68</v>
      </c>
      <c r="E10" s="7">
        <v>0.55000000000000004</v>
      </c>
      <c r="F10" s="7">
        <v>0.6</v>
      </c>
      <c r="G10" s="30">
        <v>0.68</v>
      </c>
      <c r="H10" s="30">
        <v>0.7</v>
      </c>
      <c r="I10" s="30">
        <v>0.6</v>
      </c>
      <c r="J10" s="7">
        <v>0.6</v>
      </c>
    </row>
    <row r="11" spans="1:10">
      <c r="A11" s="5" t="s">
        <v>64</v>
      </c>
      <c r="B11" s="7">
        <v>1</v>
      </c>
      <c r="C11" s="7">
        <v>1</v>
      </c>
      <c r="D11" s="30">
        <v>1.36</v>
      </c>
      <c r="E11" s="7">
        <v>1.1000000000000001</v>
      </c>
      <c r="F11" s="7">
        <v>1.2</v>
      </c>
      <c r="G11" s="30">
        <v>1.36</v>
      </c>
      <c r="H11" s="30">
        <v>1.4</v>
      </c>
      <c r="I11" s="30">
        <v>1.2</v>
      </c>
      <c r="J11" s="7">
        <v>1.2</v>
      </c>
    </row>
    <row r="12" spans="1:10">
      <c r="A12" s="5" t="s">
        <v>65</v>
      </c>
      <c r="B12" s="7">
        <v>2</v>
      </c>
      <c r="C12" s="7">
        <v>2</v>
      </c>
      <c r="D12" s="30">
        <v>2.72</v>
      </c>
      <c r="E12" s="7">
        <v>2.2000000000000002</v>
      </c>
      <c r="F12" s="7">
        <v>2.4</v>
      </c>
      <c r="G12" s="30">
        <v>2.72</v>
      </c>
      <c r="H12" s="30">
        <v>2.8</v>
      </c>
      <c r="I12" s="30">
        <v>2.4</v>
      </c>
      <c r="J12" s="7">
        <v>2.4</v>
      </c>
    </row>
    <row r="13" spans="1:10">
      <c r="A13" s="5" t="s">
        <v>66</v>
      </c>
      <c r="B13" s="7">
        <v>4</v>
      </c>
      <c r="C13" s="7">
        <v>4</v>
      </c>
      <c r="D13" s="30">
        <v>5.44</v>
      </c>
      <c r="E13" s="7">
        <v>4.4000000000000004</v>
      </c>
      <c r="F13" s="7">
        <v>4.8</v>
      </c>
      <c r="G13" s="30">
        <v>5.44</v>
      </c>
      <c r="H13" s="30">
        <v>5.6</v>
      </c>
      <c r="I13" s="30">
        <v>4.8</v>
      </c>
      <c r="J13" s="7">
        <v>4.8</v>
      </c>
    </row>
    <row r="14" spans="1:10">
      <c r="A14" s="5" t="s">
        <v>134</v>
      </c>
      <c r="B14" s="7">
        <v>0.45</v>
      </c>
      <c r="C14" s="7">
        <v>0.45</v>
      </c>
      <c r="D14" s="7">
        <v>0.61</v>
      </c>
      <c r="E14" s="7">
        <v>0.5</v>
      </c>
      <c r="F14" s="7">
        <v>0.54</v>
      </c>
      <c r="G14" s="7">
        <v>0.61</v>
      </c>
      <c r="H14" s="7">
        <v>0.63</v>
      </c>
      <c r="I14" s="7">
        <v>0.54</v>
      </c>
      <c r="J14" s="7" t="s">
        <v>110</v>
      </c>
    </row>
    <row r="15" spans="1:10">
      <c r="A15" s="5" t="s">
        <v>135</v>
      </c>
      <c r="B15" s="7">
        <v>0.9</v>
      </c>
      <c r="C15" s="7">
        <v>0.9</v>
      </c>
      <c r="D15" s="7">
        <v>1.22</v>
      </c>
      <c r="E15" s="7">
        <v>1</v>
      </c>
      <c r="F15" s="7">
        <v>1.08</v>
      </c>
      <c r="G15" s="7">
        <v>1.22</v>
      </c>
      <c r="H15" s="7">
        <v>1.26</v>
      </c>
      <c r="I15" s="7">
        <v>1.08</v>
      </c>
      <c r="J15" s="7" t="s">
        <v>110</v>
      </c>
    </row>
    <row r="16" spans="1:10">
      <c r="A16" s="5" t="s">
        <v>136</v>
      </c>
      <c r="B16" s="7">
        <v>1.8</v>
      </c>
      <c r="C16" s="7">
        <v>1.8</v>
      </c>
      <c r="D16" s="7">
        <v>2.4500000000000002</v>
      </c>
      <c r="E16" s="7">
        <v>2</v>
      </c>
      <c r="F16" s="7">
        <v>2.16</v>
      </c>
      <c r="G16" s="7">
        <v>2.4500000000000002</v>
      </c>
      <c r="H16" s="7">
        <v>2.52</v>
      </c>
      <c r="I16" s="7">
        <v>2.16</v>
      </c>
      <c r="J16" s="7" t="s">
        <v>110</v>
      </c>
    </row>
    <row r="17" spans="1:10">
      <c r="A17" s="5" t="s">
        <v>137</v>
      </c>
      <c r="B17" s="7">
        <v>2.7</v>
      </c>
      <c r="C17" s="7">
        <v>2.7</v>
      </c>
      <c r="D17" s="7">
        <v>3.67</v>
      </c>
      <c r="E17" s="7">
        <v>3</v>
      </c>
      <c r="F17" s="7">
        <v>3.24</v>
      </c>
      <c r="G17" s="7">
        <v>3.67</v>
      </c>
      <c r="H17" s="7">
        <v>3.78</v>
      </c>
      <c r="I17" s="7">
        <v>3.24</v>
      </c>
      <c r="J17" s="7" t="s">
        <v>110</v>
      </c>
    </row>
    <row r="18" spans="1:10">
      <c r="A18" s="5" t="s">
        <v>138</v>
      </c>
      <c r="B18" s="7">
        <v>5.4</v>
      </c>
      <c r="C18" s="7">
        <v>5.4</v>
      </c>
      <c r="D18" s="7">
        <v>7.34</v>
      </c>
      <c r="E18" s="7">
        <v>6</v>
      </c>
      <c r="F18" s="7">
        <v>6.48</v>
      </c>
      <c r="G18" s="7">
        <v>7.34</v>
      </c>
      <c r="H18" s="7">
        <v>7.56</v>
      </c>
      <c r="I18" s="7">
        <v>6.48</v>
      </c>
      <c r="J18" s="7" t="s">
        <v>110</v>
      </c>
    </row>
    <row r="19" spans="1:10">
      <c r="A19" s="5" t="s">
        <v>139</v>
      </c>
      <c r="B19" s="7">
        <v>10.8</v>
      </c>
      <c r="C19" s="7">
        <v>10.8</v>
      </c>
      <c r="D19" s="7">
        <v>14.69</v>
      </c>
      <c r="E19" s="7">
        <v>12</v>
      </c>
      <c r="F19" s="7">
        <v>12.96</v>
      </c>
      <c r="G19" s="7">
        <v>14.69</v>
      </c>
      <c r="H19" s="7">
        <v>15.12</v>
      </c>
      <c r="I19" s="7">
        <v>12.96</v>
      </c>
      <c r="J19" s="7" t="s">
        <v>110</v>
      </c>
    </row>
    <row r="20" spans="1:10">
      <c r="A20" s="5" t="s">
        <v>144</v>
      </c>
      <c r="B20" s="7">
        <v>1</v>
      </c>
      <c r="C20" s="7">
        <v>1</v>
      </c>
      <c r="D20" s="7">
        <v>1.19</v>
      </c>
      <c r="E20" s="7">
        <v>1.0900000000000001</v>
      </c>
      <c r="F20" s="7">
        <v>1.26</v>
      </c>
      <c r="G20" s="7">
        <v>1.3</v>
      </c>
      <c r="H20" s="7">
        <v>1.22</v>
      </c>
      <c r="I20" s="7">
        <v>1.17</v>
      </c>
      <c r="J20" s="7">
        <v>1.19</v>
      </c>
    </row>
    <row r="21" spans="1:10">
      <c r="A21" s="5" t="s">
        <v>145</v>
      </c>
      <c r="B21" s="7">
        <v>1.58</v>
      </c>
      <c r="C21" s="7">
        <v>1.58</v>
      </c>
      <c r="D21" s="7">
        <v>1.87</v>
      </c>
      <c r="E21" s="7">
        <v>1.71</v>
      </c>
      <c r="F21" s="7">
        <v>1.99</v>
      </c>
      <c r="G21" s="7">
        <v>2.04</v>
      </c>
      <c r="H21" s="7">
        <v>1.93</v>
      </c>
      <c r="I21" s="7">
        <v>1.85</v>
      </c>
      <c r="J21" s="7">
        <v>1.88</v>
      </c>
    </row>
    <row r="22" spans="1:10">
      <c r="A22" s="5" t="s">
        <v>146</v>
      </c>
      <c r="B22" s="7">
        <v>2.73</v>
      </c>
      <c r="C22" s="7">
        <v>2.73</v>
      </c>
      <c r="D22" s="7">
        <v>3.24</v>
      </c>
      <c r="E22" s="7">
        <v>2.97</v>
      </c>
      <c r="F22" s="7">
        <v>3.44</v>
      </c>
      <c r="G22" s="7">
        <v>3.54</v>
      </c>
      <c r="H22" s="7">
        <v>3.34</v>
      </c>
      <c r="I22" s="7">
        <v>3.2</v>
      </c>
      <c r="J22" s="7">
        <v>3.26</v>
      </c>
    </row>
    <row r="23" spans="1:10">
      <c r="A23" s="5" t="s">
        <v>147</v>
      </c>
      <c r="B23" s="7">
        <v>5.14</v>
      </c>
      <c r="C23" s="7">
        <v>5.14</v>
      </c>
      <c r="D23" s="7">
        <v>6.09</v>
      </c>
      <c r="E23" s="7">
        <v>5.58</v>
      </c>
      <c r="F23" s="7">
        <v>6.47</v>
      </c>
      <c r="G23" s="7">
        <v>6.66</v>
      </c>
      <c r="H23" s="7">
        <v>6.28</v>
      </c>
      <c r="I23" s="7">
        <v>6.01</v>
      </c>
      <c r="J23" s="7">
        <v>6.13</v>
      </c>
    </row>
    <row r="24" spans="1:10">
      <c r="A24" s="5" t="s">
        <v>148</v>
      </c>
      <c r="B24" s="7">
        <v>8.6199999999999992</v>
      </c>
      <c r="C24" s="7">
        <v>8.6199999999999992</v>
      </c>
      <c r="D24" s="7">
        <v>10.220000000000001</v>
      </c>
      <c r="E24" s="7">
        <v>9.36</v>
      </c>
      <c r="F24" s="7">
        <v>10.85</v>
      </c>
      <c r="G24" s="7">
        <v>11.17</v>
      </c>
      <c r="H24" s="7">
        <v>10.54</v>
      </c>
      <c r="I24" s="7">
        <v>10.09</v>
      </c>
      <c r="J24" s="7">
        <v>10.28</v>
      </c>
    </row>
    <row r="25" spans="1:10">
      <c r="A25" s="5" t="s">
        <v>149</v>
      </c>
      <c r="B25" s="7">
        <v>10.28</v>
      </c>
      <c r="C25" s="7">
        <v>10.28</v>
      </c>
      <c r="D25" s="7">
        <v>12.19</v>
      </c>
      <c r="E25" s="7">
        <v>11.16</v>
      </c>
      <c r="F25" s="7">
        <v>12.94</v>
      </c>
      <c r="G25" s="7">
        <v>13.32</v>
      </c>
      <c r="H25" s="7">
        <v>12.56</v>
      </c>
      <c r="I25" s="7">
        <v>12.03</v>
      </c>
      <c r="J25" s="7">
        <v>12.26</v>
      </c>
    </row>
    <row r="26" spans="1:10">
      <c r="A26" s="5" t="s">
        <v>140</v>
      </c>
      <c r="B26" s="7">
        <v>0.25</v>
      </c>
      <c r="C26" s="7">
        <v>0.25</v>
      </c>
      <c r="D26" s="30">
        <v>0.32</v>
      </c>
      <c r="E26" s="113">
        <f>1.1*C26</f>
        <v>0.27500000000000002</v>
      </c>
      <c r="F26" s="113">
        <f>1.2*C26</f>
        <v>0.3</v>
      </c>
      <c r="G26" s="30">
        <v>0.33</v>
      </c>
      <c r="H26" s="30">
        <v>0.38500000000000001</v>
      </c>
      <c r="I26" s="30" t="s">
        <v>110</v>
      </c>
      <c r="J26" s="7" t="s">
        <v>110</v>
      </c>
    </row>
    <row r="27" spans="1:10">
      <c r="A27" s="5" t="s">
        <v>71</v>
      </c>
      <c r="B27" s="7">
        <f t="shared" ref="B27:C29" si="0">B26*2</f>
        <v>0.5</v>
      </c>
      <c r="C27" s="7">
        <f t="shared" si="0"/>
        <v>0.5</v>
      </c>
      <c r="D27" s="30">
        <v>0.64</v>
      </c>
      <c r="E27" s="113">
        <f>1.1*C27</f>
        <v>0.55000000000000004</v>
      </c>
      <c r="F27" s="113">
        <f>1.2*C27</f>
        <v>0.6</v>
      </c>
      <c r="G27" s="30">
        <v>0.66</v>
      </c>
      <c r="H27" s="30">
        <v>0.77</v>
      </c>
      <c r="I27" s="30" t="s">
        <v>110</v>
      </c>
      <c r="J27" s="7" t="s">
        <v>110</v>
      </c>
    </row>
    <row r="28" spans="1:10">
      <c r="A28" s="5" t="s">
        <v>72</v>
      </c>
      <c r="B28" s="7">
        <f t="shared" si="0"/>
        <v>1</v>
      </c>
      <c r="C28" s="7">
        <f t="shared" si="0"/>
        <v>1</v>
      </c>
      <c r="D28" s="30">
        <v>1.28</v>
      </c>
      <c r="E28" s="113">
        <f>1.1*C28</f>
        <v>1.1000000000000001</v>
      </c>
      <c r="F28" s="113">
        <f>1.2*C28</f>
        <v>1.2</v>
      </c>
      <c r="G28" s="30">
        <v>1.32</v>
      </c>
      <c r="H28" s="30">
        <v>1.54</v>
      </c>
      <c r="I28" s="30" t="s">
        <v>110</v>
      </c>
      <c r="J28" s="7" t="s">
        <v>110</v>
      </c>
    </row>
    <row r="29" spans="1:10">
      <c r="A29" s="5" t="s">
        <v>73</v>
      </c>
      <c r="B29" s="7">
        <f t="shared" si="0"/>
        <v>2</v>
      </c>
      <c r="C29" s="7">
        <f t="shared" si="0"/>
        <v>2</v>
      </c>
      <c r="D29" s="30">
        <v>2.56</v>
      </c>
      <c r="E29" s="113">
        <f>1.1*C29</f>
        <v>2.2000000000000002</v>
      </c>
      <c r="F29" s="113">
        <f>1.2*C29</f>
        <v>2.4</v>
      </c>
      <c r="G29" s="30">
        <v>2.64</v>
      </c>
      <c r="H29" s="30">
        <v>3.08</v>
      </c>
      <c r="I29" s="30" t="s">
        <v>110</v>
      </c>
      <c r="J29" s="7" t="s">
        <v>110</v>
      </c>
    </row>
    <row r="30" spans="1:10">
      <c r="A30" s="5" t="s">
        <v>68</v>
      </c>
      <c r="B30" s="7">
        <v>2.0499999999999998</v>
      </c>
      <c r="C30" s="7">
        <v>2.0499999999999998</v>
      </c>
      <c r="D30" s="30">
        <v>2.7</v>
      </c>
      <c r="E30" s="7">
        <v>2.2599999999999998</v>
      </c>
      <c r="F30" s="7">
        <v>2.46</v>
      </c>
      <c r="G30" s="30">
        <v>3.07</v>
      </c>
      <c r="H30" s="30">
        <v>3.04</v>
      </c>
      <c r="I30" s="30" t="s">
        <v>110</v>
      </c>
      <c r="J30" s="7" t="s">
        <v>110</v>
      </c>
    </row>
    <row r="31" spans="1:10">
      <c r="A31" s="5" t="s">
        <v>69</v>
      </c>
      <c r="B31" s="7">
        <v>4.0999999999999996</v>
      </c>
      <c r="C31" s="7">
        <v>4.0999999999999996</v>
      </c>
      <c r="D31" s="30">
        <v>5.4</v>
      </c>
      <c r="E31" s="7">
        <v>4.5199999999999996</v>
      </c>
      <c r="F31" s="7">
        <v>4.92</v>
      </c>
      <c r="G31" s="30">
        <v>6.14</v>
      </c>
      <c r="H31" s="30">
        <v>6.08</v>
      </c>
      <c r="I31" s="30" t="s">
        <v>110</v>
      </c>
      <c r="J31" s="7" t="s">
        <v>110</v>
      </c>
    </row>
    <row r="32" spans="1:10">
      <c r="A32" s="5" t="s">
        <v>70</v>
      </c>
      <c r="B32" s="7">
        <v>8.1999999999999993</v>
      </c>
      <c r="C32" s="7">
        <v>8.1999999999999993</v>
      </c>
      <c r="D32" s="30">
        <v>10.8</v>
      </c>
      <c r="E32" s="7">
        <v>9.0399999999999991</v>
      </c>
      <c r="F32" s="7">
        <v>9.84</v>
      </c>
      <c r="G32" s="30">
        <v>12.28</v>
      </c>
      <c r="H32" s="30">
        <v>12.16</v>
      </c>
      <c r="I32" s="30" t="s">
        <v>110</v>
      </c>
      <c r="J32" s="7" t="s">
        <v>110</v>
      </c>
    </row>
    <row r="33" spans="1:10">
      <c r="A33" s="5" t="s">
        <v>44</v>
      </c>
      <c r="B33" s="114">
        <v>2.5000000000000001E-2</v>
      </c>
      <c r="C33" s="114">
        <v>2.5000000000000001E-2</v>
      </c>
      <c r="D33" s="34">
        <v>3.5000000000000003E-2</v>
      </c>
      <c r="E33" s="114">
        <v>2.5999999999999999E-2</v>
      </c>
      <c r="F33" s="114">
        <v>2.9000000000000001E-2</v>
      </c>
      <c r="G33" s="34">
        <v>2.5000000000000001E-2</v>
      </c>
      <c r="H33" s="34">
        <v>2.5000000000000001E-2</v>
      </c>
      <c r="I33" s="34">
        <v>2.9000000000000001E-2</v>
      </c>
      <c r="J33" s="115">
        <v>2.9000000000000001E-2</v>
      </c>
    </row>
    <row r="34" spans="1:10">
      <c r="A34" s="5" t="s">
        <v>141</v>
      </c>
      <c r="B34" s="116">
        <v>4.1900000000000004</v>
      </c>
      <c r="C34" s="116">
        <v>4.1900000000000004</v>
      </c>
      <c r="D34" s="116">
        <v>4.1900000000000004</v>
      </c>
      <c r="E34" s="116">
        <v>4.1900000000000004</v>
      </c>
      <c r="F34" s="116">
        <v>4.1900000000000004</v>
      </c>
      <c r="G34" s="116">
        <v>4.1900000000000004</v>
      </c>
      <c r="H34" s="116">
        <v>4.1900000000000004</v>
      </c>
      <c r="I34" s="116">
        <v>4.1900000000000004</v>
      </c>
      <c r="J34" s="116">
        <v>4.1900000000000004</v>
      </c>
    </row>
    <row r="35" spans="1:10">
      <c r="A35" s="5" t="s">
        <v>142</v>
      </c>
      <c r="B35" s="116">
        <v>0.44</v>
      </c>
      <c r="C35" s="116">
        <v>0.44</v>
      </c>
      <c r="D35" s="116">
        <v>0.44</v>
      </c>
      <c r="E35" s="116">
        <v>0.44</v>
      </c>
      <c r="F35" s="116">
        <v>0.44</v>
      </c>
      <c r="G35" s="116">
        <v>0.44</v>
      </c>
      <c r="H35" s="116">
        <v>0.44</v>
      </c>
      <c r="I35" s="116">
        <v>0.44</v>
      </c>
      <c r="J35" s="116">
        <v>0.44</v>
      </c>
    </row>
    <row r="36" spans="1:10">
      <c r="A36" s="5" t="s">
        <v>22</v>
      </c>
      <c r="B36" s="114">
        <v>0</v>
      </c>
      <c r="C36" s="114">
        <v>0</v>
      </c>
      <c r="D36" s="114">
        <v>0</v>
      </c>
      <c r="E36" s="114">
        <v>0</v>
      </c>
      <c r="F36" s="114">
        <v>0</v>
      </c>
      <c r="G36" s="114">
        <v>0</v>
      </c>
      <c r="H36" s="114">
        <v>0</v>
      </c>
      <c r="I36" s="114">
        <v>0</v>
      </c>
      <c r="J36" s="11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42FA7-0FA7-4F12-A011-D58DA8BF86D6}">
  <dimension ref="A1:A4"/>
  <sheetViews>
    <sheetView workbookViewId="0"/>
  </sheetViews>
  <sheetFormatPr defaultRowHeight="15.7"/>
  <cols>
    <col min="1" max="1" width="14.5" bestFit="1" customWidth="1"/>
  </cols>
  <sheetData>
    <row r="1" spans="1:1">
      <c r="A1" t="s">
        <v>143</v>
      </c>
    </row>
    <row r="2" spans="1:1">
      <c r="A2" t="s">
        <v>141</v>
      </c>
    </row>
    <row r="3" spans="1:1">
      <c r="A3" t="s">
        <v>142</v>
      </c>
    </row>
    <row r="4" spans="1:1">
      <c r="A4"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Price Estimator</vt:lpstr>
      <vt:lpstr>Usage Pattern</vt:lpstr>
      <vt:lpstr>Lookup</vt:lpstr>
      <vt:lpstr>Calculations</vt:lpstr>
      <vt:lpstr>AWS Region-Instance</vt:lpstr>
      <vt:lpstr>AWS Region-Instance Pricing</vt:lpstr>
      <vt:lpstr>Constants</vt:lpstr>
      <vt:lpstr>AWS_Region_Instance_Pricing</vt:lpstr>
      <vt:lpstr>const_RDS_SAL_Options</vt:lpstr>
      <vt:lpstr>fleet_types</vt:lpstr>
      <vt:lpstr>fleet_utilization</vt:lpstr>
      <vt:lpstr>GRAPHICS</vt:lpstr>
      <vt:lpstr>graphics_desktop.2xlarge</vt:lpstr>
      <vt:lpstr>GRAPHICS_NO_DESKTOP</vt:lpstr>
      <vt:lpstr>instance_price_stopped</vt:lpstr>
      <vt:lpstr>instance_price_streaming</vt:lpstr>
      <vt:lpstr>instance_prices</vt:lpstr>
      <vt:lpstr>instance_type</vt:lpstr>
      <vt:lpstr>license_model</vt:lpstr>
      <vt:lpstr>lookup_column</vt:lpstr>
      <vt:lpstr>monthly_weekday_hours</vt:lpstr>
      <vt:lpstr>monthly_weekend_hours</vt:lpstr>
      <vt:lpstr>no_desktop_regions</vt:lpstr>
      <vt:lpstr>NON_GRAPHICS</vt:lpstr>
      <vt:lpstr>ph</vt:lpstr>
      <vt:lpstr>price_lookup_col_headers</vt:lpstr>
      <vt:lpstr>region</vt:lpstr>
      <vt:lpstr>Region_Column_Map</vt:lpstr>
      <vt:lpstr>sal_fee</vt:lpstr>
      <vt:lpstr>sizes_general</vt:lpstr>
      <vt:lpstr>sizes_graphics</vt:lpstr>
      <vt:lpstr>total_users</vt:lpstr>
      <vt:lpstr>User_Fees_License_Types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ankita pal</cp:lastModifiedBy>
  <cp:lastPrinted>2020-05-01T18:36:42Z</cp:lastPrinted>
  <dcterms:created xsi:type="dcterms:W3CDTF">2017-03-09T22:24:32Z</dcterms:created>
  <dcterms:modified xsi:type="dcterms:W3CDTF">2020-05-01T18:49:53Z</dcterms:modified>
</cp:coreProperties>
</file>